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23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positivapy-my.sharepoint.com/personal/sady_pereira_inpositiva_com_py/Documents/10.Investor SA/Contabilidad/CNV_EEFF_Informes/2021/Informes Basicos Setiembre 2021/"/>
    </mc:Choice>
  </mc:AlternateContent>
  <xr:revisionPtr revIDLastSave="0" documentId="10_ncr:200_{D9501C09-C63D-47E4-80E5-DE55B7414ACE}" xr6:coauthVersionLast="47" xr6:coauthVersionMax="47" xr10:uidLastSave="{00000000-0000-0000-0000-000000000000}"/>
  <workbookProtection workbookAlgorithmName="SHA-512" workbookHashValue="ugNmTDaAi3ttnJ0Q+gm/xI8VC9BbE5Vqj3WJv9xo++wsLbgy6zJHyvOCjKeLhKTW1xqf0/ciemWF5x43njwxPA==" workbookSaltValue="Ij+NYo6zXZIUkygXOwwzMQ==" workbookSpinCount="100000" lockStructure="1"/>
  <bookViews>
    <workbookView xWindow="-108" yWindow="-108" windowWidth="23256" windowHeight="12576" tabRatio="870" activeTab="2" xr2:uid="{00000000-000D-0000-FFFF-FFFF00000000}"/>
  </bookViews>
  <sheets>
    <sheet name="Indice" sheetId="33" r:id="rId1"/>
    <sheet name="I.Infomac Gral Emp" sheetId="38" r:id="rId2"/>
    <sheet name="Balance Gral. Resol. 30" sheetId="1" r:id="rId3"/>
    <sheet name="Estado de Resultado Resol. 30" sheetId="2" r:id="rId4"/>
    <sheet name="Flujo de Efectivo Resol. Res 30" sheetId="34" r:id="rId5"/>
    <sheet name="Estado de Variacion PN " sheetId="35" r:id="rId6"/>
    <sheet name="NOTA A LOS ESTADOS CONTA. 1-4" sheetId="36" r:id="rId7"/>
    <sheet name="NOTA 5 A-C CRITERIOS ESPECIF." sheetId="37" r:id="rId8"/>
    <sheet name="NOTA D - DISPONIBILIDADES" sheetId="7" r:id="rId9"/>
    <sheet name="NOTA E - INVERSIONES" sheetId="8" r:id="rId10"/>
    <sheet name="NOTA F - CREDITOS" sheetId="9" r:id="rId11"/>
    <sheet name="NOTA G BIENES DE USO" sheetId="11" r:id="rId12"/>
    <sheet name="NOTA H CARGOS DIFERIDOS" sheetId="13" r:id="rId13"/>
    <sheet name=" NOTA I INTANGIBLES" sheetId="14" r:id="rId14"/>
    <sheet name="NOTA J OTROS ACTIVOS CTES y NO " sheetId="15" r:id="rId15"/>
    <sheet name="NOTA K PRESTAMOS" sheetId="17" r:id="rId16"/>
    <sheet name="NOTA L DOCUM y CTAS A PAG" sheetId="18" r:id="rId17"/>
    <sheet name="NOTAS M-Q ACREED y CTAS A PAG" sheetId="16" r:id="rId18"/>
    <sheet name="NOTA R SALDOS Y TRANSACC" sheetId="19" r:id="rId19"/>
    <sheet name="NOTA S RESULTADOS CON PERS" sheetId="21" r:id="rId20"/>
    <sheet name=" NOTA T PATRIMONIO Y PREVIS" sheetId="22" r:id="rId21"/>
    <sheet name="NOTA V INGRESOS OPERATIVOS" sheetId="23" r:id="rId22"/>
    <sheet name="NOTA W OTROS GASTOS OPER" sheetId="24" r:id="rId23"/>
    <sheet name="NOTA X OTROS INGRESOS Y EGR" sheetId="25" r:id="rId24"/>
    <sheet name="NOTA Y RESULTADOS FINANC" sheetId="27" r:id="rId25"/>
    <sheet name="NOTA Z RESULT EXTRA" sheetId="28" r:id="rId26"/>
    <sheet name="NOTA 6 INFORMACION REFERENTE" sheetId="26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2" hidden="1">'Balance Gral. Resol. 30'!$B$8:$L$8</definedName>
    <definedName name="_xlnm._FilterDatabase" localSheetId="3" hidden="1">'Estado de Resultado Resol. 30'!$B$50:$E$72</definedName>
    <definedName name="_xlnm._FilterDatabase" localSheetId="8" hidden="1">'NOTA D - DISPONIBILIDADES'!$B$8:$D$66</definedName>
    <definedName name="_xlnm._FilterDatabase" localSheetId="9" hidden="1">'NOTA E - INVERSIONES'!$B$9:$M$44</definedName>
    <definedName name="_xlnm._FilterDatabase" localSheetId="18" hidden="1">'NOTA R SALDOS Y TRANSACC'!$B$6:$H$21</definedName>
    <definedName name="_MON_1268749014" localSheetId="7">#N/A</definedName>
    <definedName name="a" localSheetId="5">#N/A</definedName>
    <definedName name="a" localSheetId="4">#N/A</definedName>
    <definedName name="a" localSheetId="7">#N/A</definedName>
    <definedName name="a" localSheetId="6">#N/A</definedName>
    <definedName name="a">#N/A</definedName>
    <definedName name="aa" localSheetId="5">#N/A</definedName>
    <definedName name="aa" localSheetId="4">#N/A</definedName>
    <definedName name="aa" localSheetId="7">#N/A</definedName>
    <definedName name="aa" localSheetId="6">#N/A</definedName>
    <definedName name="aa">#N/A</definedName>
    <definedName name="_xlnm.Print_Area" localSheetId="2">#N/A</definedName>
    <definedName name="_xlnm.Print_Area" localSheetId="3">#N/A</definedName>
    <definedName name="_xlnm.Print_Area" localSheetId="22">#N/A</definedName>
    <definedName name="BuiltIn_Print_Area">[1]anexos!#REF!</definedName>
    <definedName name="BuiltIn_Print_Area___0">'[1]Balance General Resol 950'!#REF!</definedName>
    <definedName name="BuiltIn_Print_Area___0___0" localSheetId="5">#N/A</definedName>
    <definedName name="BuiltIn_Print_Area___0___0" localSheetId="4">#N/A</definedName>
    <definedName name="BuiltIn_Print_Area___0___0" localSheetId="7">#N/A</definedName>
    <definedName name="BuiltIn_Print_Area___0___0" localSheetId="6">#N/A</definedName>
    <definedName name="BuiltIn_Print_Area___0___0">#N/A</definedName>
    <definedName name="BuiltIn_Print_Area___0___0___0___0">'[2]Flujos de efectivo'!#REF!</definedName>
    <definedName name="BuiltIn_Print_Area___0___0___0___0___0" localSheetId="5">#N/A</definedName>
    <definedName name="BuiltIn_Print_Area___0___0___0___0___0" localSheetId="4">#N/A</definedName>
    <definedName name="BuiltIn_Print_Area___0___0___0___0___0" localSheetId="7">#N/A</definedName>
    <definedName name="BuiltIn_Print_Area___0___0___0___0___0" localSheetId="6">#N/A</definedName>
    <definedName name="BuiltIn_Print_Area___0___0___0___0___0">#N/A</definedName>
    <definedName name="Clientes" localSheetId="5">#N/A</definedName>
    <definedName name="Clientes" localSheetId="4">#N/A</definedName>
    <definedName name="Clientes" localSheetId="7">#N/A</definedName>
    <definedName name="Clientes" localSheetId="6">#N/A</definedName>
    <definedName name="Clientes">#N/A</definedName>
    <definedName name="DATA16" localSheetId="5">#N/A</definedName>
    <definedName name="DATA16" localSheetId="4">#N/A</definedName>
    <definedName name="DATA16" localSheetId="7">#N/A</definedName>
    <definedName name="DATA16" localSheetId="6">#N/A</definedName>
    <definedName name="DATA16">#N/A</definedName>
    <definedName name="DATA17" localSheetId="5">#N/A</definedName>
    <definedName name="DATA17" localSheetId="4">#N/A</definedName>
    <definedName name="DATA17" localSheetId="7">#N/A</definedName>
    <definedName name="DATA17" localSheetId="6">#N/A</definedName>
    <definedName name="DATA17">#N/A</definedName>
    <definedName name="DATA18" localSheetId="5">#N/A</definedName>
    <definedName name="DATA18" localSheetId="4">#N/A</definedName>
    <definedName name="DATA18" localSheetId="7">#N/A</definedName>
    <definedName name="DATA18" localSheetId="6">#N/A</definedName>
    <definedName name="DATA18">#N/A</definedName>
    <definedName name="DATA20" localSheetId="5">#N/A</definedName>
    <definedName name="DATA20" localSheetId="4">#N/A</definedName>
    <definedName name="DATA20" localSheetId="7">#N/A</definedName>
    <definedName name="DATA20" localSheetId="6">#N/A</definedName>
    <definedName name="DATA20">#N/A</definedName>
    <definedName name="datos" localSheetId="5">#N/A</definedName>
    <definedName name="datos" localSheetId="4">#N/A</definedName>
    <definedName name="datos" localSheetId="7">#N/A</definedName>
    <definedName name="datos" localSheetId="6">#N/A</definedName>
    <definedName name="datos">#N/A</definedName>
    <definedName name="k" localSheetId="5">#N/A</definedName>
    <definedName name="k" localSheetId="4">#N/A</definedName>
    <definedName name="k" localSheetId="7">#N/A</definedName>
    <definedName name="k" localSheetId="6">#N/A</definedName>
    <definedName name="k">#N/A</definedName>
    <definedName name="klkl" localSheetId="5">#N/A</definedName>
    <definedName name="klkl" localSheetId="4">#N/A</definedName>
    <definedName name="klkl" localSheetId="7">#N/A</definedName>
    <definedName name="klkl" localSheetId="6">#N/A</definedName>
    <definedName name="klkl">#N/A</definedName>
    <definedName name="klll" localSheetId="5">#N/A</definedName>
    <definedName name="klll" localSheetId="4">#N/A</definedName>
    <definedName name="klll" localSheetId="7">#N/A</definedName>
    <definedName name="klll" localSheetId="6">#N/A</definedName>
    <definedName name="klll">#N/A</definedName>
    <definedName name="ver" localSheetId="5">#N/A</definedName>
    <definedName name="ver" localSheetId="4">#N/A</definedName>
    <definedName name="ver" localSheetId="7">#N/A</definedName>
    <definedName name="ver" localSheetId="6">#N/A</definedName>
    <definedName name="ver">#N/A</definedName>
    <definedName name="verificar" localSheetId="5">#N/A</definedName>
    <definedName name="verificar" localSheetId="4">#N/A</definedName>
    <definedName name="verificar" localSheetId="7">#N/A</definedName>
    <definedName name="verificar" localSheetId="6">#N/A</definedName>
    <definedName name="verificar">#N/A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33" l="1"/>
  <c r="E15" i="33"/>
  <c r="D28" i="2"/>
  <c r="K39" i="8"/>
  <c r="J39" i="8"/>
  <c r="G42" i="8" l="1"/>
  <c r="G12" i="8"/>
  <c r="G13" i="8"/>
  <c r="G14" i="8"/>
  <c r="G15" i="8"/>
  <c r="G16" i="8"/>
  <c r="G17" i="8"/>
  <c r="G18" i="8" s="1"/>
  <c r="G19" i="8"/>
  <c r="G20" i="8"/>
  <c r="G21" i="8"/>
  <c r="G11" i="8"/>
  <c r="C38" i="16"/>
  <c r="C39" i="16" s="1"/>
  <c r="D9" i="13"/>
  <c r="C42" i="9"/>
  <c r="G37" i="1"/>
  <c r="G20" i="1"/>
  <c r="D33" i="1"/>
  <c r="D27" i="1"/>
  <c r="D16" i="27" l="1"/>
  <c r="D21" i="23"/>
  <c r="D22" i="23" s="1"/>
  <c r="D24" i="23" s="1"/>
  <c r="E101" i="2"/>
  <c r="D18" i="23" l="1"/>
  <c r="D15" i="23"/>
  <c r="C19" i="21" l="1"/>
  <c r="D19" i="21"/>
  <c r="G20" i="19" l="1"/>
  <c r="G23" i="19" s="1"/>
  <c r="C32" i="16" l="1"/>
  <c r="F19" i="16"/>
  <c r="F21" i="16" s="1"/>
  <c r="C9" i="18"/>
  <c r="C6" i="17"/>
  <c r="C18" i="17"/>
  <c r="C29" i="17" s="1"/>
  <c r="D10" i="14"/>
  <c r="D16" i="14" s="1"/>
  <c r="D8" i="13"/>
  <c r="F8" i="13" s="1"/>
  <c r="E12" i="13"/>
  <c r="C12" i="13"/>
  <c r="C34" i="9"/>
  <c r="C36" i="9" s="1"/>
  <c r="B35" i="9"/>
  <c r="B34" i="9"/>
  <c r="D26" i="9"/>
  <c r="D28" i="9" s="1"/>
  <c r="C20" i="9"/>
  <c r="C21" i="9"/>
  <c r="C25" i="9"/>
  <c r="C13" i="9"/>
  <c r="C11" i="9"/>
  <c r="E44" i="8" l="1"/>
  <c r="D50" i="8"/>
  <c r="C50" i="8"/>
  <c r="F37" i="8"/>
  <c r="D37" i="8"/>
  <c r="E41" i="8"/>
  <c r="G41" i="8" s="1"/>
  <c r="E40" i="8"/>
  <c r="G40" i="8" s="1"/>
  <c r="E39" i="8"/>
  <c r="G39" i="8" s="1"/>
  <c r="E38" i="8" l="1"/>
  <c r="F21" i="8"/>
  <c r="D24" i="1"/>
  <c r="D19" i="1"/>
  <c r="F31" i="8"/>
  <c r="D31" i="8"/>
  <c r="D10" i="8"/>
  <c r="E27" i="8"/>
  <c r="E26" i="8"/>
  <c r="E25" i="8"/>
  <c r="E24" i="8"/>
  <c r="E23" i="8"/>
  <c r="E22" i="8"/>
  <c r="F12" i="8"/>
  <c r="F13" i="8"/>
  <c r="F14" i="8"/>
  <c r="F15" i="8"/>
  <c r="F16" i="8"/>
  <c r="F17" i="8"/>
  <c r="F18" i="8"/>
  <c r="F19" i="8"/>
  <c r="F20" i="8"/>
  <c r="F11" i="8"/>
  <c r="D51" i="8"/>
  <c r="C51" i="8"/>
  <c r="F23" i="8" l="1"/>
  <c r="F10" i="8" s="1"/>
  <c r="M10" i="8" s="1"/>
  <c r="G23" i="8"/>
  <c r="F25" i="8"/>
  <c r="G25" i="8"/>
  <c r="F26" i="8"/>
  <c r="G26" i="8"/>
  <c r="F27" i="8"/>
  <c r="G27" i="8"/>
  <c r="F22" i="8"/>
  <c r="G22" i="8"/>
  <c r="F24" i="8"/>
  <c r="G24" i="8"/>
  <c r="D43" i="8"/>
  <c r="E37" i="8"/>
  <c r="G38" i="8"/>
  <c r="E10" i="8"/>
  <c r="E31" i="8" l="1"/>
  <c r="E43" i="8" s="1"/>
  <c r="F43" i="8"/>
  <c r="C59" i="7"/>
  <c r="C41" i="7"/>
  <c r="C17" i="7"/>
  <c r="C66" i="7" l="1"/>
  <c r="C68" i="7" s="1"/>
  <c r="D66" i="7"/>
  <c r="D68" i="7" s="1"/>
  <c r="D70" i="7" s="1"/>
  <c r="D14" i="37"/>
  <c r="H14" i="37"/>
  <c r="E95" i="37"/>
  <c r="E93" i="37"/>
  <c r="D91" i="37"/>
  <c r="E24" i="37"/>
  <c r="E21" i="37"/>
  <c r="I24" i="37" l="1"/>
  <c r="I28" i="37"/>
  <c r="K60" i="37" l="1"/>
  <c r="G60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3" i="37"/>
  <c r="K72" i="37"/>
  <c r="K71" i="37"/>
  <c r="K70" i="37"/>
  <c r="K69" i="37"/>
  <c r="K68" i="37"/>
  <c r="K67" i="37"/>
  <c r="K66" i="37"/>
  <c r="K65" i="37"/>
  <c r="K64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20" i="37"/>
  <c r="K32" i="35"/>
  <c r="D46" i="34" l="1"/>
  <c r="D45" i="34"/>
  <c r="D36" i="34"/>
  <c r="D26" i="34"/>
  <c r="D12" i="34"/>
  <c r="D11" i="34"/>
  <c r="D10" i="34"/>
  <c r="E58" i="34"/>
  <c r="D84" i="2"/>
  <c r="D35" i="34" l="1"/>
  <c r="D32" i="34"/>
  <c r="D27" i="2" l="1"/>
  <c r="D62" i="2"/>
  <c r="D61" i="2"/>
  <c r="D26" i="2"/>
  <c r="D37" i="2"/>
  <c r="G12" i="1"/>
  <c r="G16" i="1" s="1"/>
  <c r="G28" i="1"/>
  <c r="G19" i="1"/>
  <c r="D11" i="1"/>
  <c r="D42" i="1"/>
  <c r="D65" i="1"/>
  <c r="C35" i="16" l="1"/>
  <c r="C32" i="17"/>
  <c r="G21" i="1"/>
  <c r="G38" i="1" s="1"/>
  <c r="D50" i="2"/>
  <c r="D60" i="1"/>
  <c r="D23" i="1"/>
  <c r="D37" i="1"/>
  <c r="D48" i="1"/>
  <c r="M37" i="8" s="1"/>
  <c r="D13" i="1"/>
  <c r="D14" i="1" s="1"/>
  <c r="C70" i="7" s="1"/>
  <c r="G47" i="1"/>
  <c r="K8" i="35"/>
  <c r="E7" i="34"/>
  <c r="D10" i="2"/>
  <c r="J8" i="35" s="1"/>
  <c r="C10" i="28"/>
  <c r="C13" i="28"/>
  <c r="F11" i="13"/>
  <c r="D30" i="1" l="1"/>
  <c r="D7" i="34"/>
  <c r="D49" i="34"/>
  <c r="D40" i="34"/>
  <c r="D20" i="34"/>
  <c r="D15" i="34"/>
  <c r="D24" i="34" l="1"/>
  <c r="C8" i="24"/>
  <c r="C6" i="27" s="1"/>
  <c r="C7" i="28" s="1"/>
  <c r="C9" i="27"/>
  <c r="C8" i="27"/>
  <c r="C7" i="25"/>
  <c r="C21" i="24"/>
  <c r="C22" i="24"/>
  <c r="C23" i="24"/>
  <c r="C24" i="24"/>
  <c r="C25" i="24"/>
  <c r="C26" i="24"/>
  <c r="C27" i="24"/>
  <c r="C28" i="24"/>
  <c r="C29" i="24"/>
  <c r="C30" i="24"/>
  <c r="C31" i="24"/>
  <c r="C34" i="24"/>
  <c r="C35" i="24"/>
  <c r="C36" i="24"/>
  <c r="C38" i="24"/>
  <c r="C39" i="24"/>
  <c r="C40" i="24"/>
  <c r="C41" i="24"/>
  <c r="C17" i="24"/>
  <c r="C18" i="24"/>
  <c r="C10" i="24"/>
  <c r="C10" i="23"/>
  <c r="D11" i="22"/>
  <c r="F11" i="22"/>
  <c r="F10" i="22"/>
  <c r="C10" i="27" l="1"/>
  <c r="D28" i="34"/>
  <c r="D53" i="34"/>
  <c r="D55" i="34" s="1"/>
  <c r="D58" i="34" s="1"/>
  <c r="C6" i="25"/>
  <c r="F10" i="13"/>
  <c r="D12" i="13"/>
  <c r="F20" i="37" l="1"/>
  <c r="F21" i="37" l="1"/>
  <c r="G20" i="37"/>
  <c r="I24" i="35"/>
  <c r="F24" i="35"/>
  <c r="J22" i="35"/>
  <c r="J12" i="35"/>
  <c r="J13" i="35"/>
  <c r="J15" i="35"/>
  <c r="J17" i="35"/>
  <c r="J18" i="35"/>
  <c r="J19" i="35"/>
  <c r="J20" i="35"/>
  <c r="J21" i="35"/>
  <c r="J23" i="35"/>
  <c r="J11" i="35"/>
  <c r="I26" i="35"/>
  <c r="H26" i="35"/>
  <c r="H24" i="35" s="1"/>
  <c r="G26" i="35"/>
  <c r="F26" i="35"/>
  <c r="F25" i="35" s="1"/>
  <c r="I10" i="35"/>
  <c r="H10" i="35"/>
  <c r="F10" i="35"/>
  <c r="G10" i="35"/>
  <c r="E10" i="35"/>
  <c r="E26" i="35"/>
  <c r="C10" i="35"/>
  <c r="C26" i="35"/>
  <c r="D26" i="35"/>
  <c r="D24" i="35" s="1"/>
  <c r="D10" i="35"/>
  <c r="D29" i="2"/>
  <c r="C14" i="23" s="1"/>
  <c r="C12" i="23"/>
  <c r="C13" i="24"/>
  <c r="C13" i="23"/>
  <c r="C13" i="27"/>
  <c r="C21" i="23"/>
  <c r="C11" i="24"/>
  <c r="C32" i="24"/>
  <c r="C37" i="24"/>
  <c r="C33" i="24"/>
  <c r="C16" i="24"/>
  <c r="C11" i="23"/>
  <c r="D87" i="2"/>
  <c r="D80" i="2"/>
  <c r="D12" i="2"/>
  <c r="F22" i="37" l="1"/>
  <c r="G21" i="37"/>
  <c r="J26" i="35"/>
  <c r="F29" i="35"/>
  <c r="F31" i="35" s="1"/>
  <c r="H29" i="35"/>
  <c r="H31" i="35" s="1"/>
  <c r="J10" i="35"/>
  <c r="C31" i="35"/>
  <c r="C15" i="23"/>
  <c r="D34" i="2"/>
  <c r="D83" i="2"/>
  <c r="D78" i="2" s="1"/>
  <c r="C12" i="27"/>
  <c r="C14" i="27" s="1"/>
  <c r="C16" i="27" s="1"/>
  <c r="D45" i="2"/>
  <c r="D29" i="35"/>
  <c r="D31" i="35" s="1"/>
  <c r="D39" i="2"/>
  <c r="C9" i="24" s="1"/>
  <c r="F23" i="37" l="1"/>
  <c r="G22" i="37"/>
  <c r="C15" i="24"/>
  <c r="C20" i="24"/>
  <c r="D43" i="2"/>
  <c r="D72" i="2" s="1"/>
  <c r="G76" i="1"/>
  <c r="G71" i="1"/>
  <c r="F9" i="22" s="1"/>
  <c r="G64" i="1"/>
  <c r="F7" i="22" s="1"/>
  <c r="F24" i="37" l="1"/>
  <c r="G23" i="37"/>
  <c r="G77" i="1"/>
  <c r="D95" i="2"/>
  <c r="D99" i="2" s="1"/>
  <c r="D101" i="2" s="1"/>
  <c r="K29" i="35" l="1"/>
  <c r="J32" i="35"/>
  <c r="F25" i="37"/>
  <c r="G24" i="37"/>
  <c r="F26" i="37" l="1"/>
  <c r="G25" i="37"/>
  <c r="F27" i="37" l="1"/>
  <c r="G26" i="37"/>
  <c r="I25" i="35"/>
  <c r="F28" i="37" l="1"/>
  <c r="G27" i="37"/>
  <c r="J25" i="35"/>
  <c r="I29" i="35"/>
  <c r="I31" i="35" s="1"/>
  <c r="E14" i="35"/>
  <c r="G24" i="35"/>
  <c r="J24" i="35" s="1"/>
  <c r="E28" i="37" l="1"/>
  <c r="G28" i="37" s="1"/>
  <c r="F29" i="37"/>
  <c r="J14" i="35"/>
  <c r="E29" i="35"/>
  <c r="E31" i="35" s="1"/>
  <c r="G16" i="35"/>
  <c r="F30" i="37" l="1"/>
  <c r="G29" i="37"/>
  <c r="J16" i="35"/>
  <c r="J29" i="35" s="1"/>
  <c r="J31" i="35" s="1"/>
  <c r="G29" i="35"/>
  <c r="G31" i="35" s="1"/>
  <c r="D70" i="1"/>
  <c r="D19" i="14" s="1"/>
  <c r="D62" i="1"/>
  <c r="D58" i="1"/>
  <c r="D21" i="1"/>
  <c r="D57" i="34"/>
  <c r="G8" i="1"/>
  <c r="F31" i="37" l="1"/>
  <c r="G30" i="37"/>
  <c r="D38" i="1"/>
  <c r="D77" i="1"/>
  <c r="F32" i="37" l="1"/>
  <c r="G31" i="37"/>
  <c r="G59" i="1"/>
  <c r="G78" i="1" s="1"/>
  <c r="D78" i="1"/>
  <c r="E10" i="22"/>
  <c r="C12" i="22"/>
  <c r="C22" i="11"/>
  <c r="D14" i="9"/>
  <c r="C26" i="9"/>
  <c r="C28" i="9" s="1"/>
  <c r="D16" i="9" l="1"/>
  <c r="D58" i="9"/>
  <c r="D59" i="9" s="1"/>
  <c r="D81" i="1"/>
  <c r="F33" i="37"/>
  <c r="G32" i="37"/>
  <c r="D80" i="1"/>
  <c r="B27" i="9"/>
  <c r="B44" i="9" s="1"/>
  <c r="B23" i="11" s="1"/>
  <c r="B13" i="13" s="1"/>
  <c r="F34" i="37" l="1"/>
  <c r="G33" i="37"/>
  <c r="B13" i="15"/>
  <c r="B30" i="17" s="1"/>
  <c r="B13" i="18" s="1"/>
  <c r="B9" i="16" s="1"/>
  <c r="B21" i="19" s="1"/>
  <c r="B20" i="21" s="1"/>
  <c r="B17" i="14"/>
  <c r="E97" i="37"/>
  <c r="B20" i="16" l="1"/>
  <c r="B33" i="16" s="1"/>
  <c r="B40" i="16" s="1"/>
  <c r="F35" i="37"/>
  <c r="G34" i="37"/>
  <c r="F64" i="37"/>
  <c r="J60" i="37"/>
  <c r="F60" i="37"/>
  <c r="G35" i="37" l="1"/>
  <c r="F36" i="37"/>
  <c r="F65" i="37"/>
  <c r="G65" i="37" s="1"/>
  <c r="E64" i="37"/>
  <c r="G64" i="37" s="1"/>
  <c r="F66" i="37"/>
  <c r="C8" i="16"/>
  <c r="F67" i="37" l="1"/>
  <c r="G66" i="37"/>
  <c r="F37" i="37"/>
  <c r="G36" i="37"/>
  <c r="C20" i="23"/>
  <c r="C19" i="23"/>
  <c r="H21" i="19"/>
  <c r="F38" i="37" l="1"/>
  <c r="G37" i="37"/>
  <c r="F68" i="37"/>
  <c r="G67" i="37"/>
  <c r="C12" i="18"/>
  <c r="C15" i="18" s="1"/>
  <c r="C14" i="9"/>
  <c r="C16" i="9" s="1"/>
  <c r="F69" i="37" l="1"/>
  <c r="G68" i="37"/>
  <c r="F39" i="37"/>
  <c r="G38" i="37"/>
  <c r="F91" i="37"/>
  <c r="F70" i="37" l="1"/>
  <c r="G69" i="37"/>
  <c r="F40" i="37"/>
  <c r="G39" i="37"/>
  <c r="C22" i="23"/>
  <c r="C24" i="23" s="1"/>
  <c r="F9" i="13"/>
  <c r="F12" i="13" s="1"/>
  <c r="F15" i="13" s="1"/>
  <c r="B26" i="9"/>
  <c r="C18" i="23"/>
  <c r="D7" i="22"/>
  <c r="D12" i="22" s="1"/>
  <c r="B13" i="22"/>
  <c r="D20" i="11"/>
  <c r="D19" i="11"/>
  <c r="M18" i="11"/>
  <c r="M16" i="11"/>
  <c r="M15" i="11"/>
  <c r="D14" i="11"/>
  <c r="M13" i="11"/>
  <c r="C43" i="9"/>
  <c r="E8" i="22"/>
  <c r="E11" i="22"/>
  <c r="D16" i="11"/>
  <c r="D13" i="11"/>
  <c r="D93" i="37"/>
  <c r="D95" i="37" s="1"/>
  <c r="D94" i="37"/>
  <c r="D96" i="37" s="1"/>
  <c r="F8" i="15"/>
  <c r="F9" i="15"/>
  <c r="F10" i="15"/>
  <c r="F11" i="15"/>
  <c r="J20" i="11"/>
  <c r="M20" i="11"/>
  <c r="F12" i="22"/>
  <c r="F15" i="22" s="1"/>
  <c r="C12" i="15"/>
  <c r="E12" i="15"/>
  <c r="I22" i="11"/>
  <c r="H22" i="11"/>
  <c r="M21" i="11"/>
  <c r="D12" i="15"/>
  <c r="F7" i="15"/>
  <c r="D18" i="11"/>
  <c r="M14" i="11"/>
  <c r="D15" i="11"/>
  <c r="M19" i="11"/>
  <c r="C45" i="9" l="1"/>
  <c r="C58" i="9"/>
  <c r="C59" i="9" s="1"/>
  <c r="F41" i="37"/>
  <c r="G40" i="37"/>
  <c r="F71" i="37"/>
  <c r="G70" i="37"/>
  <c r="B22" i="11"/>
  <c r="B12" i="13" s="1"/>
  <c r="B16" i="14" s="1"/>
  <c r="B12" i="15" s="1"/>
  <c r="E12" i="22"/>
  <c r="F12" i="15"/>
  <c r="B43" i="9"/>
  <c r="L22" i="11"/>
  <c r="F72" i="37" l="1"/>
  <c r="G71" i="37"/>
  <c r="F42" i="37"/>
  <c r="G41" i="37"/>
  <c r="B29" i="17"/>
  <c r="B12" i="18" s="1"/>
  <c r="B8" i="16" s="1"/>
  <c r="G22" i="11"/>
  <c r="D17" i="11"/>
  <c r="D22" i="11" s="1"/>
  <c r="M17" i="11"/>
  <c r="M22" i="11" s="1"/>
  <c r="O22" i="11" s="1"/>
  <c r="B19" i="16" l="1"/>
  <c r="B32" i="16" s="1"/>
  <c r="F43" i="37"/>
  <c r="G42" i="37"/>
  <c r="F73" i="37"/>
  <c r="G72" i="37"/>
  <c r="B20" i="19" l="1"/>
  <c r="B39" i="16"/>
  <c r="B19" i="21"/>
  <c r="B12" i="22" s="1"/>
  <c r="F74" i="37"/>
  <c r="G73" i="37"/>
  <c r="F44" i="37"/>
  <c r="G43" i="37"/>
  <c r="F45" i="37" l="1"/>
  <c r="G44" i="37"/>
  <c r="F75" i="37"/>
  <c r="G74" i="37"/>
  <c r="F76" i="37" l="1"/>
  <c r="G75" i="37"/>
  <c r="F46" i="37"/>
  <c r="G45" i="37"/>
  <c r="F47" i="37" l="1"/>
  <c r="G46" i="37"/>
  <c r="F77" i="37"/>
  <c r="G76" i="37"/>
  <c r="F78" i="37" l="1"/>
  <c r="G77" i="37"/>
  <c r="F48" i="37"/>
  <c r="G47" i="37"/>
  <c r="F49" i="37" l="1"/>
  <c r="G48" i="37"/>
  <c r="F79" i="37"/>
  <c r="G78" i="37"/>
  <c r="F80" i="37" l="1"/>
  <c r="G79" i="37"/>
  <c r="F50" i="37"/>
  <c r="G49" i="37"/>
  <c r="F81" i="37" l="1"/>
  <c r="G80" i="37"/>
  <c r="F51" i="37"/>
  <c r="G50" i="37"/>
  <c r="F52" i="37" l="1"/>
  <c r="G51" i="37"/>
  <c r="F82" i="37"/>
  <c r="G81" i="37"/>
  <c r="F53" i="37" l="1"/>
  <c r="G52" i="37"/>
  <c r="F83" i="37"/>
  <c r="G82" i="37"/>
  <c r="F84" i="37" l="1"/>
  <c r="G83" i="37"/>
  <c r="F54" i="37"/>
  <c r="G53" i="37"/>
  <c r="F55" i="37" l="1"/>
  <c r="G54" i="37"/>
  <c r="F85" i="37"/>
  <c r="G84" i="37"/>
  <c r="F86" i="37" l="1"/>
  <c r="G86" i="37" s="1"/>
  <c r="G85" i="37"/>
  <c r="F56" i="37"/>
  <c r="G55" i="37"/>
  <c r="F57" i="37" l="1"/>
  <c r="G57" i="37" s="1"/>
  <c r="G56" i="37"/>
</calcChain>
</file>

<file path=xl/sharedStrings.xml><?xml version="1.0" encoding="utf-8"?>
<sst xmlns="http://schemas.openxmlformats.org/spreadsheetml/2006/main" count="1541" uniqueCount="895">
  <si>
    <t>INVESTOR CASA DE BOLSA S.A.</t>
  </si>
  <si>
    <t>Fecha Presentación:</t>
  </si>
  <si>
    <t>INDICE</t>
  </si>
  <si>
    <t>REF.</t>
  </si>
  <si>
    <t>Balance General</t>
  </si>
  <si>
    <t>Cuadro de Resultados</t>
  </si>
  <si>
    <t>Flujo de Efectivo</t>
  </si>
  <si>
    <t>Calculo de IRACIS</t>
  </si>
  <si>
    <t>Balance del Sistema</t>
  </si>
  <si>
    <t>Informe del Sindico</t>
  </si>
  <si>
    <t>Informe del Auditor Externo</t>
  </si>
  <si>
    <t>Memoria del Directorio</t>
  </si>
  <si>
    <t>Nota 1- Consideraciones de EEFF</t>
  </si>
  <si>
    <t>e. Inversiones</t>
  </si>
  <si>
    <t>i. Bienes Intangibles</t>
  </si>
  <si>
    <t>j. Otros Activos</t>
  </si>
  <si>
    <t>n. Administración de Carteras</t>
  </si>
  <si>
    <t>s. Resultados con Relacionadas</t>
  </si>
  <si>
    <t>u. Previsiones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</si>
  <si>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</si>
  <si>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</si>
  <si>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</si>
  <si>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</si>
  <si>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</si>
  <si>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</si>
  <si>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</si>
  <si>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</si>
  <si>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</si>
  <si>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</si>
  <si>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</si>
  <si>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</si>
  <si>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</si>
  <si>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</si>
  <si>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</si>
  <si>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</si>
  <si>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ACTIVO CORRIENTE Nota 5 a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</si>
  <si>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</si>
  <si>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</si>
  <si>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</si>
  <si>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</si>
  <si>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</si>
  <si>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</si>
  <si>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</si>
  <si>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Obligaciones por Administracion de Carteras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</si>
  <si>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</si>
  <si>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</si>
  <si>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</si>
  <si>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</si>
  <si>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</si>
  <si>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</si>
  <si>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</si>
  <si>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</si>
  <si>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</si>
  <si>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</si>
  <si>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</si>
  <si>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</si>
  <si>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</si>
  <si>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</si>
  <si>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</si>
  <si>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</si>
  <si>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</si>
  <si>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</si>
  <si>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</si>
  <si>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</si>
  <si>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</si>
  <si>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</si>
  <si>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</si>
  <si>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</si>
  <si>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</si>
  <si>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</si>
  <si>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</si>
  <si>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</si>
  <si>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</si>
  <si>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</si>
  <si>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1 01 15 03</t>
  </si>
  <si>
    <t>Dividendos a Pagar</t>
  </si>
  <si>
    <t>2 01 15 03</t>
  </si>
  <si>
    <t>Otros Pasivos Corrientes</t>
  </si>
  <si>
    <t>1 01 20</t>
  </si>
  <si>
    <t>Total Activo Corriente</t>
  </si>
  <si>
    <t>Total Pasivo Corriente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</si>
  <si>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</si>
  <si>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</si>
  <si>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</si>
  <si>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</si>
  <si>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</si>
  <si>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</si>
  <si>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</si>
  <si>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</si>
  <si>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</si>
  <si>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</si>
  <si>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</si>
  <si>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</si>
  <si>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</si>
  <si>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</si>
  <si>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</si>
  <si>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</si>
  <si>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</si>
  <si>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</si>
  <si>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</si>
  <si>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</si>
  <si>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</si>
  <si>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</si>
  <si>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Total  Pasivo no Corriente</t>
  </si>
  <si>
    <t>1 02 02 02</t>
  </si>
  <si>
    <t>Total Pasivo</t>
  </si>
  <si>
    <t>1 02 02 03</t>
  </si>
  <si>
    <t>PATRIMONIO NETO  Nota 5 t</t>
  </si>
  <si>
    <t>Capital realizado</t>
  </si>
  <si>
    <t>Aportes para Futuras Integraciones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</si>
  <si>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</si>
  <si>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</si>
  <si>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</si>
  <si>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</si>
  <si>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</si>
  <si>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</si>
  <si>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</si>
  <si>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</si>
  <si>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</si>
  <si>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</si>
  <si>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</si>
  <si>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</si>
  <si>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</si>
  <si>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</si>
  <si>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</si>
  <si>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</si>
  <si>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</si>
  <si>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Total Patrimonio Neto</t>
  </si>
  <si>
    <t>1 02 10 02</t>
  </si>
  <si>
    <t>Total Pasivo y Patrimonio Neto</t>
  </si>
  <si>
    <t>1 02 20</t>
  </si>
  <si>
    <t>Gastos de Constitución</t>
  </si>
  <si>
    <t>1 02 20 01</t>
  </si>
  <si>
    <t>Seguros Pagados por Adelantado</t>
  </si>
  <si>
    <t>1 02 20 02</t>
  </si>
  <si>
    <t>1 02 20 03</t>
  </si>
  <si>
    <t>Total Activo no Corriente</t>
  </si>
  <si>
    <t>1 02 20 04</t>
  </si>
  <si>
    <t>Total de Activos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</si>
  <si>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</si>
  <si>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</si>
  <si>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</si>
  <si>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</si>
  <si>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</si>
  <si>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</si>
  <si>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</si>
  <si>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</si>
  <si>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</si>
  <si>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</si>
  <si>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</si>
  <si>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</si>
  <si>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</si>
  <si>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</si>
  <si>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</si>
  <si>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</si>
  <si>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</si>
  <si>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</si>
  <si>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</si>
  <si>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</si>
  <si>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</si>
  <si>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</si>
  <si>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</si>
  <si>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</si>
  <si>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</si>
  <si>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</si>
  <si>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</si>
  <si>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</si>
  <si>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</si>
  <si>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</si>
  <si>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</si>
  <si>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</si>
  <si>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</si>
  <si>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</si>
  <si>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</si>
  <si>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</si>
  <si>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</si>
  <si>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</si>
  <si>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</si>
  <si>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</si>
  <si>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</si>
  <si>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</si>
  <si>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</si>
  <si>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</si>
  <si>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</si>
  <si>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</si>
  <si>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</si>
  <si>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</si>
  <si>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</si>
  <si>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</si>
  <si>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</si>
  <si>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</si>
  <si>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</si>
  <si>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</si>
  <si>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</si>
  <si>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</si>
  <si>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</si>
  <si>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</si>
  <si>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</si>
  <si>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</si>
  <si>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</si>
  <si>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</si>
  <si>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</si>
  <si>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Sueldos y Jornales</t>
  </si>
  <si>
    <t>Aporte Patronal</t>
  </si>
  <si>
    <t>Aguinaldos Pagados</t>
  </si>
  <si>
    <t>Bonificacion Familiar</t>
  </si>
  <si>
    <t>Vacaciones Pagadas</t>
  </si>
  <si>
    <t>Indemnizaciones</t>
  </si>
  <si>
    <t>Mantenimiento</t>
  </si>
  <si>
    <t>Alquileres</t>
  </si>
  <si>
    <t>Gastos Generales</t>
  </si>
  <si>
    <t>Seguros</t>
  </si>
  <si>
    <t>Impuestos, Tasas y Contribuciones</t>
  </si>
  <si>
    <t>Otros Gastos de Administración</t>
  </si>
  <si>
    <t>Honorarios Profesianales</t>
  </si>
  <si>
    <t>Remuneracion Personal Superior</t>
  </si>
  <si>
    <t>Servicios Personales</t>
  </si>
  <si>
    <t>Gastos de Capacitación</t>
  </si>
  <si>
    <t>Servicios Contratados</t>
  </si>
  <si>
    <t>Iva Gastos</t>
  </si>
  <si>
    <t>Donaciones y Contribuciones</t>
  </si>
  <si>
    <t>Servicios de Asesoramiento</t>
  </si>
  <si>
    <t>Depreciaciones del Ejercicio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</si>
  <si>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</si>
  <si>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</si>
  <si>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</si>
  <si>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</si>
  <si>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</si>
  <si>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</si>
  <si>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</si>
  <si>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</si>
  <si>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</si>
  <si>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</si>
  <si>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</si>
  <si>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</si>
  <si>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</si>
  <si>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</si>
  <si>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</si>
  <si>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</si>
  <si>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ESTADO DE FLUJO DE EFECTIVO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</si>
  <si>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</si>
  <si>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</si>
  <si>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</si>
  <si>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</si>
  <si>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</si>
  <si>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</si>
  <si>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</si>
  <si>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</si>
  <si>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</si>
  <si>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Pagos a proveedores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</si>
  <si>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</si>
  <si>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</si>
  <si>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</si>
  <si>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</si>
  <si>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Inversiones Temporarias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</si>
  <si>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</si>
  <si>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</si>
  <si>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</si>
  <si>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</si>
  <si>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</si>
  <si>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</si>
  <si>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</si>
  <si>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</si>
  <si>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</si>
  <si>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</si>
  <si>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</si>
  <si>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</si>
  <si>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</si>
  <si>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</si>
  <si>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</si>
  <si>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</si>
  <si>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</si>
  <si>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</si>
  <si>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</si>
  <si>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</si>
  <si>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</si>
  <si>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</si>
  <si>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</si>
  <si>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</si>
  <si>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</si>
  <si>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</si>
  <si>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</si>
  <si>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</si>
  <si>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</si>
  <si>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</si>
  <si>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</si>
  <si>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</si>
  <si>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</si>
  <si>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</si>
  <si>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</si>
  <si>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 xml:space="preserve">NOTA A LOS ESTADOS CONTABLES </t>
  </si>
  <si>
    <t>NOTA 1: CONSIDERACION DE LOS ESTADOS CONTABLES</t>
  </si>
  <si>
    <t>NOTA 2:  INFORMACIÓN BÁSICA DE LA EMPRESA</t>
  </si>
  <si>
    <t>Inscripta en la Comisión Nacional de Valores según Resolución 1275/10 de fecha 19 de mayo de 2010 y en la Bolsa de Valores y Productos de Asunción S.A. según resolución 915/10 de fecha 31 de mayo de 2010, bajo el número 021.</t>
  </si>
  <si>
    <t>La Sociedad tiene por objeto efectuar las siguientes operaciones: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</si>
  <si>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</si>
  <si>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</si>
  <si>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</si>
  <si>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</si>
  <si>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</si>
  <si>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</si>
  <si>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</si>
  <si>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</si>
  <si>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</si>
  <si>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</si>
  <si>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</si>
  <si>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</si>
  <si>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</si>
  <si>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</si>
  <si>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</si>
  <si>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</si>
  <si>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</si>
  <si>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</si>
  <si>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</si>
  <si>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</si>
  <si>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</si>
  <si>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</si>
  <si>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</si>
  <si>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</si>
  <si>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</si>
  <si>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</si>
  <si>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</si>
  <si>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</si>
  <si>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</si>
  <si>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</si>
  <si>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</si>
  <si>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</si>
  <si>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</si>
  <si>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</si>
  <si>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</si>
  <si>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</si>
  <si>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</si>
  <si>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</si>
  <si>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</si>
  <si>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</si>
  <si>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</si>
  <si>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</si>
  <si>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</si>
  <si>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</si>
  <si>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</si>
  <si>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</si>
  <si>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</si>
  <si>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</si>
  <si>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</si>
  <si>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</si>
  <si>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</si>
  <si>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</si>
  <si>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</si>
  <si>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</si>
  <si>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</si>
  <si>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</si>
  <si>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</si>
  <si>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</si>
  <si>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</si>
  <si>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</si>
  <si>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</si>
  <si>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</si>
  <si>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</si>
  <si>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</si>
  <si>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</si>
  <si>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</si>
  <si>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</si>
  <si>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</si>
  <si>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</si>
  <si>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</si>
  <si>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</si>
  <si>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</si>
  <si>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</si>
  <si>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</si>
  <si>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</si>
  <si>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</si>
  <si>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>Banco Familiar 22-02962092 Gs.</t>
  </si>
  <si>
    <t>Banco Familiar Comp. Usd</t>
  </si>
  <si>
    <t>Banco Gnb Gs 1-219468-002</t>
  </si>
  <si>
    <t>Banco Gnb Usd 1-219468-003</t>
  </si>
  <si>
    <t>Bancop Gs 0410022837</t>
  </si>
  <si>
    <t>Bancop Usd 0310024650</t>
  </si>
  <si>
    <t>Bbva Cta.Cte. U$S-11-1705507</t>
  </si>
  <si>
    <t>Broker Interactive U$S</t>
  </si>
  <si>
    <t>Crisol Y Encarnacion Financiera (Cefisa) U$S</t>
  </si>
  <si>
    <t>Crisol Y Encarnacion Financiera (Cefisa)Gs</t>
  </si>
  <si>
    <t>Fic De Finanzas Gs. 0131000778</t>
  </si>
  <si>
    <t>Fic De Finanzas U$D 0131000849</t>
  </si>
  <si>
    <t>Financiera El Comercio U$D 95704003</t>
  </si>
  <si>
    <t>Financiera Rio 100165400-0</t>
  </si>
  <si>
    <t>Finexpar Gs 155000841</t>
  </si>
  <si>
    <t>Finexpar Usd 0192356</t>
  </si>
  <si>
    <t>Interfisa Banco Gs 874</t>
  </si>
  <si>
    <t>Interfisa Banco U$D 10208646</t>
  </si>
  <si>
    <t>Itau Cta. Cte. Admin 338</t>
  </si>
  <si>
    <t>Itau Cta. Cte. Gs 741</t>
  </si>
  <si>
    <t>Itau Cta. Cte. U$S -75080051-6</t>
  </si>
  <si>
    <t>Itau Cta. Cte. Usd 3485</t>
  </si>
  <si>
    <t>Itau Cta.Cte. Gs Nº 734</t>
  </si>
  <si>
    <t>Itau Cta.Cte. U$S Nº 75080052-3</t>
  </si>
  <si>
    <t>Itau Internacional Usd 75080363-6</t>
  </si>
  <si>
    <t>Sudameris Cta. Cte. Gs 1862952</t>
  </si>
  <si>
    <t>Sudameris Cta.Cte.U$S-186295/2</t>
  </si>
  <si>
    <t>Tu Financiera 5688382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</si>
  <si>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</si>
  <si>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</si>
  <si>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</si>
  <si>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</si>
  <si>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</si>
  <si>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</si>
  <si>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</si>
  <si>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</si>
  <si>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</si>
  <si>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</si>
  <si>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</si>
  <si>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</si>
  <si>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</si>
  <si>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</si>
  <si>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</si>
  <si>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Bonos</t>
  </si>
  <si>
    <t>CANTIDAD</t>
  </si>
  <si>
    <t>VALOR NOMINAL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</si>
  <si>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</si>
  <si>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</si>
  <si>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</si>
  <si>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</si>
  <si>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</si>
  <si>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</si>
  <si>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Credito Fiscal IVA</t>
  </si>
  <si>
    <t>Anticipo al Personal</t>
  </si>
  <si>
    <t>Deudores empresas relacionadas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</si>
  <si>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</si>
  <si>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</si>
  <si>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</si>
  <si>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</si>
  <si>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</si>
  <si>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</si>
  <si>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</si>
  <si>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</si>
  <si>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</si>
  <si>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</si>
  <si>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</si>
  <si>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</si>
  <si>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</si>
  <si>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</si>
  <si>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</si>
  <si>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</si>
  <si>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</si>
  <si>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</si>
  <si>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</si>
  <si>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</si>
  <si>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</si>
  <si>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</si>
  <si>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</si>
  <si>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Muebles y Útiles</t>
  </si>
  <si>
    <t>Rodados</t>
  </si>
  <si>
    <t>Instalaciones</t>
  </si>
  <si>
    <t>Equipos de Oficina</t>
  </si>
  <si>
    <t>Equipos de Informática</t>
  </si>
  <si>
    <t xml:space="preserve">Inmuebles </t>
  </si>
  <si>
    <t>Construcciones en curso</t>
  </si>
  <si>
    <t>Mejoras en Predio Ajeno</t>
  </si>
  <si>
    <t>Utiles y enseres</t>
  </si>
  <si>
    <t>SALDO INICIAL</t>
  </si>
  <si>
    <t>AUMENTOS</t>
  </si>
  <si>
    <t>AMORTIZACIONES</t>
  </si>
  <si>
    <t>SALDO NETO FINAL</t>
  </si>
  <si>
    <t>CUENTA</t>
  </si>
  <si>
    <t>Marcas y Licencias</t>
  </si>
  <si>
    <t>Marca Investor C.B. S.A.</t>
  </si>
  <si>
    <t>Licencias Informáticas</t>
  </si>
  <si>
    <t>Licencias para PCS</t>
  </si>
  <si>
    <t>Sistemas Informáticos</t>
  </si>
  <si>
    <t>Sistemas: Contable y Operativo</t>
  </si>
  <si>
    <t>Licencia Actividad Bursatil</t>
  </si>
  <si>
    <t>Deudores varios</t>
  </si>
  <si>
    <t>Cupones a cobrar</t>
  </si>
  <si>
    <t>Seguros pagados por adelantado</t>
  </si>
  <si>
    <t>Anticipos a proveedores y otros</t>
  </si>
  <si>
    <t>INSTITUCION</t>
  </si>
  <si>
    <t>CORTO PLAZO GS.</t>
  </si>
  <si>
    <t>LARGO PLAZO GS.</t>
  </si>
  <si>
    <t>Prestamos por Repos</t>
  </si>
  <si>
    <t>Proveedores Locales</t>
  </si>
  <si>
    <t>Tarjetas de Creditos a Pagar</t>
  </si>
  <si>
    <t>CORRIENTE G.</t>
  </si>
  <si>
    <t>NO CORRIENTE G.</t>
  </si>
  <si>
    <t>Acreedores por Intermediacion</t>
  </si>
  <si>
    <t>A la fecha la entidad no registra administración de Cartera a Corto y Largo Plazo</t>
  </si>
  <si>
    <t xml:space="preserve"> No aplicable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</si>
  <si>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</si>
  <si>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</si>
  <si>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</si>
  <si>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</si>
  <si>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</si>
  <si>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</si>
  <si>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</si>
  <si>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Empresa Vinculada</t>
  </si>
  <si>
    <t>Cuentas a cobrar</t>
  </si>
  <si>
    <t>Director y Accionista</t>
  </si>
  <si>
    <t>Funcionaria</t>
  </si>
  <si>
    <t>ANTIGÜEDAD DE LA DEUDA</t>
  </si>
  <si>
    <t>PERSONA O EMPRESA RELACIONADA</t>
  </si>
  <si>
    <t>Total Ingresos</t>
  </si>
  <si>
    <t>Total Egresos</t>
  </si>
  <si>
    <t>Edge S.A.</t>
  </si>
  <si>
    <t>Codesarrollos S.A.</t>
  </si>
  <si>
    <t>Investor AFPI SA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</si>
  <si>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</si>
  <si>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</si>
  <si>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</si>
  <si>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</si>
  <si>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</si>
  <si>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</si>
  <si>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</si>
  <si>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</si>
  <si>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</si>
  <si>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</si>
  <si>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</si>
  <si>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Ingresos por intereses de Cartera propia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</si>
  <si>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</si>
  <si>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</si>
  <si>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</si>
  <si>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</si>
  <si>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</si>
  <si>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</si>
  <si>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</si>
  <si>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</si>
  <si>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</si>
  <si>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</si>
  <si>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</si>
  <si>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</si>
  <si>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</si>
  <si>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Ganancia por Venta de Rodado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</si>
  <si>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</si>
  <si>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</si>
  <si>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</si>
  <si>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</si>
  <si>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</si>
  <si>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corresponde al presente periodo.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</si>
  <si>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</si>
  <si>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</si>
  <si>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</si>
  <si>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</si>
  <si>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</si>
  <si>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Rolando Natalizia</t>
  </si>
  <si>
    <t>Anibal Acosta</t>
  </si>
  <si>
    <t>Ingresos por Operaciones y Servicios Extrabursatiles</t>
  </si>
  <si>
    <t>BALANCE GENERAL</t>
  </si>
  <si>
    <t>REVALORIZAC</t>
  </si>
  <si>
    <t>Investor Casa de Bolsa. S.A. posee Acciones de la Empresa Investor Administradora de Fondos Patrimoniales de Inversión S.A., constituida en Asunción-Paraguay, por valor de Gs.2.495.451.703 que representan el 85% del Capital Social. –</t>
  </si>
  <si>
    <t>Investor no ha reconocido en este Ejercicio los resultados de sus subsidiarias en sus Estados de Resultado Individual.</t>
  </si>
  <si>
    <t>Financiera El Comercio Caja De Ahorros Gs</t>
  </si>
  <si>
    <t>Banco Nacional de Fomento U$S</t>
  </si>
  <si>
    <t>Itau Cta Cte. Gs  571</t>
  </si>
  <si>
    <t>Total al 31/12/2020</t>
  </si>
  <si>
    <t>Valores al 31/12/2020</t>
  </si>
  <si>
    <t>Clientes Operaciones</t>
  </si>
  <si>
    <t>Deudores por Intermediación</t>
  </si>
  <si>
    <t>Market Data SA</t>
  </si>
  <si>
    <t>De acuerdo a lo previsto en el artículo 111 de la Ley 5810/17, la entidad tiene constituida como garantía la suma de U$S 100.000- ( dolares americanos cien mil), representados por 2 Certificados de Depositos de Ahorro, de U$$ 50.000 cada uno, emitidos por BANCO RIO SAECA, corresponden a la serie del titulo UH N° 0210/211 respectivamente.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</si>
  <si>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</si>
  <si>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</si>
  <si>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</si>
  <si>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</si>
  <si>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Balance Final </t>
  </si>
  <si>
    <r>
      <t>a)</t>
    </r>
    <r>
      <rPr>
        <b/>
        <sz val="9"/>
        <color indexed="8"/>
        <rFont val="Calibri"/>
        <family val="2"/>
        <scheme val="minor"/>
      </rPr>
      <t>      Valuación en moneda extranjera</t>
    </r>
  </si>
  <si>
    <r>
      <t>b)</t>
    </r>
    <r>
      <rPr>
        <b/>
        <sz val="9"/>
        <color indexed="8"/>
        <rFont val="Calibri"/>
        <family val="2"/>
        <scheme val="minor"/>
      </rPr>
      <t>       Posición en moneda extranjera</t>
    </r>
  </si>
  <si>
    <r>
      <t>C)</t>
    </r>
    <r>
      <rPr>
        <b/>
        <sz val="9"/>
        <color indexed="8"/>
        <rFont val="Calibri"/>
        <family val="2"/>
        <scheme val="minor"/>
      </rPr>
      <t>      Diferencia de cambio en moneda extranjera.</t>
    </r>
  </si>
  <si>
    <r>
      <t>j)</t>
    </r>
    <r>
      <rPr>
        <b/>
        <sz val="9"/>
        <color indexed="8"/>
        <rFont val="Calibri"/>
        <family val="2"/>
        <scheme val="minor"/>
      </rPr>
      <t>       Otros Activos Corrientes y No Corrientes</t>
    </r>
  </si>
  <si>
    <r>
      <t>k)</t>
    </r>
    <r>
      <rPr>
        <b/>
        <sz val="9"/>
        <color indexed="8"/>
        <rFont val="Calibri"/>
        <family val="2"/>
        <scheme val="minor"/>
      </rPr>
      <t>       Préstamos Financieros a corto y a largo plazo.</t>
    </r>
  </si>
  <si>
    <r>
      <t>l)</t>
    </r>
    <r>
      <rPr>
        <b/>
        <sz val="9"/>
        <color indexed="8"/>
        <rFont val="Calibri"/>
        <family val="2"/>
        <scheme val="minor"/>
      </rPr>
      <t>       Documentos y cuentas por pagar (Corto y largo plazo)</t>
    </r>
  </si>
  <si>
    <r>
      <t>m)</t>
    </r>
    <r>
      <rPr>
        <b/>
        <sz val="9"/>
        <color indexed="8"/>
        <rFont val="Calibri"/>
        <family val="2"/>
        <scheme val="minor"/>
      </rPr>
      <t>       Acreedores Corto y Largo Plazo. No aplicable.</t>
    </r>
  </si>
  <si>
    <r>
      <t>n)</t>
    </r>
    <r>
      <rPr>
        <b/>
        <sz val="9"/>
        <color indexed="8"/>
        <rFont val="Calibri"/>
        <family val="2"/>
        <scheme val="minor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</si>
  <si>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  <scheme val="minor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</si>
  <si>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  <scheme val="minor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</si>
  <si>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  <scheme val="minor"/>
      </rPr>
      <t>       Otros Pasivos Corrientes y No Corrientes</t>
    </r>
  </si>
  <si>
    <r>
      <t>u)</t>
    </r>
    <r>
      <rPr>
        <b/>
        <sz val="9"/>
        <color indexed="8"/>
        <rFont val="Calibri"/>
        <family val="2"/>
        <scheme val="minor"/>
      </rPr>
      <t xml:space="preserve">       Previsiones </t>
    </r>
  </si>
  <si>
    <t>Basa 139-5 Usd</t>
  </si>
  <si>
    <t>Retencion Iva</t>
  </si>
  <si>
    <t>Obligaciones  por Contratos de Underwriting</t>
  </si>
  <si>
    <t>INVERSIONES TEMPORARIAS</t>
  </si>
  <si>
    <t>Ingresos por Administracion de Carteras</t>
  </si>
  <si>
    <t>Ingresos por Custodia de Valores</t>
  </si>
  <si>
    <t>Acciones</t>
  </si>
  <si>
    <r>
      <t>2.1</t>
    </r>
    <r>
      <rPr>
        <b/>
        <sz val="9"/>
        <color indexed="8"/>
        <rFont val="Calibri"/>
        <family val="2"/>
        <scheme val="minor"/>
      </rPr>
      <t>              Naturaleza jurídica de las actividades de la sociedad</t>
    </r>
  </si>
  <si>
    <r>
      <t>INVESTOR CASA DE BOLSA S.A</t>
    </r>
    <r>
      <rPr>
        <sz val="9"/>
        <color indexed="8"/>
        <rFont val="Calibri"/>
        <family val="2"/>
        <scheme val="minor"/>
      </rPr>
      <t>. fue constituida bajo la forma jurídica de Sociedad Anónima el 06 de Marzo de 2010 según escritura Pública Nº 205 e inscripta en el Registro Público de Comercio en el Libro Seccional respectivo y bajo en Nº 62 Y el folio Nº 696 y siguiente de fecha 23 de Marzo de 2010. La Sociedad se halla regida por las disposiciones de sus Estatutos, las Normas Legales y Reglamentarias relativas a la Sociedad y al Código Civil. La duración inicial de la Sociedad es de noventa y nueve años.</t>
    </r>
  </si>
  <si>
    <r>
      <t>2.2</t>
    </r>
    <r>
      <rPr>
        <b/>
        <sz val="9"/>
        <color indexed="8"/>
        <rFont val="Calibri"/>
        <family val="2"/>
        <scheme val="minor"/>
      </rPr>
      <t>   Participación en empresas vinculadas</t>
    </r>
  </si>
  <si>
    <r>
      <t>3.4.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Depreciación de bienes de uso</t>
    </r>
  </si>
  <si>
    <t xml:space="preserve"> -   </t>
  </si>
  <si>
    <t>Procampo</t>
  </si>
  <si>
    <t>Acreedores por Intermediación. Nota 5 m</t>
  </si>
  <si>
    <t>Cuentas por Pagar a Personas y Emp. Relacionadas. Nota o</t>
  </si>
  <si>
    <t>PROVISIONES. Nota q</t>
  </si>
  <si>
    <t>Provisiones varias</t>
  </si>
  <si>
    <t>Investor Afpisa</t>
  </si>
  <si>
    <t>Incubate Sa</t>
  </si>
  <si>
    <t>Albaro Acosta</t>
  </si>
  <si>
    <t>Investor Real Estate S.A</t>
  </si>
  <si>
    <t>Federico Sebastian Oporto</t>
  </si>
  <si>
    <t>Fabio Zarza</t>
  </si>
  <si>
    <t>Adrian Aponte</t>
  </si>
  <si>
    <t>Federico Callizo Pecci</t>
  </si>
  <si>
    <t xml:space="preserve">Market Data </t>
  </si>
  <si>
    <r>
      <t>a)</t>
    </r>
    <r>
      <rPr>
        <b/>
        <sz val="9"/>
        <color indexed="8"/>
        <rFont val="Calibri"/>
        <family val="2"/>
        <scheme val="minor"/>
      </rPr>
      <t>        Compromisos Directos</t>
    </r>
  </si>
  <si>
    <r>
      <t>b)</t>
    </r>
    <r>
      <rPr>
        <b/>
        <sz val="9"/>
        <color indexed="8"/>
        <rFont val="Calibri"/>
        <family val="2"/>
        <scheme val="minor"/>
      </rPr>
      <t>        Contingencias Legales</t>
    </r>
  </si>
  <si>
    <r>
      <t>c)</t>
    </r>
    <r>
      <rPr>
        <b/>
        <sz val="9"/>
        <color indexed="8"/>
        <rFont val="Calibri"/>
        <family val="2"/>
        <scheme val="minor"/>
      </rPr>
      <t>        Garantías Constituidas</t>
    </r>
  </si>
  <si>
    <r>
      <t>NOTA 8.</t>
    </r>
    <r>
      <rPr>
        <sz val="9"/>
        <color indexed="8"/>
        <rFont val="Calibri"/>
        <family val="2"/>
        <scheme val="minor"/>
      </rPr>
      <t xml:space="preserve"> </t>
    </r>
    <r>
      <rPr>
        <b/>
        <sz val="9"/>
        <color indexed="8"/>
        <rFont val="Calibri"/>
        <family val="2"/>
        <scheme val="minor"/>
      </rPr>
      <t>LIMITACION A LA LIBRE DISPONIBILIDAD DE LOS ACTIVOS O DEL PATRIMONIO Y DE CUALQUIER RESTRICCION AL DERECHO DE PROPIEDAD.</t>
    </r>
  </si>
  <si>
    <t>Identificación</t>
  </si>
  <si>
    <t>INVESTOR CASA DE BOLSA S.A., R.U.C.: 80060213-7</t>
  </si>
  <si>
    <t>E-mail: aacosta@investor.com.py</t>
  </si>
  <si>
    <t>Antecedentes de la Constitución de la Sociedad y Reformas Estatutarias</t>
  </si>
  <si>
    <t>Administración</t>
  </si>
  <si>
    <t>Auditor Externo Independiente</t>
  </si>
  <si>
    <t>Personas Vinculadas</t>
  </si>
  <si>
    <t>Nombres y Apellidos</t>
  </si>
  <si>
    <t>Cargo</t>
  </si>
  <si>
    <t>Federico Sebastián Oporto Leiva</t>
  </si>
  <si>
    <t>Accionista/Presidente</t>
  </si>
  <si>
    <t>Accionista/Vice -Presidente</t>
  </si>
  <si>
    <t>Albaro José Acosta Ferreira</t>
  </si>
  <si>
    <t>Accionista/Director Titular</t>
  </si>
  <si>
    <t>Ana Cristina Neffa Persano</t>
  </si>
  <si>
    <t>Director Titular</t>
  </si>
  <si>
    <t>Fabio Daniel Zarza</t>
  </si>
  <si>
    <t>Juan José Talavera Saguier</t>
  </si>
  <si>
    <t>Síndico titular</t>
  </si>
  <si>
    <t>Oficial de cumplimiento</t>
  </si>
  <si>
    <t>Operador</t>
  </si>
  <si>
    <t>Auditor Interno</t>
  </si>
  <si>
    <t>Acciones en Empresas</t>
  </si>
  <si>
    <t>% Participación</t>
  </si>
  <si>
    <t>Investor AFPISA</t>
  </si>
  <si>
    <t>Market Data</t>
  </si>
  <si>
    <t>Capital y Propiedad:</t>
  </si>
  <si>
    <t>CUADRO DEL CAPITAL INTEGRADO</t>
  </si>
  <si>
    <r>
      <t>I.</t>
    </r>
    <r>
      <rPr>
        <sz val="7"/>
        <color rgb="FF2F5496"/>
        <rFont val="Calibri"/>
        <family val="2"/>
        <scheme val="minor"/>
      </rPr>
      <t xml:space="preserve">               </t>
    </r>
    <r>
      <rPr>
        <sz val="16"/>
        <color rgb="FF2F5496"/>
        <rFont val="Calibri"/>
        <family val="2"/>
        <scheme val="minor"/>
      </rPr>
      <t>INFORMACION GENERAL DE LA ENTIDAD</t>
    </r>
  </si>
  <si>
    <r>
      <t>Actividad Principal:</t>
    </r>
    <r>
      <rPr>
        <sz val="9"/>
        <color theme="1"/>
        <rFont val="Calibri"/>
        <family val="2"/>
        <scheme val="minor"/>
      </rPr>
      <t xml:space="preserve"> (Compra y Venta de Valores - Asesoría en Materia de Valores)</t>
    </r>
  </si>
  <si>
    <r>
      <t xml:space="preserve">Registro CNV: </t>
    </r>
    <r>
      <rPr>
        <sz val="9"/>
        <color theme="1"/>
        <rFont val="Calibri"/>
        <family val="2"/>
        <scheme val="minor"/>
      </rPr>
      <t>según resolución Nro.1275/10 de fecha 19 de mayo 2010</t>
    </r>
  </si>
  <si>
    <r>
      <t>Código de Bolsa:</t>
    </r>
    <r>
      <rPr>
        <sz val="9"/>
        <color theme="1"/>
        <rFont val="Calibri"/>
        <family val="2"/>
        <scheme val="minor"/>
      </rPr>
      <t xml:space="preserve"> 021 según resolución 915/10 de fecha 31 de mayo 2010</t>
    </r>
  </si>
  <si>
    <r>
      <t>Dirección Oficina Principal:</t>
    </r>
    <r>
      <rPr>
        <sz val="9"/>
        <color theme="1"/>
        <rFont val="Calibri"/>
        <family val="2"/>
        <scheme val="minor"/>
      </rPr>
      <t xml:space="preserve"> Avenida Brasilia N° 764</t>
    </r>
  </si>
  <si>
    <r>
      <t xml:space="preserve">Teléfono/Fax:  </t>
    </r>
    <r>
      <rPr>
        <sz val="9"/>
        <color theme="1"/>
        <rFont val="Calibri"/>
        <family val="2"/>
        <scheme val="minor"/>
      </rPr>
      <t>+595981- 666670</t>
    </r>
  </si>
  <si>
    <r>
      <t xml:space="preserve">Página Web: </t>
    </r>
    <r>
      <rPr>
        <sz val="9"/>
        <color theme="1"/>
        <rFont val="Calibri"/>
        <family val="2"/>
        <scheme val="minor"/>
      </rPr>
      <t>www.investor.com.py</t>
    </r>
  </si>
  <si>
    <r>
      <t>Domicilio Legal:</t>
    </r>
    <r>
      <rPr>
        <sz val="9"/>
        <color theme="1"/>
        <rFont val="Calibri"/>
        <family val="2"/>
        <scheme val="minor"/>
      </rPr>
      <t xml:space="preserve">  Asunción- Paraguay</t>
    </r>
  </si>
  <si>
    <r>
      <t>Inscripción en el Registro Público</t>
    </r>
    <r>
      <rPr>
        <sz val="9"/>
        <color theme="1"/>
        <rFont val="Calibri"/>
        <family val="2"/>
        <scheme val="minor"/>
      </rPr>
      <t>: 17 de setiembre 2018.</t>
    </r>
  </si>
  <si>
    <r>
      <t>Reforma de Estatuto:</t>
    </r>
    <r>
      <rPr>
        <sz val="9"/>
        <color theme="1"/>
        <rFont val="Calibri"/>
        <family val="2"/>
        <scheme val="minor"/>
      </rPr>
      <t xml:space="preserve"> Modificación del Art. N° 6 donde se fija el Capital Social de la Sociedad a Gs. 35.000.000.000 (Guaraníes Treinta y Cinco mil millones)</t>
    </r>
  </si>
  <si>
    <r>
      <t xml:space="preserve">Presidente: </t>
    </r>
    <r>
      <rPr>
        <sz val="9"/>
        <color theme="1"/>
        <rFont val="Calibri"/>
        <family val="2"/>
        <scheme val="minor"/>
      </rPr>
      <t>Federico Sebastian Oporto</t>
    </r>
  </si>
  <si>
    <r>
      <t>Vice-Presidente:</t>
    </r>
    <r>
      <rPr>
        <sz val="9"/>
        <color theme="1"/>
        <rFont val="Calibri"/>
        <family val="2"/>
        <scheme val="minor"/>
      </rPr>
      <t xml:space="preserve"> Federico Callizo Pecci</t>
    </r>
  </si>
  <si>
    <r>
      <t>Director Titular:</t>
    </r>
    <r>
      <rPr>
        <sz val="9"/>
        <color theme="1"/>
        <rFont val="Calibri"/>
        <family val="2"/>
        <scheme val="minor"/>
      </rPr>
      <t xml:space="preserve"> Albaro Jose Acosta </t>
    </r>
  </si>
  <si>
    <r>
      <t>Director Titular</t>
    </r>
    <r>
      <rPr>
        <sz val="9"/>
        <color theme="1"/>
        <rFont val="Calibri"/>
        <family val="2"/>
        <scheme val="minor"/>
      </rPr>
      <t>: Ana Cristina Neffa</t>
    </r>
  </si>
  <si>
    <r>
      <t>Director Titular:</t>
    </r>
    <r>
      <rPr>
        <sz val="9"/>
        <color rgb="FF000000"/>
        <rFont val="Calibri"/>
        <family val="2"/>
        <scheme val="minor"/>
      </rPr>
      <t xml:space="preserve"> Fabio Daniel Zarza</t>
    </r>
    <r>
      <rPr>
        <sz val="9"/>
        <color theme="1"/>
        <rFont val="Calibri"/>
        <family val="2"/>
        <scheme val="minor"/>
      </rPr>
      <t xml:space="preserve"> </t>
    </r>
  </si>
  <si>
    <r>
      <t>Síndico:</t>
    </r>
    <r>
      <rPr>
        <sz val="9"/>
        <color theme="1"/>
        <rFont val="Calibri"/>
        <family val="2"/>
        <scheme val="minor"/>
      </rPr>
      <t xml:space="preserve"> Juan José Talavera Saguier</t>
    </r>
  </si>
  <si>
    <r>
      <t>Auditor Externo Independiente Asignado:</t>
    </r>
    <r>
      <rPr>
        <sz val="9"/>
        <color theme="1"/>
        <rFont val="Calibri"/>
        <family val="2"/>
        <scheme val="minor"/>
      </rPr>
      <t xml:space="preserve"> MARTI &amp; ASOCIADOS</t>
    </r>
    <r>
      <rPr>
        <b/>
        <sz val="9"/>
        <color theme="1"/>
        <rFont val="Calibri"/>
        <family val="2"/>
        <scheme val="minor"/>
      </rPr>
      <t xml:space="preserve"> </t>
    </r>
  </si>
  <si>
    <r>
      <t>Número de Inscripción en el Registro de la CNV:</t>
    </r>
    <r>
      <rPr>
        <sz val="9"/>
        <color theme="1"/>
        <rFont val="Calibri"/>
        <family val="2"/>
        <scheme val="minor"/>
      </rPr>
      <t xml:space="preserve"> Código AE-042</t>
    </r>
  </si>
  <si>
    <r>
      <t xml:space="preserve">Capital Social de acuerdo al Artículo 6to. Del Estatuto Social es de Gs. 35.000.000.000.- (Guaraníes Treinta y cinco mil millones). Representado por 35.000.- (treinta y cinco mil) acciones nominativas ordinarias de </t>
    </r>
    <r>
      <rPr>
        <b/>
        <sz val="9"/>
        <color theme="1"/>
        <rFont val="Calibri"/>
        <family val="2"/>
        <scheme val="minor"/>
      </rPr>
      <t>valor nominal Gs. 1.000.000.- (Un millón) cada una.</t>
    </r>
  </si>
  <si>
    <r>
      <t>Valor Nominal de las Acciones:</t>
    </r>
    <r>
      <rPr>
        <sz val="9"/>
        <color theme="1"/>
        <rFont val="Calibri"/>
        <family val="2"/>
        <scheme val="minor"/>
      </rPr>
      <t xml:space="preserve"> Gs. 1.000.000.- (guaraníes un millón). -</t>
    </r>
  </si>
  <si>
    <t xml:space="preserve">Codesarrollos </t>
  </si>
  <si>
    <r>
      <t>Capital Emitido:</t>
    </r>
    <r>
      <rPr>
        <sz val="9"/>
        <color theme="1"/>
        <rFont val="Calibri"/>
        <family val="2"/>
        <scheme val="minor"/>
      </rPr>
      <t xml:space="preserve"> Gs.27.008.000.000.- (guaraníes veinticuatro mil doscientos ochenta y ocho millones)</t>
    </r>
    <r>
      <rPr>
        <b/>
        <sz val="9"/>
        <color theme="1"/>
        <rFont val="Calibri"/>
        <family val="2"/>
        <scheme val="minor"/>
      </rPr>
      <t>. -</t>
    </r>
  </si>
  <si>
    <r>
      <t>Capital Suscripto:</t>
    </r>
    <r>
      <rPr>
        <sz val="9"/>
        <color theme="1"/>
        <rFont val="Calibri"/>
        <family val="2"/>
        <scheme val="minor"/>
      </rPr>
      <t xml:space="preserve"> Gs.27.008.000.000.- (guaraníes veinticuatro mil doscientos ochenta y ocho millones)</t>
    </r>
    <r>
      <rPr>
        <b/>
        <sz val="9"/>
        <color theme="1"/>
        <rFont val="Calibri"/>
        <family val="2"/>
        <scheme val="minor"/>
      </rPr>
      <t>. -</t>
    </r>
  </si>
  <si>
    <r>
      <t>Capital Integrado:</t>
    </r>
    <r>
      <rPr>
        <sz val="9"/>
        <color theme="1"/>
        <rFont val="Calibri"/>
        <family val="2"/>
        <scheme val="minor"/>
      </rPr>
      <t xml:space="preserve"> Gs.27.008.000.000.- (guaraníes veinticuatro mil doscientos ochenta y ocho millones)</t>
    </r>
    <r>
      <rPr>
        <b/>
        <sz val="9"/>
        <color theme="1"/>
        <rFont val="Calibri"/>
        <family val="2"/>
        <scheme val="minor"/>
      </rPr>
      <t>. -</t>
    </r>
  </si>
  <si>
    <t>Otros Activos</t>
  </si>
  <si>
    <t>Otros Costos de Operaciones</t>
  </si>
  <si>
    <t>Los Bienes de Uso se expresan a su valor de adquisición. Ya no se revaluan a partir del Ejercicio 2020.</t>
  </si>
  <si>
    <t>Bco Regional Comp 729</t>
  </si>
  <si>
    <t>Corresponde a cuentas por cobrar a diversos clientes. Su composición al 30 de junio de 2021 comparativo con el ejercicio anterior, es como sigue:</t>
  </si>
  <si>
    <t>Seguros a Vencer M/L</t>
  </si>
  <si>
    <t>Intereses a Vencer M/L</t>
  </si>
  <si>
    <t>Intereses a Vencer M/E</t>
  </si>
  <si>
    <t>Albaro Acosta - Director</t>
  </si>
  <si>
    <t>Federico Sebastián Oporto Leiva Espínola - Director</t>
  </si>
  <si>
    <t>Federico Callizo-Director</t>
  </si>
  <si>
    <t>Procampo SA</t>
  </si>
  <si>
    <t>Fabio Zarza Director</t>
  </si>
  <si>
    <t>Ana Neffa - Director</t>
  </si>
  <si>
    <t>Ingresos por intereses de Cartera propia - Empresas y Personas Relacionadas</t>
  </si>
  <si>
    <t>PERIODO ANT 31/12/ 2020</t>
  </si>
  <si>
    <t>Nro.</t>
  </si>
  <si>
    <t>Accionista</t>
  </si>
  <si>
    <t>Serie</t>
  </si>
  <si>
    <t>Del Número</t>
  </si>
  <si>
    <t>Al Número</t>
  </si>
  <si>
    <t>Cantidad de Acciones</t>
  </si>
  <si>
    <t>Clase</t>
  </si>
  <si>
    <t>Votos</t>
  </si>
  <si>
    <t>Monto</t>
  </si>
  <si>
    <t>Albaro Jose Acosta Ferreira</t>
  </si>
  <si>
    <t>Ordinaria Nominativa</t>
  </si>
  <si>
    <t>Anibal David Acosta Ferreira</t>
  </si>
  <si>
    <t>Rolando Jose Natalizia Nasser</t>
  </si>
  <si>
    <t>Federico Sebastian Oporto Leiva Espinola</t>
  </si>
  <si>
    <t>Voto</t>
  </si>
  <si>
    <t>La composición de los fondos disponibles en Bancos, es como sigue:</t>
  </si>
  <si>
    <t xml:space="preserve">Otros Activos </t>
  </si>
  <si>
    <t xml:space="preserve">Investor Casa de Bolsa. S.A. posee Acciones de la Empresa Market Data S.A., constituida en Asunción-Paraguay, por valor de Gs. 499.000.000 que representan el 99,80 % del Capital Social. </t>
  </si>
  <si>
    <t>PERIODO ACTUAL 30/09/ 2021</t>
  </si>
  <si>
    <t>SALDO AL 30/09/2021</t>
  </si>
  <si>
    <t>SALDO AL 30/09/2020</t>
  </si>
  <si>
    <t>Investor Casa de Bolsa. S.A. ha adquirido Acciones de la Empresa Codesarrollos S.A., constituida en Asunción-Paraguay, por precio pagado de Gs. 5.498.595.000 que representan una participación del 70% del Capital Social.  Valor Nominal de las Acciones adquiridas Gs. 1.050.000.000-</t>
  </si>
  <si>
    <t>Domicilio</t>
  </si>
  <si>
    <t>Actividad</t>
  </si>
  <si>
    <t>Brasilia 764-Asunción</t>
  </si>
  <si>
    <t>Comunicaciones</t>
  </si>
  <si>
    <t>Admin de Fondos</t>
  </si>
  <si>
    <t>Admin. Estab. Ganad</t>
  </si>
  <si>
    <t>Cuadro del Capital Suscripto</t>
  </si>
  <si>
    <t>DOCUMENTOS Y CUENTAS A PAGAR</t>
  </si>
  <si>
    <t>INVERSIONES TEMPORARIAS  NOTA 5 E</t>
  </si>
  <si>
    <t xml:space="preserve">RESULTADOS   </t>
  </si>
  <si>
    <t>CORRESPONDIENTE AL 30 DE SETIEMBRE DE 2021 PRESENTADO EN FORMA COMPARATIVA CON EL EJERCICIO ECONOMICO ANTERIOR  AL  31 DE DICIEMBRE DE  2020.</t>
  </si>
  <si>
    <t>Valor Llave Compra Acciones en Emp.</t>
  </si>
  <si>
    <t>CORRESPONDIENTE AL 30 DE SETIEMBRE DE 2021 PRESENTADO EN FORMA COMPARATIVA CON EL 30 DE SETIEMBRE DE 2020</t>
  </si>
  <si>
    <t xml:space="preserve">Aguinaldos </t>
  </si>
  <si>
    <t>Mantenimiento y reparaciones</t>
  </si>
  <si>
    <t>Dividendos  Cobrados</t>
  </si>
  <si>
    <t>CORRESPONDIENTE AL 30 DE SETIEMBRE DE 2021 PRESENTADO EN FORMA COMPARATIVA CON EL 3O DE SETIEMBRE DE 2020</t>
  </si>
  <si>
    <t>CORRESPONDIENTE AL 3O DE SETIEMBRE DE 2021 PRESENTADO EN FORMA COMPARATIVA CON EL 30 DE SETIEMBRE DE 2020</t>
  </si>
  <si>
    <t>CAMBIO CIERRE PERIODO ACTUAL GUARANIES</t>
  </si>
  <si>
    <t>CAMBIO CIERRE PERIODO ANTERIOR GUARANIES</t>
  </si>
  <si>
    <t xml:space="preserve">CAMBIO CIERRE PERIODO ACTUAL </t>
  </si>
  <si>
    <t xml:space="preserve">CAMBIO CIERRE PERIODO ANTERIOR </t>
  </si>
  <si>
    <t>TOTAL BANCOS</t>
  </si>
  <si>
    <t xml:space="preserve">BANCOS </t>
  </si>
  <si>
    <t xml:space="preserve">Caja </t>
  </si>
  <si>
    <t>Fondo Fijo</t>
  </si>
  <si>
    <t>Banco Regional Cta Comp. Usd 369</t>
  </si>
  <si>
    <t>Vision Banco Cta.Cte Usd 123</t>
  </si>
  <si>
    <t>Continental Cta.Cte.U$S 306</t>
  </si>
  <si>
    <t>Atlas Cta Comp Usd 950</t>
  </si>
  <si>
    <t>Financiera Rio Saeca U$S 009</t>
  </si>
  <si>
    <t>Solar S.A. De Ahorro Y Prestamo U$D 353</t>
  </si>
  <si>
    <t>Financiera Paraguaya Japonesa U$S 065</t>
  </si>
  <si>
    <t>Bco. Familiar Comp. Gs-761</t>
  </si>
  <si>
    <t>Bbva Cta.Cte. Gs 493</t>
  </si>
  <si>
    <t>Vision Banco Cta.Cte.Gs 116</t>
  </si>
  <si>
    <t>Continental Cta.Cte.Gs 205</t>
  </si>
  <si>
    <t>Atlas Gs. 256</t>
  </si>
  <si>
    <t>Basa Gs 599</t>
  </si>
  <si>
    <t>Banco Nacional de Fomento Gs 626</t>
  </si>
  <si>
    <t>Solar S.A. De Ahorro Y Prestamo Gs. 352</t>
  </si>
  <si>
    <t>Financiera Paraguaya Japonesa Gs. 064</t>
  </si>
  <si>
    <t>La composición de los fondos disponibles en Caja y Recaudaciones a Depositar, es como sigue:</t>
  </si>
  <si>
    <t>TOTAL CAJA/RECAUDACIONES A DEPOSITAR</t>
  </si>
  <si>
    <r>
      <t>e)</t>
    </r>
    <r>
      <rPr>
        <b/>
        <sz val="12"/>
        <color indexed="8"/>
        <rFont val="Calibri"/>
        <family val="2"/>
        <scheme val="minor"/>
      </rPr>
      <t>   Inversiones  Temporales y Permanentes</t>
    </r>
  </si>
  <si>
    <r>
      <t>d)</t>
    </r>
    <r>
      <rPr>
        <b/>
        <sz val="12"/>
        <color indexed="8"/>
        <rFont val="Calibri"/>
        <family val="2"/>
        <scheme val="minor"/>
      </rPr>
      <t>       Disponibilidades</t>
    </r>
  </si>
  <si>
    <t xml:space="preserve"> INFORMACION SOBRE EL EMISOR AL 30/09/2021</t>
  </si>
  <si>
    <t>Accion</t>
  </si>
  <si>
    <t>Total al 30/09/2021</t>
  </si>
  <si>
    <t xml:space="preserve">                       - </t>
  </si>
  <si>
    <t xml:space="preserve">                         - </t>
  </si>
  <si>
    <t>VALOR DE MERCADO</t>
  </si>
  <si>
    <t>Nucleo S.A.E.</t>
  </si>
  <si>
    <t>Bonos Financieros</t>
  </si>
  <si>
    <t>Bonos Públicos</t>
  </si>
  <si>
    <t xml:space="preserve">Electroban S.A. </t>
  </si>
  <si>
    <t xml:space="preserve">Ministerio De Hacienda </t>
  </si>
  <si>
    <t>Banco Itaú Paraguay S.A.</t>
  </si>
  <si>
    <t>Tecnologia Del Sur S.A.E.</t>
  </si>
  <si>
    <t>Banco Nacional De Fomento</t>
  </si>
  <si>
    <t>Bonos Subordinados</t>
  </si>
  <si>
    <t>TITULOS DE RENTA VARIABLE</t>
  </si>
  <si>
    <t>Banco Bilbao Vizcaya Argentaria Paraguay S.A.</t>
  </si>
  <si>
    <t xml:space="preserve">Vision Banco S.A.E.C.A. </t>
  </si>
  <si>
    <t xml:space="preserve">Rieder &amp; Compañia S.A.C.I. </t>
  </si>
  <si>
    <t>Banco Rio S.A.E.C.A.</t>
  </si>
  <si>
    <t xml:space="preserve">Banco Continental S.A.E.C.A. </t>
  </si>
  <si>
    <t>Compañia Administradora De Riesgos Sa</t>
  </si>
  <si>
    <t xml:space="preserve">Lc Risk Management S.A.E.C.A. </t>
  </si>
  <si>
    <t>Patria Sa De Seguros Y Reaseguros</t>
  </si>
  <si>
    <t>Acciones en  Market Data SA</t>
  </si>
  <si>
    <t>Acciones en AFPISA</t>
  </si>
  <si>
    <t>Acciones en Procampo Gerenciamientos SA</t>
  </si>
  <si>
    <t>Acciones en  Codesarrollos SA</t>
  </si>
  <si>
    <t>Accion en BVPASA</t>
  </si>
  <si>
    <t xml:space="preserve"> UNITARIO</t>
  </si>
  <si>
    <t>VALOR DE</t>
  </si>
  <si>
    <t xml:space="preserve"> COTIZACION</t>
  </si>
  <si>
    <t xml:space="preserve">VALOR NOMINAL </t>
  </si>
  <si>
    <t xml:space="preserve">VALOR </t>
  </si>
  <si>
    <t>DE COTIZACION</t>
  </si>
  <si>
    <t>DOCUMENTOS Y  CUENTAS A COBRAR</t>
  </si>
  <si>
    <t>CUENTAS POR COBRAR A PERSONAS Y EMP. RELACIONADAS</t>
  </si>
  <si>
    <t>f)       Créditos</t>
  </si>
  <si>
    <t>Balance Gral. Resol. 6'!A1</t>
  </si>
  <si>
    <t>Balance Gral. Resol. 30'!A1</t>
  </si>
  <si>
    <t xml:space="preserve">Intereses a Vencer -  </t>
  </si>
  <si>
    <t>GASTOS NO DEVENGADOS - Nota 5 h</t>
  </si>
  <si>
    <t xml:space="preserve">Seguros a Vencer </t>
  </si>
  <si>
    <t xml:space="preserve">Garantía de Alquiler  </t>
  </si>
  <si>
    <t>GASTOS NO DEVENGADOS  - Nota 5 j</t>
  </si>
  <si>
    <r>
      <t>h)</t>
    </r>
    <r>
      <rPr>
        <b/>
        <sz val="12"/>
        <color indexed="8"/>
        <rFont val="Calibri"/>
        <family val="2"/>
        <scheme val="minor"/>
      </rPr>
      <t>       Cargos Diferidos</t>
    </r>
  </si>
  <si>
    <t>Se componen de la siguiente manera;</t>
  </si>
  <si>
    <t>Facturas Anticipo a Empleados</t>
  </si>
  <si>
    <t>Intereses a cobrar por Repos</t>
  </si>
  <si>
    <t>Cuentas a cobrar a Directores y Accionistas</t>
  </si>
  <si>
    <t>DEUDORES VARIOS</t>
  </si>
  <si>
    <t>Garantia de Alquiler - Estacionamiento</t>
  </si>
  <si>
    <t>Totales Creditos 30/09/2021</t>
  </si>
  <si>
    <r>
      <t>g)</t>
    </r>
    <r>
      <rPr>
        <b/>
        <sz val="12"/>
        <color indexed="8"/>
        <rFont val="Calibri"/>
        <family val="2"/>
        <scheme val="minor"/>
      </rPr>
      <t>      Bienes de Uso</t>
    </r>
  </si>
  <si>
    <t>Los saldos de la cuentas estan compuestas como siguen;</t>
  </si>
  <si>
    <t>i)   Intangibles</t>
  </si>
  <si>
    <t>Las cuentas que la componen son las siguientes;</t>
  </si>
  <si>
    <t>Valor llave por compra Acciones Codesa</t>
  </si>
  <si>
    <t>Diferencia entre el Precio de Venta y el Valor nominal</t>
  </si>
  <si>
    <t>Valores al 30/09/2021</t>
  </si>
  <si>
    <t>Licencia de windows</t>
  </si>
  <si>
    <t>Prestamos Bancarios</t>
  </si>
  <si>
    <t>Continental</t>
  </si>
  <si>
    <t>Gnb Fusion</t>
  </si>
  <si>
    <t>Itau</t>
  </si>
  <si>
    <t>Cefisa</t>
  </si>
  <si>
    <t>Ministerio De Hacienda</t>
  </si>
  <si>
    <t>Acreedores por Operaciones Propias</t>
  </si>
  <si>
    <t>Deudas con Empleados</t>
  </si>
  <si>
    <t>IPS a pagar</t>
  </si>
  <si>
    <t>S/Vcto</t>
  </si>
  <si>
    <t>Cattle SA</t>
  </si>
  <si>
    <t>Be Live SA</t>
  </si>
  <si>
    <t>Saldos al 30/09/2021</t>
  </si>
  <si>
    <t>AL 30/09/2021</t>
  </si>
  <si>
    <t>AL 30/09/2020</t>
  </si>
  <si>
    <r>
      <t>v)</t>
    </r>
    <r>
      <rPr>
        <b/>
        <sz val="12"/>
        <color indexed="8"/>
        <rFont val="Calibri"/>
        <family val="2"/>
        <scheme val="minor"/>
      </rPr>
      <t>       Ingresos Operativos</t>
    </r>
  </si>
  <si>
    <t>Estado de Resultado Resol. 30'!A1</t>
  </si>
  <si>
    <t>Ingresos Operativos - Nota v</t>
  </si>
  <si>
    <t>PERIODO 30/09/2020</t>
  </si>
  <si>
    <t>Gastos de Comercialización -Nota w</t>
  </si>
  <si>
    <t>Gastos de administración - Nota w</t>
  </si>
  <si>
    <t>Gastos Operativos - Nota W</t>
  </si>
  <si>
    <r>
      <t>x)</t>
    </r>
    <r>
      <rPr>
        <b/>
        <sz val="12"/>
        <color indexed="8"/>
        <rFont val="Calibri"/>
        <family val="2"/>
        <scheme val="minor"/>
      </rPr>
      <t>       Otros Ingresos y Egresos</t>
    </r>
  </si>
  <si>
    <t>Resultados financieros Nota y</t>
  </si>
  <si>
    <t>Otros ingresos y Egresos - Nota x</t>
  </si>
  <si>
    <r>
      <t>y)</t>
    </r>
    <r>
      <rPr>
        <b/>
        <sz val="12"/>
        <color indexed="8"/>
        <rFont val="Calibri"/>
        <family val="2"/>
        <scheme val="minor"/>
      </rPr>
      <t>       Resultados Financieros</t>
    </r>
  </si>
  <si>
    <r>
      <t xml:space="preserve">z)  </t>
    </r>
    <r>
      <rPr>
        <b/>
        <sz val="12"/>
        <color indexed="8"/>
        <rFont val="Calibri"/>
        <family val="2"/>
        <scheme val="minor"/>
      </rPr>
      <t xml:space="preserve">Resultados Extraordinarios </t>
    </r>
  </si>
  <si>
    <t>Resultados  extraordinarias -Nota z</t>
  </si>
  <si>
    <r>
      <t>S)</t>
    </r>
    <r>
      <rPr>
        <b/>
        <sz val="12"/>
        <color indexed="8"/>
        <rFont val="Calibri"/>
        <family val="2"/>
        <scheme val="minor"/>
      </rPr>
      <t>       Resultados con Personas y Empresas Vinculadas</t>
    </r>
  </si>
  <si>
    <t>Intereses Diferidos M/L</t>
  </si>
  <si>
    <t>Intereses a Devengar Prestamos Directores</t>
  </si>
  <si>
    <t>OTROS PASIVOS - Nota q</t>
  </si>
  <si>
    <t>Las 25 notas que se acompañan forman parte integrante de los Estados Financieros</t>
  </si>
  <si>
    <t>N/A</t>
  </si>
  <si>
    <r>
      <t xml:space="preserve">Los Estados Contables trimestrales (Balance General, Estado de Resultados, Estado de Flujo de Efectivo y Estado de Variación del Patrimonio Neto) correspondientes al 30 de setiembre de 2021 han sido considerados y aprobados según </t>
    </r>
    <r>
      <rPr>
        <b/>
        <sz val="9"/>
        <rFont val="Calibri"/>
        <family val="2"/>
        <scheme val="minor"/>
      </rPr>
      <t>Acta de Directorio N° 176/2021, de fecha 12 de noviembre  de 2021.-</t>
    </r>
  </si>
  <si>
    <r>
      <t>Escritura modificada Nro.:</t>
    </r>
    <r>
      <rPr>
        <sz val="9"/>
        <color theme="1"/>
        <rFont val="Calibri"/>
        <family val="2"/>
        <scheme val="minor"/>
      </rPr>
      <t xml:space="preserve"> 14 de fecha 30 de junio de 2020.</t>
    </r>
  </si>
  <si>
    <t>Maria Jose Araujo</t>
  </si>
  <si>
    <t>Constructora</t>
  </si>
  <si>
    <t>% De Participación del Capital Integrado</t>
  </si>
  <si>
    <t>N.º de Documento</t>
  </si>
  <si>
    <t>30 DE SETIEMBRE DE 2021</t>
  </si>
  <si>
    <t>Estado de Variación Patrimonial</t>
  </si>
  <si>
    <t>Nota 2 - Información de la Empresa</t>
  </si>
  <si>
    <t>Nota 3 - Principales Políticas y Practicas Contables</t>
  </si>
  <si>
    <t>Nota 4 - Cambio de Políticas y Proceda. Contables</t>
  </si>
  <si>
    <t>Nota 5 - Criterios Específicos de Valuación</t>
  </si>
  <si>
    <t>a. Valuación Moneda Extranjera</t>
  </si>
  <si>
    <t>posición Moneda Extranjera</t>
  </si>
  <si>
    <t>diferencia de cambio</t>
  </si>
  <si>
    <t>d. Disponibilidades</t>
  </si>
  <si>
    <t>créditos</t>
  </si>
  <si>
    <t>g. Bienes de Cambio</t>
  </si>
  <si>
    <t>cargos Diferidos</t>
  </si>
  <si>
    <t xml:space="preserve">préstamos </t>
  </si>
  <si>
    <t>documentos y Ctas a Cobrar</t>
  </si>
  <si>
    <t>acreedores por Intermediación</t>
  </si>
  <si>
    <t>o. Cuentas a Pagar - Relacionadas -</t>
  </si>
  <si>
    <t>obligaciones Contrato de Underwriting</t>
  </si>
  <si>
    <t>otros Pasivos</t>
  </si>
  <si>
    <t>r. Saldos y Transacciones - Relacionadas -</t>
  </si>
  <si>
    <t>patrimonio</t>
  </si>
  <si>
    <t>ingresos Operativos</t>
  </si>
  <si>
    <t>w. Otros Gastos Operativos</t>
  </si>
  <si>
    <t>contingencias Legales</t>
  </si>
  <si>
    <t>garantías Constituidas</t>
  </si>
  <si>
    <t>ANEXO F DE LA RESOLUCION N.º 30/21</t>
  </si>
  <si>
    <t>Información Gral de la Empresa</t>
  </si>
  <si>
    <t>Nota A Los Estados Contables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</si>
  <si>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</si>
  <si>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</si>
  <si>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</si>
  <si>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</si>
  <si>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</si>
  <si>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</si>
  <si>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</si>
  <si>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</si>
  <si>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</si>
  <si>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</si>
  <si>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</si>
  <si>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</si>
  <si>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</si>
  <si>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</si>
  <si>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</si>
  <si>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</si>
  <si>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</si>
  <si>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</si>
  <si>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</si>
  <si>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</si>
  <si>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t xml:space="preserve">Calculo De Iracis </t>
  </si>
  <si>
    <t>I-Información General De Investor Casa De Bolsa Sa</t>
  </si>
  <si>
    <t>II-Estados Financieros Basicos</t>
  </si>
  <si>
    <t>III Notas a los Estados Contables</t>
  </si>
  <si>
    <t xml:space="preserve">Investor Casa de Bolsa. S.A. posee Acciones de la Empresa Procampo S.A., constituida en Asunción-Paraguay, por valor de Gs. 3.467.000.000 que representan el 70 % del Capital Social. </t>
  </si>
  <si>
    <t xml:space="preserve">Los estados Contables han sido preparados de acuerdo a la Resolución Nro. 30/21 de la Comisión Nacional de Valores y a Principios y Normas Contables Vigentes en Paraguay. </t>
  </si>
  <si>
    <t>Las inversiones son valuadas a su precio de realización.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</si>
</sst>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(* #,##0.00_);_(* \(#,##0.00\);_(* \-??_);_(@_)"/>
    <numFmt numFmtId="176" formatCode="_(* #,##0_);_(* \(#,##0\);_(* \-_);_(@_)"/>
    <numFmt numFmtId="177" formatCode="#,##0_ ;\-#,##0\ "/>
    <numFmt numFmtId="178" formatCode="* #,##0.00\ ;* \-#,##0.00\ ;* \-#\ ;@\ "/>
    <numFmt numFmtId="179" formatCode="_-* #,##0.00\ _p_t_a_-;\-* #,##0.00\ _p_t_a_-;_-* &quot;-&quot;??\ _p_t_a_-;_-@_-"/>
    <numFmt numFmtId="180" formatCode="General_)"/>
    <numFmt numFmtId="181" formatCode="_ [$€]\ * #,##0.00_ ;_ [$€]\ * \-#,##0.00_ ;_ [$€]\ * &quot;-&quot;??_ ;_ @_ "/>
    <numFmt numFmtId="182" formatCode="_-* #,##0\ _P_t_a_-;\-* #,##0\ _P_t_a_-;_-* &quot;-&quot;\ _P_t_a_-;_-@_-"/>
    <numFmt numFmtId="183" formatCode="_-* #,##0.00\ _P_t_s_-;\-* #,##0.00\ _P_t_s_-;_-* &quot;-&quot;??\ _P_t_s_-;_-@_-"/>
    <numFmt numFmtId="184" formatCode="_ &quot;Gs&quot;\ * #,##0.0_ ;_ &quot;Gs&quot;\ * \-#,##0.0_ ;_ &quot;Gs&quot;\ * &quot;-&quot;??_ ;_ @_ "/>
    <numFmt numFmtId="185" formatCode="0%_);\(0%\)"/>
    <numFmt numFmtId="186" formatCode="_-* #,##0\ _€_-;\-* #,##0\ _€_-;_-* &quot;-&quot;\ _€_-;_-@_-"/>
    <numFmt numFmtId="187" formatCode="_ * #,##0.00_-\ _G_s_._ ;_ * #,##0.00\-\ _G_s_._ ;_ * &quot;-&quot;??_-\ _G_s_._ ;_ @_ 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sz val="16"/>
      <color rgb="FF2F5496"/>
      <name val="Calibri"/>
      <family val="2"/>
      <scheme val="minor"/>
    </font>
    <font>
      <sz val="7"/>
      <color rgb="FF2F5496"/>
      <name val="Calibri"/>
      <family val="2"/>
      <scheme val="minor"/>
    </font>
    <font>
      <b/>
      <sz val="9"/>
      <color rgb="FFED7D3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0"/>
      <name val="MS Sans Serif"/>
      <family val="2"/>
    </font>
    <font>
      <u/>
      <sz val="10"/>
      <color theme="10"/>
      <name val="MS Sans Serif"/>
      <family val="2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</font>
    <font>
      <sz val="12"/>
      <name val="SWISS"/>
    </font>
    <font>
      <sz val="10"/>
      <name val="Courier"/>
      <family val="3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11"/>
      <name val="Book Antiqua"/>
      <family val="1"/>
    </font>
    <font>
      <sz val="12"/>
      <name val="Courier"/>
    </font>
    <font>
      <u/>
      <sz val="7.5"/>
      <color indexed="12"/>
      <name val="Arial"/>
      <family val="2"/>
    </font>
    <font>
      <sz val="12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9">
    <xf numFmtId="0" fontId="0" fillId="0" borderId="0"/>
    <xf numFmtId="0" fontId="3" fillId="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5" fillId="0" borderId="0"/>
    <xf numFmtId="43" fontId="1" fillId="0" borderId="0" applyFon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0" fontId="4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ill="0" applyBorder="0" applyAlignment="0" applyProtection="0"/>
    <xf numFmtId="43" fontId="52" fillId="0" borderId="0" applyFont="0" applyFill="0" applyBorder="0" applyAlignment="0" applyProtection="0"/>
    <xf numFmtId="175" fontId="1" fillId="0" borderId="0" applyFill="0" applyBorder="0" applyAlignment="0" applyProtection="0"/>
    <xf numFmtId="43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53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 applyNumberFormat="0" applyFill="0" applyBorder="0" applyAlignment="0" applyProtection="0"/>
    <xf numFmtId="0" fontId="54" fillId="0" borderId="0"/>
    <xf numFmtId="0" fontId="1" fillId="0" borderId="0"/>
    <xf numFmtId="0" fontId="4" fillId="0" borderId="0"/>
    <xf numFmtId="0" fontId="4" fillId="0" borderId="0"/>
    <xf numFmtId="178" fontId="55" fillId="0" borderId="0"/>
    <xf numFmtId="166" fontId="2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1" fillId="0" borderId="0"/>
    <xf numFmtId="0" fontId="57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9" fillId="0" borderId="0"/>
    <xf numFmtId="0" fontId="6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7" fillId="0" borderId="0"/>
    <xf numFmtId="0" fontId="2" fillId="0" borderId="0"/>
    <xf numFmtId="16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0" borderId="0"/>
    <xf numFmtId="4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9" fillId="0" borderId="0"/>
    <xf numFmtId="0" fontId="2" fillId="0" borderId="0"/>
    <xf numFmtId="180" fontId="1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61" fillId="0" borderId="0"/>
    <xf numFmtId="9" fontId="62" fillId="0" borderId="0" applyFont="0" applyFill="0" applyBorder="0" applyAlignment="0" applyProtection="0"/>
    <xf numFmtId="0" fontId="1" fillId="0" borderId="0"/>
    <xf numFmtId="9" fontId="1" fillId="0" borderId="0" applyFill="0" applyBorder="0" applyAlignment="0" applyProtection="0"/>
    <xf numFmtId="183" fontId="1" fillId="0" borderId="0" applyFont="0" applyFill="0" applyBorder="0" applyAlignment="0" applyProtection="0"/>
    <xf numFmtId="0" fontId="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/>
    <xf numFmtId="0" fontId="64" fillId="0" borderId="0"/>
    <xf numFmtId="9" fontId="6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3" applyNumberFormat="0" applyFill="0" applyAlignment="0" applyProtection="0"/>
    <xf numFmtId="0" fontId="68" fillId="0" borderId="84" applyNumberFormat="0" applyFill="0" applyAlignment="0" applyProtection="0"/>
    <xf numFmtId="0" fontId="69" fillId="0" borderId="85" applyNumberFormat="0" applyFill="0" applyAlignment="0" applyProtection="0"/>
    <xf numFmtId="0" fontId="69" fillId="0" borderId="0" applyNumberFormat="0" applyFill="0" applyBorder="0" applyAlignment="0" applyProtection="0"/>
    <xf numFmtId="0" fontId="70" fillId="7" borderId="0" applyNumberFormat="0" applyBorder="0" applyAlignment="0" applyProtection="0"/>
    <xf numFmtId="0" fontId="71" fillId="8" borderId="0" applyNumberFormat="0" applyBorder="0" applyAlignment="0" applyProtection="0"/>
    <xf numFmtId="0" fontId="72" fillId="9" borderId="0" applyNumberFormat="0" applyBorder="0" applyAlignment="0" applyProtection="0"/>
    <xf numFmtId="0" fontId="73" fillId="10" borderId="86" applyNumberFormat="0" applyAlignment="0" applyProtection="0"/>
    <xf numFmtId="0" fontId="74" fillId="11" borderId="87" applyNumberFormat="0" applyAlignment="0" applyProtection="0"/>
    <xf numFmtId="0" fontId="75" fillId="11" borderId="86" applyNumberFormat="0" applyAlignment="0" applyProtection="0"/>
    <xf numFmtId="0" fontId="76" fillId="0" borderId="88" applyNumberFormat="0" applyFill="0" applyAlignment="0" applyProtection="0"/>
    <xf numFmtId="0" fontId="77" fillId="12" borderId="89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3" fillId="0" borderId="91" applyNumberFormat="0" applyFill="0" applyAlignment="0" applyProtection="0"/>
    <xf numFmtId="0" fontId="80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2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80" fillId="36" borderId="0" applyNumberFormat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56" fillId="13" borderId="90" applyNumberFormat="0" applyFont="0" applyAlignment="0" applyProtection="0"/>
    <xf numFmtId="0" fontId="56" fillId="0" borderId="0"/>
    <xf numFmtId="0" fontId="56" fillId="13" borderId="90" applyNumberFormat="0" applyFont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1" fillId="0" borderId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81" fillId="47" borderId="0" applyNumberFormat="0" applyBorder="0" applyAlignment="0" applyProtection="0"/>
    <xf numFmtId="0" fontId="81" fillId="44" borderId="0" applyNumberFormat="0" applyBorder="0" applyAlignment="0" applyProtection="0"/>
    <xf numFmtId="0" fontId="81" fillId="45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0" borderId="0" applyNumberFormat="0" applyBorder="0" applyAlignment="0" applyProtection="0"/>
    <xf numFmtId="0" fontId="81" fillId="51" borderId="0" applyNumberFormat="0" applyBorder="0" applyAlignment="0" applyProtection="0"/>
    <xf numFmtId="0" fontId="81" fillId="52" borderId="0" applyNumberFormat="0" applyBorder="0" applyAlignment="0" applyProtection="0"/>
    <xf numFmtId="0" fontId="81" fillId="53" borderId="0" applyNumberFormat="0" applyBorder="0" applyAlignment="0" applyProtection="0"/>
    <xf numFmtId="0" fontId="81" fillId="48" borderId="0" applyNumberFormat="0" applyBorder="0" applyAlignment="0" applyProtection="0"/>
    <xf numFmtId="0" fontId="81" fillId="49" borderId="0" applyNumberFormat="0" applyBorder="0" applyAlignment="0" applyProtection="0"/>
    <xf numFmtId="0" fontId="81" fillId="54" borderId="0" applyNumberFormat="0" applyBorder="0" applyAlignment="0" applyProtection="0"/>
    <xf numFmtId="0" fontId="82" fillId="38" borderId="0" applyNumberFormat="0" applyBorder="0" applyAlignment="0" applyProtection="0"/>
    <xf numFmtId="0" fontId="83" fillId="55" borderId="93" applyNumberFormat="0" applyAlignment="0" applyProtection="0"/>
    <xf numFmtId="0" fontId="84" fillId="56" borderId="94" applyNumberFormat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9" borderId="0" applyNumberFormat="0" applyBorder="0" applyAlignment="0" applyProtection="0"/>
    <xf numFmtId="14" fontId="50" fillId="57" borderId="92">
      <alignment horizontal="center" vertical="center" wrapText="1"/>
    </xf>
    <xf numFmtId="0" fontId="87" fillId="0" borderId="96" applyNumberFormat="0" applyFill="0" applyAlignment="0" applyProtection="0"/>
    <xf numFmtId="0" fontId="88" fillId="0" borderId="97" applyNumberFormat="0" applyFill="0" applyAlignment="0" applyProtection="0"/>
    <xf numFmtId="0" fontId="89" fillId="0" borderId="98" applyNumberFormat="0" applyFill="0" applyAlignment="0" applyProtection="0"/>
    <xf numFmtId="0" fontId="89" fillId="0" borderId="0" applyNumberFormat="0" applyFill="0" applyBorder="0" applyAlignment="0" applyProtection="0"/>
    <xf numFmtId="14" fontId="50" fillId="57" borderId="92">
      <alignment horizontal="center" vertical="center" wrapText="1"/>
    </xf>
    <xf numFmtId="0" fontId="90" fillId="42" borderId="93" applyNumberFormat="0" applyAlignment="0" applyProtection="0"/>
    <xf numFmtId="0" fontId="91" fillId="0" borderId="95" applyNumberFormat="0" applyFill="0" applyAlignment="0" applyProtection="0"/>
    <xf numFmtId="43" fontId="1" fillId="0" borderId="0" applyFont="0" applyFill="0" applyBorder="0" applyAlignment="0" applyProtection="0"/>
    <xf numFmtId="0" fontId="92" fillId="58" borderId="0" applyNumberFormat="0" applyBorder="0" applyAlignment="0" applyProtection="0"/>
    <xf numFmtId="41" fontId="2" fillId="0" borderId="0" applyFont="0" applyFill="0" applyBorder="0" applyAlignment="0" applyProtection="0"/>
    <xf numFmtId="37" fontId="1" fillId="0" borderId="0"/>
    <xf numFmtId="0" fontId="52" fillId="0" borderId="0"/>
    <xf numFmtId="37" fontId="1" fillId="0" borderId="0"/>
    <xf numFmtId="165" fontId="1" fillId="0" borderId="0" applyFont="0" applyFill="0" applyBorder="0" applyAlignment="0" applyProtection="0"/>
    <xf numFmtId="0" fontId="1" fillId="59" borderId="99" applyNumberFormat="0" applyFont="0" applyAlignment="0" applyProtection="0"/>
    <xf numFmtId="0" fontId="93" fillId="55" borderId="100" applyNumberFormat="0" applyAlignment="0" applyProtection="0"/>
    <xf numFmtId="185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94" fillId="0" borderId="0" applyFill="0" applyBorder="0" applyProtection="0">
      <alignment horizontal="left" vertical="top"/>
    </xf>
    <xf numFmtId="0" fontId="95" fillId="0" borderId="0" applyNumberFormat="0" applyFill="0" applyBorder="0" applyAlignment="0" applyProtection="0"/>
    <xf numFmtId="0" fontId="96" fillId="0" borderId="101" applyNumberFormat="0" applyFill="0" applyAlignment="0" applyProtection="0"/>
    <xf numFmtId="0" fontId="9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6" fillId="0" borderId="0"/>
    <xf numFmtId="43" fontId="56" fillId="0" borderId="0" applyFont="0" applyFill="0" applyBorder="0" applyAlignment="0" applyProtection="0"/>
    <xf numFmtId="0" fontId="72" fillId="9" borderId="0" applyNumberFormat="0" applyBorder="0" applyAlignment="0" applyProtection="0"/>
    <xf numFmtId="0" fontId="56" fillId="13" borderId="90" applyNumberFormat="0" applyFont="0" applyAlignment="0" applyProtection="0"/>
    <xf numFmtId="0" fontId="63" fillId="0" borderId="91" applyNumberFormat="0" applyFill="0" applyAlignment="0" applyProtection="0"/>
    <xf numFmtId="0" fontId="56" fillId="0" borderId="0"/>
    <xf numFmtId="0" fontId="56" fillId="0" borderId="0"/>
    <xf numFmtId="0" fontId="56" fillId="13" borderId="90" applyNumberFormat="0" applyFont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41" fontId="64" fillId="0" borderId="0" applyFont="0" applyFill="0" applyBorder="0" applyAlignment="0" applyProtection="0"/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98" fillId="0" borderId="0" applyFont="0" applyFill="0" applyBorder="0" applyAlignment="0" applyProtection="0"/>
    <xf numFmtId="43" fontId="99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61" fillId="0" borderId="0"/>
    <xf numFmtId="165" fontId="1" fillId="0" borderId="0" applyFont="0" applyFill="0" applyBorder="0" applyAlignment="0" applyProtection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98" fillId="0" borderId="0"/>
    <xf numFmtId="0" fontId="2" fillId="0" borderId="0"/>
    <xf numFmtId="180" fontId="100" fillId="0" borderId="0"/>
    <xf numFmtId="0" fontId="61" fillId="0" borderId="0"/>
    <xf numFmtId="9" fontId="6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1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0" borderId="0"/>
  </cellStyleXfs>
  <cellXfs count="597">
    <xf numFmtId="0" fontId="0" fillId="0" borderId="0" xfId="0"/>
    <xf numFmtId="41" fontId="7" fillId="0" borderId="1" xfId="5" applyFont="1" applyFill="1" applyBorder="1"/>
    <xf numFmtId="0" fontId="8" fillId="0" borderId="5" xfId="0" quotePrefix="1" applyFont="1" applyFill="1" applyBorder="1" applyAlignment="1">
      <alignment horizontal="left"/>
    </xf>
    <xf numFmtId="0" fontId="9" fillId="0" borderId="5" xfId="3" quotePrefix="1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3" borderId="6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8" fillId="0" borderId="6" xfId="0" applyFont="1" applyBorder="1"/>
    <xf numFmtId="0" fontId="10" fillId="0" borderId="5" xfId="0" applyFont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5" fillId="0" borderId="5" xfId="3" quotePrefix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3" fillId="0" borderId="0" xfId="0" applyFont="1"/>
    <xf numFmtId="0" fontId="8" fillId="0" borderId="4" xfId="0" applyFont="1" applyBorder="1"/>
    <xf numFmtId="0" fontId="8" fillId="0" borderId="3" xfId="0" applyFont="1" applyBorder="1"/>
    <xf numFmtId="0" fontId="5" fillId="0" borderId="2" xfId="3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3" quotePrefix="1" applyFont="1" applyBorder="1" applyAlignment="1">
      <alignment horizontal="left"/>
    </xf>
    <xf numFmtId="0" fontId="16" fillId="0" borderId="0" xfId="3" quotePrefix="1" applyFont="1"/>
    <xf numFmtId="0" fontId="14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/>
    </xf>
    <xf numFmtId="171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center"/>
    </xf>
    <xf numFmtId="167" fontId="14" fillId="0" borderId="1" xfId="0" applyNumberFormat="1" applyFont="1" applyBorder="1"/>
    <xf numFmtId="0" fontId="14" fillId="0" borderId="1" xfId="0" applyFont="1" applyBorder="1"/>
    <xf numFmtId="0" fontId="18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1" fontId="14" fillId="0" borderId="0" xfId="5" applyFont="1"/>
    <xf numFmtId="3" fontId="14" fillId="0" borderId="1" xfId="0" applyNumberFormat="1" applyFont="1" applyBorder="1" applyAlignment="1">
      <alignment vertical="center"/>
    </xf>
    <xf numFmtId="172" fontId="14" fillId="0" borderId="1" xfId="5" applyNumberFormat="1" applyFont="1" applyBorder="1" applyAlignment="1">
      <alignment horizontal="center" vertical="center"/>
    </xf>
    <xf numFmtId="167" fontId="14" fillId="0" borderId="1" xfId="4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43" fontId="14" fillId="0" borderId="1" xfId="4" applyFont="1" applyBorder="1" applyAlignment="1">
      <alignment horizontal="center" vertical="center"/>
    </xf>
    <xf numFmtId="0" fontId="7" fillId="0" borderId="1" xfId="0" applyFont="1" applyBorder="1"/>
    <xf numFmtId="0" fontId="7" fillId="0" borderId="7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167" fontId="14" fillId="0" borderId="1" xfId="0" applyNumberFormat="1" applyFont="1" applyBorder="1" applyAlignment="1">
      <alignment horizontal="center" vertical="center"/>
    </xf>
    <xf numFmtId="41" fontId="14" fillId="0" borderId="1" xfId="5" applyFont="1" applyBorder="1" applyAlignment="1">
      <alignment horizontal="right"/>
    </xf>
    <xf numFmtId="167" fontId="14" fillId="0" borderId="1" xfId="4" applyNumberFormat="1" applyFont="1" applyBorder="1" applyAlignment="1">
      <alignment horizontal="right"/>
    </xf>
    <xf numFmtId="41" fontId="14" fillId="0" borderId="0" xfId="0" applyNumberFormat="1" applyFont="1"/>
    <xf numFmtId="3" fontId="7" fillId="0" borderId="1" xfId="0" applyNumberFormat="1" applyFont="1" applyBorder="1" applyAlignment="1">
      <alignment horizontal="right"/>
    </xf>
    <xf numFmtId="41" fontId="14" fillId="0" borderId="0" xfId="5" applyFont="1" applyAlignment="1">
      <alignment horizontal="right"/>
    </xf>
    <xf numFmtId="41" fontId="14" fillId="0" borderId="0" xfId="5" applyFont="1" applyBorder="1"/>
    <xf numFmtId="0" fontId="14" fillId="0" borderId="0" xfId="0" applyFont="1" applyBorder="1"/>
    <xf numFmtId="0" fontId="15" fillId="0" borderId="1" xfId="0" applyFont="1" applyBorder="1" applyAlignment="1">
      <alignment horizontal="center"/>
    </xf>
    <xf numFmtId="171" fontId="15" fillId="0" borderId="1" xfId="5" applyNumberFormat="1" applyFont="1" applyBorder="1" applyAlignment="1">
      <alignment horizontal="center" vertical="center" wrapText="1"/>
    </xf>
    <xf numFmtId="171" fontId="15" fillId="0" borderId="1" xfId="5" applyNumberFormat="1" applyFont="1" applyBorder="1" applyAlignment="1">
      <alignment horizontal="center" wrapText="1"/>
    </xf>
    <xf numFmtId="0" fontId="15" fillId="0" borderId="1" xfId="0" applyFont="1" applyBorder="1"/>
    <xf numFmtId="41" fontId="11" fillId="0" borderId="1" xfId="5" applyFont="1" applyBorder="1" applyAlignment="1">
      <alignment horizontal="right" vertical="center"/>
    </xf>
    <xf numFmtId="41" fontId="11" fillId="0" borderId="1" xfId="5" applyFont="1" applyBorder="1" applyAlignment="1">
      <alignment horizontal="right"/>
    </xf>
    <xf numFmtId="41" fontId="21" fillId="0" borderId="1" xfId="5" applyFont="1" applyBorder="1" applyAlignment="1"/>
    <xf numFmtId="41" fontId="21" fillId="0" borderId="1" xfId="5" applyFont="1" applyBorder="1" applyAlignment="1">
      <alignment horizontal="right"/>
    </xf>
    <xf numFmtId="41" fontId="21" fillId="0" borderId="1" xfId="5" applyFont="1" applyFill="1" applyBorder="1" applyAlignment="1">
      <alignment horizontal="right"/>
    </xf>
    <xf numFmtId="41" fontId="21" fillId="0" borderId="0" xfId="5" applyFont="1" applyBorder="1" applyAlignment="1"/>
    <xf numFmtId="0" fontId="22" fillId="0" borderId="0" xfId="0" applyFont="1" applyBorder="1"/>
    <xf numFmtId="41" fontId="15" fillId="0" borderId="1" xfId="5" applyFont="1" applyBorder="1" applyAlignment="1">
      <alignment horizontal="right" vertical="center"/>
    </xf>
    <xf numFmtId="173" fontId="14" fillId="0" borderId="0" xfId="4" applyNumberFormat="1" applyFont="1"/>
    <xf numFmtId="0" fontId="25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173" fontId="24" fillId="0" borderId="7" xfId="4" applyNumberFormat="1" applyFont="1" applyBorder="1" applyAlignment="1">
      <alignment horizontal="center" vertical="center"/>
    </xf>
    <xf numFmtId="173" fontId="25" fillId="0" borderId="7" xfId="4" applyNumberFormat="1" applyFont="1" applyBorder="1" applyAlignment="1">
      <alignment horizontal="center" vertical="center"/>
    </xf>
    <xf numFmtId="170" fontId="14" fillId="0" borderId="0" xfId="0" applyNumberFormat="1" applyFont="1"/>
    <xf numFmtId="0" fontId="24" fillId="0" borderId="1" xfId="0" applyFont="1" applyBorder="1" applyAlignment="1">
      <alignment vertical="center"/>
    </xf>
    <xf numFmtId="0" fontId="24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3" fontId="24" fillId="0" borderId="0" xfId="4" applyNumberFormat="1" applyFont="1" applyAlignment="1">
      <alignment vertical="center"/>
    </xf>
    <xf numFmtId="173" fontId="24" fillId="0" borderId="0" xfId="4" applyNumberFormat="1" applyFont="1" applyBorder="1" applyAlignment="1">
      <alignment horizontal="right" vertical="center"/>
    </xf>
    <xf numFmtId="173" fontId="25" fillId="0" borderId="0" xfId="4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70" fontId="14" fillId="0" borderId="0" xfId="0" applyNumberFormat="1" applyFont="1" applyAlignment="1">
      <alignment vertical="center"/>
    </xf>
    <xf numFmtId="173" fontId="14" fillId="0" borderId="0" xfId="4" applyNumberFormat="1" applyFont="1" applyAlignment="1">
      <alignment vertical="center"/>
    </xf>
    <xf numFmtId="0" fontId="24" fillId="0" borderId="2" xfId="0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173" fontId="25" fillId="0" borderId="1" xfId="4" applyNumberFormat="1" applyFont="1" applyBorder="1" applyAlignment="1">
      <alignment horizontal="right" vertical="center"/>
    </xf>
    <xf numFmtId="173" fontId="24" fillId="0" borderId="0" xfId="4" applyNumberFormat="1" applyFont="1" applyBorder="1" applyAlignment="1">
      <alignment horizontal="right"/>
    </xf>
    <xf numFmtId="0" fontId="14" fillId="0" borderId="1" xfId="0" applyFont="1" applyBorder="1" applyAlignment="1">
      <alignment horizontal="left" vertical="center"/>
    </xf>
    <xf numFmtId="41" fontId="14" fillId="0" borderId="0" xfId="5" applyFont="1" applyFill="1" applyAlignment="1">
      <alignment horizontal="right"/>
    </xf>
    <xf numFmtId="0" fontId="14" fillId="0" borderId="0" xfId="0" applyFont="1" applyFill="1"/>
    <xf numFmtId="0" fontId="14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center" wrapText="1"/>
    </xf>
    <xf numFmtId="0" fontId="20" fillId="0" borderId="1" xfId="0" applyFont="1" applyFill="1" applyBorder="1" applyAlignment="1">
      <alignment horizontal="left"/>
    </xf>
    <xf numFmtId="41" fontId="14" fillId="0" borderId="1" xfId="5" applyFont="1" applyFill="1" applyBorder="1" applyAlignment="1">
      <alignment horizontal="right"/>
    </xf>
    <xf numFmtId="0" fontId="24" fillId="0" borderId="1" xfId="0" applyFont="1" applyFill="1" applyBorder="1"/>
    <xf numFmtId="41" fontId="7" fillId="0" borderId="1" xfId="5" applyFont="1" applyFill="1" applyBorder="1" applyAlignment="1">
      <alignment horizontal="right"/>
    </xf>
    <xf numFmtId="170" fontId="14" fillId="0" borderId="0" xfId="4" applyNumberFormat="1" applyFont="1" applyFill="1"/>
    <xf numFmtId="3" fontId="14" fillId="0" borderId="0" xfId="0" applyNumberFormat="1" applyFont="1" applyFill="1"/>
    <xf numFmtId="0" fontId="7" fillId="0" borderId="0" xfId="0" applyFont="1" applyFill="1" applyAlignment="1">
      <alignment horizontal="left"/>
    </xf>
    <xf numFmtId="41" fontId="7" fillId="0" borderId="0" xfId="5" applyFont="1" applyFill="1" applyAlignment="1">
      <alignment horizontal="right"/>
    </xf>
    <xf numFmtId="41" fontId="14" fillId="0" borderId="0" xfId="5" applyFont="1" applyFill="1"/>
    <xf numFmtId="0" fontId="14" fillId="0" borderId="0" xfId="0" applyFont="1" applyFill="1" applyAlignment="1">
      <alignment horizontal="left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 indent="3"/>
    </xf>
    <xf numFmtId="0" fontId="14" fillId="0" borderId="0" xfId="0" applyFont="1" applyAlignment="1">
      <alignment horizontal="right" vertical="center"/>
    </xf>
    <xf numFmtId="0" fontId="7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/>
    <xf numFmtId="0" fontId="14" fillId="0" borderId="1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41" fontId="7" fillId="0" borderId="1" xfId="5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6" fontId="14" fillId="0" borderId="0" xfId="0" applyNumberFormat="1" applyFont="1"/>
    <xf numFmtId="0" fontId="24" fillId="0" borderId="1" xfId="0" applyFont="1" applyBorder="1"/>
    <xf numFmtId="0" fontId="7" fillId="0" borderId="1" xfId="0" applyFont="1" applyBorder="1" applyAlignment="1">
      <alignment horizontal="center" wrapText="1"/>
    </xf>
    <xf numFmtId="167" fontId="14" fillId="0" borderId="1" xfId="9" applyFont="1" applyFill="1" applyBorder="1" applyAlignment="1">
      <alignment horizontal="right"/>
    </xf>
    <xf numFmtId="3" fontId="14" fillId="0" borderId="1" xfId="0" applyNumberFormat="1" applyFont="1" applyBorder="1"/>
    <xf numFmtId="3" fontId="7" fillId="0" borderId="1" xfId="0" applyNumberFormat="1" applyFont="1" applyBorder="1"/>
    <xf numFmtId="41" fontId="14" fillId="0" borderId="1" xfId="5" applyFont="1" applyBorder="1" applyAlignment="1"/>
    <xf numFmtId="41" fontId="7" fillId="0" borderId="1" xfId="5" applyFont="1" applyBorder="1" applyAlignment="1"/>
    <xf numFmtId="167" fontId="14" fillId="0" borderId="0" xfId="0" applyNumberFormat="1" applyFont="1"/>
    <xf numFmtId="2" fontId="7" fillId="0" borderId="1" xfId="0" applyNumberFormat="1" applyFont="1" applyBorder="1" applyAlignment="1">
      <alignment horizontal="center" vertical="center" wrapText="1"/>
    </xf>
    <xf numFmtId="167" fontId="14" fillId="0" borderId="0" xfId="9" applyFont="1"/>
    <xf numFmtId="174" fontId="14" fillId="0" borderId="0" xfId="12" applyNumberFormat="1" applyFont="1"/>
    <xf numFmtId="0" fontId="14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170" fontId="14" fillId="0" borderId="1" xfId="0" applyNumberFormat="1" applyFont="1" applyBorder="1" applyAlignment="1">
      <alignment horizontal="right" wrapText="1"/>
    </xf>
    <xf numFmtId="167" fontId="14" fillId="0" borderId="1" xfId="9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170" fontId="7" fillId="0" borderId="1" xfId="9" applyNumberFormat="1" applyFont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wrapText="1"/>
    </xf>
    <xf numFmtId="170" fontId="7" fillId="0" borderId="0" xfId="9" applyNumberFormat="1" applyFont="1" applyBorder="1" applyAlignment="1">
      <alignment horizontal="right" wrapText="1"/>
    </xf>
    <xf numFmtId="167" fontId="14" fillId="0" borderId="0" xfId="9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3" fontId="14" fillId="0" borderId="1" xfId="0" applyNumberFormat="1" applyFont="1" applyBorder="1" applyAlignment="1">
      <alignment horizontal="right" wrapText="1"/>
    </xf>
    <xf numFmtId="167" fontId="14" fillId="0" borderId="1" xfId="9" applyFont="1" applyFill="1" applyBorder="1" applyAlignment="1">
      <alignment horizontal="right" wrapText="1"/>
    </xf>
    <xf numFmtId="41" fontId="14" fillId="0" borderId="1" xfId="5" applyFont="1" applyBorder="1" applyAlignment="1">
      <alignment horizontal="right" wrapText="1"/>
    </xf>
    <xf numFmtId="41" fontId="14" fillId="0" borderId="1" xfId="5" applyFont="1" applyFill="1" applyBorder="1" applyAlignment="1">
      <alignment wrapText="1"/>
    </xf>
    <xf numFmtId="170" fontId="7" fillId="0" borderId="1" xfId="0" applyNumberFormat="1" applyFont="1" applyBorder="1" applyAlignment="1">
      <alignment horizontal="right" wrapText="1"/>
    </xf>
    <xf numFmtId="41" fontId="14" fillId="0" borderId="0" xfId="5" applyFont="1" applyFill="1" applyAlignment="1">
      <alignment wrapText="1"/>
    </xf>
    <xf numFmtId="41" fontId="14" fillId="0" borderId="0" xfId="5" applyFont="1" applyAlignment="1">
      <alignment wrapText="1"/>
    </xf>
    <xf numFmtId="0" fontId="14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5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41" fontId="20" fillId="3" borderId="1" xfId="5" applyFont="1" applyFill="1" applyBorder="1" applyAlignment="1">
      <alignment horizontal="left" wrapText="1"/>
    </xf>
    <xf numFmtId="49" fontId="14" fillId="0" borderId="1" xfId="0" applyNumberFormat="1" applyFont="1" applyBorder="1" applyAlignment="1">
      <alignment wrapText="1"/>
    </xf>
    <xf numFmtId="41" fontId="7" fillId="0" borderId="1" xfId="5" applyFont="1" applyFill="1" applyBorder="1" applyAlignment="1">
      <alignment horizontal="right" wrapText="1"/>
    </xf>
    <xf numFmtId="41" fontId="14" fillId="0" borderId="1" xfId="5" applyFont="1" applyFill="1" applyBorder="1" applyAlignment="1">
      <alignment horizontal="right" wrapText="1"/>
    </xf>
    <xf numFmtId="41" fontId="14" fillId="0" borderId="0" xfId="0" applyNumberFormat="1" applyFont="1" applyAlignment="1">
      <alignment wrapText="1"/>
    </xf>
    <xf numFmtId="41" fontId="24" fillId="0" borderId="1" xfId="5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41" fontId="25" fillId="0" borderId="1" xfId="5" applyFont="1" applyFill="1" applyBorder="1" applyAlignment="1">
      <alignment horizontal="right" vertical="center"/>
    </xf>
    <xf numFmtId="41" fontId="25" fillId="0" borderId="1" xfId="5" applyFont="1" applyBorder="1" applyAlignment="1">
      <alignment horizontal="right" vertical="center"/>
    </xf>
    <xf numFmtId="170" fontId="24" fillId="0" borderId="1" xfId="9" applyNumberFormat="1" applyFont="1" applyBorder="1" applyAlignment="1">
      <alignment horizontal="right" vertical="center"/>
    </xf>
    <xf numFmtId="41" fontId="24" fillId="0" borderId="1" xfId="5" applyFont="1" applyBorder="1" applyAlignment="1">
      <alignment horizontal="right" vertical="center"/>
    </xf>
    <xf numFmtId="171" fontId="14" fillId="0" borderId="0" xfId="0" applyNumberFormat="1" applyFont="1"/>
    <xf numFmtId="170" fontId="14" fillId="0" borderId="0" xfId="9" applyNumberFormat="1" applyFont="1"/>
    <xf numFmtId="170" fontId="7" fillId="0" borderId="0" xfId="9" applyNumberFormat="1" applyFont="1"/>
    <xf numFmtId="41" fontId="14" fillId="0" borderId="1" xfId="5" applyFont="1" applyBorder="1" applyAlignment="1">
      <alignment horizontal="right" vertical="center"/>
    </xf>
    <xf numFmtId="41" fontId="14" fillId="0" borderId="1" xfId="5" applyFont="1" applyFill="1" applyBorder="1" applyAlignment="1">
      <alignment horizontal="right" vertical="center"/>
    </xf>
    <xf numFmtId="41" fontId="14" fillId="0" borderId="0" xfId="0" applyNumberFormat="1" applyFont="1" applyAlignment="1">
      <alignment vertical="center"/>
    </xf>
    <xf numFmtId="41" fontId="14" fillId="0" borderId="0" xfId="5" applyFont="1" applyFill="1" applyAlignment="1">
      <alignment vertical="center"/>
    </xf>
    <xf numFmtId="3" fontId="14" fillId="0" borderId="0" xfId="0" applyNumberFormat="1" applyFont="1" applyAlignment="1">
      <alignment vertical="center"/>
    </xf>
    <xf numFmtId="41" fontId="7" fillId="0" borderId="1" xfId="5" applyFont="1" applyBorder="1" applyAlignment="1">
      <alignment horizontal="right" vertical="center"/>
    </xf>
    <xf numFmtId="41" fontId="7" fillId="0" borderId="1" xfId="5" applyFont="1" applyFill="1" applyBorder="1" applyAlignment="1">
      <alignment horizontal="right" vertical="center"/>
    </xf>
    <xf numFmtId="41" fontId="14" fillId="0" borderId="0" xfId="5" applyFont="1" applyAlignment="1">
      <alignment vertical="center"/>
    </xf>
    <xf numFmtId="0" fontId="14" fillId="0" borderId="0" xfId="0" applyFont="1" applyAlignment="1">
      <alignment horizontal="left" vertical="center" indent="3"/>
    </xf>
    <xf numFmtId="41" fontId="14" fillId="0" borderId="1" xfId="5" applyFont="1" applyFill="1" applyBorder="1" applyAlignment="1"/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41" fontId="14" fillId="0" borderId="1" xfId="5" applyFont="1" applyFill="1" applyBorder="1" applyAlignment="1">
      <alignment horizontal="center"/>
    </xf>
    <xf numFmtId="0" fontId="14" fillId="0" borderId="5" xfId="0" applyFont="1" applyBorder="1"/>
    <xf numFmtId="170" fontId="14" fillId="0" borderId="1" xfId="5" applyNumberFormat="1" applyFont="1" applyFill="1" applyBorder="1" applyAlignment="1"/>
    <xf numFmtId="41" fontId="7" fillId="0" borderId="1" xfId="5" applyFont="1" applyFill="1" applyBorder="1" applyAlignment="1">
      <alignment horizontal="center"/>
    </xf>
    <xf numFmtId="170" fontId="14" fillId="0" borderId="1" xfId="5" applyNumberFormat="1" applyFont="1" applyFill="1" applyBorder="1" applyAlignment="1">
      <alignment horizontal="center"/>
    </xf>
    <xf numFmtId="170" fontId="14" fillId="0" borderId="0" xfId="9" applyNumberFormat="1" applyFont="1" applyFill="1"/>
    <xf numFmtId="41" fontId="7" fillId="0" borderId="1" xfId="5" applyFont="1" applyBorder="1" applyAlignment="1">
      <alignment horizontal="center"/>
    </xf>
    <xf numFmtId="41" fontId="14" fillId="0" borderId="1" xfId="5" applyFont="1" applyBorder="1" applyAlignment="1">
      <alignment horizontal="center"/>
    </xf>
    <xf numFmtId="41" fontId="14" fillId="0" borderId="1" xfId="5" applyFont="1" applyBorder="1"/>
    <xf numFmtId="41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41" fontId="14" fillId="0" borderId="1" xfId="5" applyNumberFormat="1" applyFont="1" applyBorder="1" applyAlignment="1">
      <alignment horizontal="center" vertical="center"/>
    </xf>
    <xf numFmtId="4" fontId="14" fillId="0" borderId="0" xfId="0" applyNumberFormat="1" applyFont="1" applyBorder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0" fillId="0" borderId="0" xfId="0" quotePrefix="1" applyFill="1"/>
    <xf numFmtId="0" fontId="20" fillId="0" borderId="0" xfId="0" applyFont="1"/>
    <xf numFmtId="0" fontId="23" fillId="0" borderId="10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1" fontId="2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168" fontId="19" fillId="0" borderId="1" xfId="4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173" fontId="17" fillId="0" borderId="12" xfId="4" applyNumberFormat="1" applyFont="1" applyFill="1" applyBorder="1" applyAlignment="1">
      <alignment horizontal="right"/>
    </xf>
    <xf numFmtId="173" fontId="19" fillId="0" borderId="5" xfId="4" applyNumberFormat="1" applyFont="1" applyFill="1" applyBorder="1" applyAlignment="1">
      <alignment horizontal="right"/>
    </xf>
    <xf numFmtId="0" fontId="17" fillId="0" borderId="12" xfId="0" applyFont="1" applyBorder="1"/>
    <xf numFmtId="173" fontId="23" fillId="0" borderId="5" xfId="4" applyNumberFormat="1" applyFont="1" applyFill="1" applyBorder="1" applyAlignment="1">
      <alignment horizontal="right"/>
    </xf>
    <xf numFmtId="173" fontId="20" fillId="0" borderId="5" xfId="4" applyNumberFormat="1" applyFont="1" applyFill="1" applyBorder="1" applyAlignment="1">
      <alignment horizontal="right"/>
    </xf>
    <xf numFmtId="173" fontId="23" fillId="0" borderId="12" xfId="4" applyNumberFormat="1" applyFont="1" applyFill="1" applyBorder="1" applyAlignment="1">
      <alignment horizontal="right"/>
    </xf>
    <xf numFmtId="0" fontId="23" fillId="0" borderId="5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173" fontId="20" fillId="0" borderId="12" xfId="4" applyNumberFormat="1" applyFont="1" applyFill="1" applyBorder="1" applyAlignment="1">
      <alignment horizontal="right"/>
    </xf>
    <xf numFmtId="0" fontId="23" fillId="0" borderId="5" xfId="0" applyFont="1" applyBorder="1"/>
    <xf numFmtId="173" fontId="17" fillId="0" borderId="18" xfId="4" applyNumberFormat="1" applyFont="1" applyFill="1" applyBorder="1" applyAlignment="1">
      <alignment horizontal="right"/>
    </xf>
    <xf numFmtId="0" fontId="28" fillId="0" borderId="5" xfId="0" applyFont="1" applyBorder="1"/>
    <xf numFmtId="173" fontId="23" fillId="0" borderId="56" xfId="4" applyNumberFormat="1" applyFont="1" applyFill="1" applyBorder="1" applyAlignment="1">
      <alignment horizontal="right"/>
    </xf>
    <xf numFmtId="173" fontId="20" fillId="0" borderId="56" xfId="4" applyNumberFormat="1" applyFont="1" applyFill="1" applyBorder="1" applyAlignment="1">
      <alignment horizontal="right"/>
    </xf>
    <xf numFmtId="173" fontId="17" fillId="0" borderId="19" xfId="4" applyNumberFormat="1" applyFont="1" applyFill="1" applyBorder="1" applyAlignment="1">
      <alignment horizontal="right"/>
    </xf>
    <xf numFmtId="0" fontId="23" fillId="0" borderId="12" xfId="0" applyFont="1" applyBorder="1"/>
    <xf numFmtId="173" fontId="17" fillId="0" borderId="57" xfId="4" applyNumberFormat="1" applyFont="1" applyFill="1" applyBorder="1" applyAlignment="1">
      <alignment horizontal="right"/>
    </xf>
    <xf numFmtId="41" fontId="20" fillId="0" borderId="0" xfId="5" applyFont="1" applyAlignment="1">
      <alignment wrapText="1"/>
    </xf>
    <xf numFmtId="41" fontId="20" fillId="0" borderId="0" xfId="0" applyNumberFormat="1" applyFont="1" applyAlignment="1">
      <alignment wrapText="1"/>
    </xf>
    <xf numFmtId="0" fontId="17" fillId="0" borderId="12" xfId="0" applyFont="1" applyBorder="1" applyAlignment="1">
      <alignment horizontal="left"/>
    </xf>
    <xf numFmtId="173" fontId="17" fillId="0" borderId="5" xfId="4" applyNumberFormat="1" applyFont="1" applyFill="1" applyBorder="1" applyAlignment="1">
      <alignment horizontal="right"/>
    </xf>
    <xf numFmtId="173" fontId="17" fillId="0" borderId="1" xfId="4" applyNumberFormat="1" applyFont="1" applyFill="1" applyBorder="1" applyAlignment="1">
      <alignment horizontal="right"/>
    </xf>
    <xf numFmtId="0" fontId="17" fillId="0" borderId="20" xfId="0" applyFont="1" applyBorder="1"/>
    <xf numFmtId="173" fontId="17" fillId="0" borderId="21" xfId="4" applyNumberFormat="1" applyFont="1" applyFill="1" applyBorder="1" applyAlignment="1">
      <alignment horizontal="right"/>
    </xf>
    <xf numFmtId="0" fontId="17" fillId="0" borderId="22" xfId="0" applyFont="1" applyBorder="1"/>
    <xf numFmtId="173" fontId="17" fillId="0" borderId="22" xfId="4" applyNumberFormat="1" applyFont="1" applyFill="1" applyBorder="1" applyAlignment="1">
      <alignment horizontal="right"/>
    </xf>
    <xf numFmtId="173" fontId="17" fillId="0" borderId="23" xfId="4" applyNumberFormat="1" applyFont="1" applyFill="1" applyBorder="1" applyAlignment="1">
      <alignment horizontal="right"/>
    </xf>
    <xf numFmtId="173" fontId="26" fillId="0" borderId="12" xfId="4" applyNumberFormat="1" applyFont="1" applyFill="1" applyBorder="1" applyAlignment="1">
      <alignment horizontal="right"/>
    </xf>
    <xf numFmtId="41" fontId="23" fillId="0" borderId="12" xfId="0" applyNumberFormat="1" applyFont="1" applyBorder="1"/>
    <xf numFmtId="49" fontId="23" fillId="0" borderId="0" xfId="0" applyNumberFormat="1" applyFont="1" applyAlignment="1">
      <alignment wrapText="1"/>
    </xf>
    <xf numFmtId="0" fontId="17" fillId="0" borderId="24" xfId="0" applyFont="1" applyBorder="1"/>
    <xf numFmtId="173" fontId="17" fillId="0" borderId="25" xfId="4" applyNumberFormat="1" applyFont="1" applyFill="1" applyBorder="1" applyAlignment="1">
      <alignment horizontal="right"/>
    </xf>
    <xf numFmtId="173" fontId="23" fillId="0" borderId="57" xfId="4" applyNumberFormat="1" applyFont="1" applyFill="1" applyBorder="1" applyAlignment="1">
      <alignment horizontal="right"/>
    </xf>
    <xf numFmtId="173" fontId="20" fillId="0" borderId="2" xfId="4" applyNumberFormat="1" applyFont="1" applyFill="1" applyBorder="1" applyAlignment="1">
      <alignment horizontal="right"/>
    </xf>
    <xf numFmtId="173" fontId="17" fillId="0" borderId="56" xfId="4" applyNumberFormat="1" applyFont="1" applyFill="1" applyBorder="1" applyAlignment="1">
      <alignment horizontal="right"/>
    </xf>
    <xf numFmtId="0" fontId="17" fillId="0" borderId="11" xfId="0" applyFont="1" applyBorder="1"/>
    <xf numFmtId="173" fontId="17" fillId="0" borderId="26" xfId="4" applyNumberFormat="1" applyFont="1" applyFill="1" applyBorder="1" applyAlignment="1">
      <alignment horizontal="right"/>
    </xf>
    <xf numFmtId="173" fontId="17" fillId="0" borderId="2" xfId="4" applyNumberFormat="1" applyFont="1" applyFill="1" applyBorder="1" applyAlignment="1">
      <alignment horizontal="right"/>
    </xf>
    <xf numFmtId="0" fontId="23" fillId="0" borderId="0" xfId="0" applyFont="1"/>
    <xf numFmtId="173" fontId="19" fillId="0" borderId="17" xfId="4" applyNumberFormat="1" applyFont="1" applyFill="1" applyBorder="1" applyAlignment="1">
      <alignment horizontal="right"/>
    </xf>
    <xf numFmtId="0" fontId="17" fillId="0" borderId="2" xfId="0" applyFont="1" applyBorder="1"/>
    <xf numFmtId="41" fontId="20" fillId="0" borderId="0" xfId="5" applyFont="1"/>
    <xf numFmtId="173" fontId="20" fillId="0" borderId="0" xfId="0" applyNumberFormat="1" applyFont="1"/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7" fillId="0" borderId="0" xfId="0" applyFont="1"/>
    <xf numFmtId="168" fontId="17" fillId="0" borderId="0" xfId="4" applyNumberFormat="1" applyFont="1" applyFill="1"/>
    <xf numFmtId="168" fontId="20" fillId="0" borderId="0" xfId="0" applyNumberFormat="1" applyFont="1"/>
    <xf numFmtId="168" fontId="20" fillId="0" borderId="0" xfId="4" applyNumberFormat="1" applyFont="1" applyFill="1"/>
    <xf numFmtId="168" fontId="20" fillId="0" borderId="0" xfId="4" applyNumberFormat="1" applyFont="1" applyFill="1" applyProtection="1">
      <protection hidden="1"/>
    </xf>
    <xf numFmtId="3" fontId="20" fillId="0" borderId="0" xfId="0" applyNumberFormat="1" applyFont="1"/>
    <xf numFmtId="0" fontId="20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5"/>
    </xf>
    <xf numFmtId="0" fontId="29" fillId="0" borderId="0" xfId="0" applyFont="1"/>
    <xf numFmtId="41" fontId="20" fillId="0" borderId="0" xfId="5" applyFont="1" applyFill="1"/>
    <xf numFmtId="3" fontId="19" fillId="0" borderId="0" xfId="0" applyNumberFormat="1" applyFont="1"/>
    <xf numFmtId="169" fontId="20" fillId="0" borderId="0" xfId="0" applyNumberFormat="1" applyFont="1"/>
    <xf numFmtId="169" fontId="20" fillId="0" borderId="0" xfId="4" applyNumberFormat="1" applyFont="1" applyFill="1"/>
    <xf numFmtId="0" fontId="14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35" xfId="0" applyFont="1" applyBorder="1" applyAlignment="1">
      <alignment horizontal="center" wrapText="1"/>
    </xf>
    <xf numFmtId="168" fontId="23" fillId="0" borderId="29" xfId="4" applyNumberFormat="1" applyFont="1" applyBorder="1"/>
    <xf numFmtId="41" fontId="23" fillId="0" borderId="37" xfId="5" applyFont="1" applyBorder="1" applyAlignment="1">
      <alignment horizontal="right"/>
    </xf>
    <xf numFmtId="41" fontId="23" fillId="0" borderId="38" xfId="5" applyFont="1" applyBorder="1" applyAlignment="1">
      <alignment horizontal="right"/>
    </xf>
    <xf numFmtId="41" fontId="23" fillId="0" borderId="39" xfId="5" applyFont="1" applyBorder="1" applyAlignment="1">
      <alignment horizontal="right"/>
    </xf>
    <xf numFmtId="41" fontId="23" fillId="0" borderId="40" xfId="5" applyFont="1" applyBorder="1" applyAlignment="1">
      <alignment horizontal="right"/>
    </xf>
    <xf numFmtId="41" fontId="17" fillId="0" borderId="37" xfId="5" applyFont="1" applyBorder="1" applyAlignment="1">
      <alignment horizontal="right"/>
    </xf>
    <xf numFmtId="41" fontId="17" fillId="0" borderId="38" xfId="5" applyFont="1" applyBorder="1" applyAlignment="1">
      <alignment horizontal="right"/>
    </xf>
    <xf numFmtId="168" fontId="30" fillId="0" borderId="29" xfId="4" applyNumberFormat="1" applyFont="1" applyBorder="1"/>
    <xf numFmtId="41" fontId="23" fillId="0" borderId="41" xfId="5" applyFont="1" applyBorder="1" applyAlignment="1">
      <alignment horizontal="right"/>
    </xf>
    <xf numFmtId="41" fontId="23" fillId="0" borderId="30" xfId="5" applyFont="1" applyBorder="1" applyAlignment="1">
      <alignment horizontal="right"/>
    </xf>
    <xf numFmtId="41" fontId="23" fillId="0" borderId="12" xfId="5" applyFont="1" applyBorder="1" applyAlignment="1">
      <alignment horizontal="right"/>
    </xf>
    <xf numFmtId="41" fontId="23" fillId="0" borderId="42" xfId="5" applyFont="1" applyBorder="1" applyAlignment="1">
      <alignment horizontal="right"/>
    </xf>
    <xf numFmtId="41" fontId="23" fillId="0" borderId="43" xfId="5" applyFont="1" applyBorder="1" applyAlignment="1">
      <alignment horizontal="right"/>
    </xf>
    <xf numFmtId="41" fontId="23" fillId="0" borderId="44" xfId="5" applyFont="1" applyBorder="1" applyAlignment="1">
      <alignment horizontal="right"/>
    </xf>
    <xf numFmtId="41" fontId="23" fillId="0" borderId="45" xfId="5" applyFont="1" applyBorder="1" applyAlignment="1">
      <alignment horizontal="right"/>
    </xf>
    <xf numFmtId="41" fontId="17" fillId="0" borderId="49" xfId="5" applyFont="1" applyBorder="1" applyAlignment="1">
      <alignment horizontal="right"/>
    </xf>
    <xf numFmtId="0" fontId="17" fillId="0" borderId="34" xfId="0" applyFont="1" applyBorder="1"/>
    <xf numFmtId="41" fontId="17" fillId="0" borderId="46" xfId="5" applyFont="1" applyBorder="1" applyAlignment="1">
      <alignment horizontal="right"/>
    </xf>
    <xf numFmtId="41" fontId="17" fillId="0" borderId="28" xfId="5" applyFont="1" applyBorder="1" applyAlignment="1">
      <alignment horizontal="right"/>
    </xf>
    <xf numFmtId="41" fontId="17" fillId="0" borderId="15" xfId="5" applyFont="1" applyBorder="1" applyAlignment="1">
      <alignment horizontal="right"/>
    </xf>
    <xf numFmtId="41" fontId="17" fillId="0" borderId="47" xfId="5" applyFont="1" applyBorder="1" applyAlignment="1">
      <alignment horizontal="right"/>
    </xf>
    <xf numFmtId="41" fontId="19" fillId="0" borderId="28" xfId="5" applyFont="1" applyBorder="1" applyAlignment="1">
      <alignment horizontal="right"/>
    </xf>
    <xf numFmtId="41" fontId="19" fillId="0" borderId="16" xfId="5" applyFont="1" applyBorder="1" applyAlignment="1">
      <alignment horizontal="right"/>
    </xf>
    <xf numFmtId="0" fontId="17" fillId="0" borderId="50" xfId="0" applyFont="1" applyBorder="1"/>
    <xf numFmtId="41" fontId="17" fillId="0" borderId="51" xfId="5" applyFont="1" applyBorder="1" applyAlignment="1">
      <alignment horizontal="right"/>
    </xf>
    <xf numFmtId="41" fontId="19" fillId="0" borderId="52" xfId="5" applyFont="1" applyBorder="1" applyAlignment="1">
      <alignment horizontal="right"/>
    </xf>
    <xf numFmtId="41" fontId="17" fillId="0" borderId="48" xfId="5" applyFont="1" applyBorder="1" applyAlignment="1">
      <alignment horizontal="right"/>
    </xf>
    <xf numFmtId="0" fontId="0" fillId="0" borderId="0" xfId="0" quotePrefix="1" applyFont="1" applyFill="1"/>
    <xf numFmtId="3" fontId="31" fillId="0" borderId="0" xfId="0" applyNumberFormat="1" applyFont="1"/>
    <xf numFmtId="3" fontId="32" fillId="0" borderId="0" xfId="0" applyNumberFormat="1" applyFont="1"/>
    <xf numFmtId="3" fontId="7" fillId="0" borderId="1" xfId="0" applyNumberFormat="1" applyFont="1" applyBorder="1" applyAlignment="1"/>
    <xf numFmtId="0" fontId="20" fillId="0" borderId="14" xfId="0" applyFont="1" applyBorder="1"/>
    <xf numFmtId="3" fontId="20" fillId="0" borderId="15" xfId="0" applyNumberFormat="1" applyFont="1" applyBorder="1"/>
    <xf numFmtId="14" fontId="19" fillId="0" borderId="28" xfId="5" applyNumberFormat="1" applyFont="1" applyFill="1" applyBorder="1" applyAlignment="1">
      <alignment horizontal="center" wrapText="1"/>
    </xf>
    <xf numFmtId="0" fontId="19" fillId="0" borderId="29" xfId="0" applyFont="1" applyBorder="1"/>
    <xf numFmtId="3" fontId="19" fillId="0" borderId="0" xfId="0" applyNumberFormat="1" applyFont="1" applyBorder="1"/>
    <xf numFmtId="0" fontId="20" fillId="0" borderId="0" xfId="0" applyFont="1" applyBorder="1"/>
    <xf numFmtId="173" fontId="20" fillId="0" borderId="30" xfId="4" applyNumberFormat="1" applyFont="1" applyFill="1" applyBorder="1" applyAlignment="1">
      <alignment horizontal="right"/>
    </xf>
    <xf numFmtId="173" fontId="19" fillId="0" borderId="0" xfId="4" applyNumberFormat="1" applyFont="1" applyFill="1" applyBorder="1" applyAlignment="1">
      <alignment horizontal="right"/>
    </xf>
    <xf numFmtId="41" fontId="19" fillId="0" borderId="30" xfId="5" applyFont="1" applyFill="1" applyBorder="1" applyAlignment="1">
      <alignment horizontal="right"/>
    </xf>
    <xf numFmtId="0" fontId="20" fillId="0" borderId="29" xfId="0" applyFont="1" applyBorder="1"/>
    <xf numFmtId="173" fontId="20" fillId="0" borderId="0" xfId="4" applyNumberFormat="1" applyFont="1" applyFill="1" applyBorder="1" applyAlignment="1">
      <alignment horizontal="right"/>
    </xf>
    <xf numFmtId="41" fontId="20" fillId="0" borderId="30" xfId="5" applyFont="1" applyFill="1" applyBorder="1" applyAlignment="1">
      <alignment horizontal="right"/>
    </xf>
    <xf numFmtId="49" fontId="20" fillId="0" borderId="29" xfId="0" applyNumberFormat="1" applyFont="1" applyBorder="1"/>
    <xf numFmtId="0" fontId="19" fillId="0" borderId="59" xfId="0" applyFont="1" applyBorder="1"/>
    <xf numFmtId="3" fontId="20" fillId="0" borderId="31" xfId="0" applyNumberFormat="1" applyFont="1" applyBorder="1"/>
    <xf numFmtId="49" fontId="19" fillId="0" borderId="29" xfId="0" applyNumberFormat="1" applyFont="1" applyBorder="1"/>
    <xf numFmtId="49" fontId="20" fillId="0" borderId="61" xfId="0" applyNumberFormat="1" applyFont="1" applyBorder="1"/>
    <xf numFmtId="3" fontId="20" fillId="0" borderId="3" xfId="0" applyNumberFormat="1" applyFont="1" applyBorder="1"/>
    <xf numFmtId="3" fontId="20" fillId="0" borderId="0" xfId="0" applyNumberFormat="1" applyFont="1" applyBorder="1"/>
    <xf numFmtId="41" fontId="20" fillId="0" borderId="0" xfId="0" applyNumberFormat="1" applyFont="1"/>
    <xf numFmtId="0" fontId="23" fillId="0" borderId="7" xfId="0" applyFont="1" applyBorder="1"/>
    <xf numFmtId="168" fontId="17" fillId="0" borderId="17" xfId="4" applyNumberFormat="1" applyFont="1" applyBorder="1" applyAlignment="1">
      <alignment horizontal="center" vertical="center" wrapText="1"/>
    </xf>
    <xf numFmtId="41" fontId="23" fillId="0" borderId="32" xfId="5" applyFont="1" applyBorder="1" applyAlignment="1">
      <alignment horizontal="right"/>
    </xf>
    <xf numFmtId="41" fontId="23" fillId="0" borderId="55" xfId="5" applyFont="1" applyBorder="1" applyAlignment="1">
      <alignment horizontal="right"/>
    </xf>
    <xf numFmtId="41" fontId="23" fillId="0" borderId="5" xfId="5" applyFont="1" applyBorder="1" applyAlignment="1">
      <alignment horizontal="right"/>
    </xf>
    <xf numFmtId="0" fontId="19" fillId="0" borderId="5" xfId="0" applyFont="1" applyBorder="1"/>
    <xf numFmtId="41" fontId="20" fillId="0" borderId="5" xfId="5" applyFont="1" applyBorder="1" applyAlignment="1">
      <alignment horizontal="right"/>
    </xf>
    <xf numFmtId="41" fontId="19" fillId="0" borderId="18" xfId="5" applyFont="1" applyBorder="1" applyAlignment="1">
      <alignment horizontal="right"/>
    </xf>
    <xf numFmtId="0" fontId="20" fillId="0" borderId="5" xfId="0" applyFont="1" applyBorder="1"/>
    <xf numFmtId="41" fontId="19" fillId="0" borderId="5" xfId="5" applyFont="1" applyBorder="1" applyAlignment="1">
      <alignment horizontal="right"/>
    </xf>
    <xf numFmtId="0" fontId="33" fillId="0" borderId="5" xfId="0" applyFont="1" applyBorder="1"/>
    <xf numFmtId="41" fontId="33" fillId="0" borderId="5" xfId="5" applyFont="1" applyBorder="1" applyAlignment="1">
      <alignment horizontal="right"/>
    </xf>
    <xf numFmtId="0" fontId="23" fillId="0" borderId="2" xfId="0" applyFont="1" applyBorder="1"/>
    <xf numFmtId="41" fontId="17" fillId="0" borderId="33" xfId="5" applyFont="1" applyBorder="1" applyAlignment="1">
      <alignment horizontal="right"/>
    </xf>
    <xf numFmtId="3" fontId="34" fillId="0" borderId="0" xfId="0" applyNumberFormat="1" applyFont="1"/>
    <xf numFmtId="3" fontId="35" fillId="0" borderId="0" xfId="0" applyNumberFormat="1" applyFont="1"/>
    <xf numFmtId="3" fontId="0" fillId="0" borderId="0" xfId="0" applyNumberFormat="1" applyFont="1"/>
    <xf numFmtId="0" fontId="14" fillId="0" borderId="0" xfId="0" applyFont="1" applyAlignment="1"/>
    <xf numFmtId="0" fontId="0" fillId="0" borderId="0" xfId="0" applyFont="1" applyAlignment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9" fillId="0" borderId="61" xfId="0" applyFont="1" applyBorder="1"/>
    <xf numFmtId="173" fontId="19" fillId="0" borderId="30" xfId="4" applyNumberFormat="1" applyFont="1" applyFill="1" applyBorder="1" applyAlignment="1">
      <alignment horizontal="right"/>
    </xf>
    <xf numFmtId="0" fontId="19" fillId="0" borderId="67" xfId="0" applyFont="1" applyBorder="1"/>
    <xf numFmtId="41" fontId="19" fillId="0" borderId="31" xfId="5" applyFont="1" applyBorder="1"/>
    <xf numFmtId="3" fontId="20" fillId="0" borderId="68" xfId="0" applyNumberFormat="1" applyFont="1" applyBorder="1"/>
    <xf numFmtId="41" fontId="19" fillId="0" borderId="68" xfId="5" applyFont="1" applyBorder="1"/>
    <xf numFmtId="41" fontId="14" fillId="0" borderId="1" xfId="5" applyFont="1" applyFill="1" applyBorder="1"/>
    <xf numFmtId="41" fontId="40" fillId="0" borderId="18" xfId="5" applyFont="1" applyBorder="1" applyAlignment="1"/>
    <xf numFmtId="0" fontId="14" fillId="0" borderId="66" xfId="0" applyFont="1" applyBorder="1" applyAlignment="1">
      <alignment horizontal="left"/>
    </xf>
    <xf numFmtId="0" fontId="0" fillId="0" borderId="66" xfId="0" applyFont="1" applyBorder="1" applyAlignment="1"/>
    <xf numFmtId="0" fontId="0" fillId="0" borderId="63" xfId="0" applyFont="1" applyBorder="1" applyAlignment="1"/>
    <xf numFmtId="0" fontId="14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30" xfId="0" applyFont="1" applyBorder="1" applyAlignment="1"/>
    <xf numFmtId="0" fontId="18" fillId="0" borderId="29" xfId="0" applyFont="1" applyBorder="1" applyAlignment="1">
      <alignment horizontal="left" vertical="center"/>
    </xf>
    <xf numFmtId="0" fontId="7" fillId="0" borderId="62" xfId="0" applyFont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1" fontId="0" fillId="0" borderId="0" xfId="5" applyFont="1" applyAlignment="1"/>
    <xf numFmtId="0" fontId="7" fillId="0" borderId="70" xfId="0" applyFont="1" applyBorder="1" applyAlignment="1">
      <alignment horizontal="left"/>
    </xf>
    <xf numFmtId="0" fontId="7" fillId="0" borderId="71" xfId="0" applyFont="1" applyBorder="1" applyAlignment="1">
      <alignment horizontal="left"/>
    </xf>
    <xf numFmtId="41" fontId="7" fillId="0" borderId="1" xfId="5" applyFont="1" applyBorder="1" applyAlignment="1">
      <alignment horizontal="right" wrapText="1"/>
    </xf>
    <xf numFmtId="0" fontId="7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173" fontId="24" fillId="0" borderId="1" xfId="4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1" fontId="7" fillId="0" borderId="1" xfId="5" applyFont="1" applyFill="1" applyBorder="1" applyAlignment="1">
      <alignment horizontal="right" vertical="center" wrapText="1"/>
    </xf>
    <xf numFmtId="0" fontId="0" fillId="0" borderId="0" xfId="0" applyFill="1"/>
    <xf numFmtId="0" fontId="7" fillId="0" borderId="0" xfId="0" applyFont="1" applyAlignment="1">
      <alignment horizontal="center" vertical="center"/>
    </xf>
    <xf numFmtId="0" fontId="0" fillId="0" borderId="0" xfId="0" quotePrefix="1" applyFill="1"/>
    <xf numFmtId="14" fontId="17" fillId="0" borderId="34" xfId="0" applyNumberFormat="1" applyFont="1" applyBorder="1" applyAlignment="1">
      <alignment horizontal="center" wrapText="1"/>
    </xf>
    <xf numFmtId="14" fontId="17" fillId="0" borderId="35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left" vertical="top"/>
    </xf>
    <xf numFmtId="0" fontId="25" fillId="0" borderId="6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0" fillId="0" borderId="58" xfId="0" applyFont="1" applyBorder="1" applyAlignment="1"/>
    <xf numFmtId="0" fontId="0" fillId="0" borderId="75" xfId="0" applyFont="1" applyBorder="1" applyAlignment="1"/>
    <xf numFmtId="0" fontId="24" fillId="0" borderId="60" xfId="0" applyFont="1" applyBorder="1" applyAlignment="1">
      <alignment horizontal="left" vertical="center"/>
    </xf>
    <xf numFmtId="10" fontId="25" fillId="0" borderId="75" xfId="0" applyNumberFormat="1" applyFont="1" applyBorder="1" applyAlignment="1">
      <alignment horizontal="right" vertical="center"/>
    </xf>
    <xf numFmtId="10" fontId="25" fillId="0" borderId="30" xfId="0" applyNumberFormat="1" applyFont="1" applyBorder="1" applyAlignment="1">
      <alignment horizontal="right" vertical="center"/>
    </xf>
    <xf numFmtId="0" fontId="0" fillId="0" borderId="65" xfId="0" applyFont="1" applyBorder="1" applyAlignment="1"/>
    <xf numFmtId="41" fontId="7" fillId="0" borderId="70" xfId="5" applyFont="1" applyBorder="1" applyAlignment="1">
      <alignment horizontal="left"/>
    </xf>
    <xf numFmtId="41" fontId="7" fillId="0" borderId="71" xfId="5" applyFont="1" applyBorder="1" applyAlignment="1">
      <alignment horizontal="left"/>
    </xf>
    <xf numFmtId="41" fontId="7" fillId="0" borderId="71" xfId="5" applyFont="1" applyBorder="1" applyAlignment="1"/>
    <xf numFmtId="41" fontId="7" fillId="0" borderId="72" xfId="5" applyFont="1" applyBorder="1" applyAlignment="1"/>
    <xf numFmtId="41" fontId="7" fillId="0" borderId="0" xfId="5" applyFont="1" applyAlignment="1"/>
    <xf numFmtId="0" fontId="14" fillId="0" borderId="0" xfId="0" applyFont="1" applyBorder="1" applyAlignment="1"/>
    <xf numFmtId="41" fontId="14" fillId="0" borderId="0" xfId="5" applyFont="1" applyBorder="1" applyAlignment="1"/>
    <xf numFmtId="0" fontId="14" fillId="0" borderId="30" xfId="0" applyFont="1" applyBorder="1" applyAlignment="1"/>
    <xf numFmtId="41" fontId="14" fillId="0" borderId="0" xfId="5" applyFont="1" applyAlignment="1"/>
    <xf numFmtId="0" fontId="7" fillId="0" borderId="72" xfId="0" applyFont="1" applyBorder="1" applyAlignment="1"/>
    <xf numFmtId="0" fontId="7" fillId="0" borderId="0" xfId="0" applyFont="1" applyAlignment="1"/>
    <xf numFmtId="41" fontId="14" fillId="0" borderId="0" xfId="5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41" fontId="7" fillId="0" borderId="15" xfId="5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9" xfId="0" applyFont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/>
    </xf>
    <xf numFmtId="3" fontId="19" fillId="0" borderId="66" xfId="0" applyNumberFormat="1" applyFont="1" applyBorder="1"/>
    <xf numFmtId="0" fontId="20" fillId="0" borderId="66" xfId="0" applyFont="1" applyBorder="1"/>
    <xf numFmtId="173" fontId="20" fillId="0" borderId="63" xfId="4" applyNumberFormat="1" applyFont="1" applyFill="1" applyBorder="1" applyAlignment="1">
      <alignment horizontal="right"/>
    </xf>
    <xf numFmtId="41" fontId="19" fillId="0" borderId="60" xfId="5" applyFont="1" applyBorder="1"/>
    <xf numFmtId="41" fontId="19" fillId="0" borderId="69" xfId="5" applyFont="1" applyBorder="1"/>
    <xf numFmtId="41" fontId="14" fillId="0" borderId="1" xfId="5" applyFont="1" applyBorder="1" applyAlignment="1">
      <alignment horizontal="center" vertical="center"/>
    </xf>
    <xf numFmtId="41" fontId="7" fillId="0" borderId="1" xfId="5" applyFont="1" applyBorder="1" applyAlignment="1">
      <alignment horizontal="center" vertical="center" wrapText="1"/>
    </xf>
    <xf numFmtId="41" fontId="14" fillId="0" borderId="1" xfId="5" applyFont="1" applyBorder="1" applyAlignment="1">
      <alignment vertical="center"/>
    </xf>
    <xf numFmtId="41" fontId="7" fillId="0" borderId="1" xfId="5" applyFont="1" applyBorder="1" applyAlignment="1">
      <alignment horizontal="center" vertical="center"/>
    </xf>
    <xf numFmtId="41" fontId="7" fillId="0" borderId="7" xfId="5" applyFont="1" applyBorder="1" applyAlignment="1">
      <alignment horizontal="center" wrapText="1"/>
    </xf>
    <xf numFmtId="41" fontId="7" fillId="0" borderId="2" xfId="5" applyFont="1" applyBorder="1" applyAlignment="1">
      <alignment horizontal="center" vertical="center" wrapText="1"/>
    </xf>
    <xf numFmtId="0" fontId="11" fillId="0" borderId="1" xfId="0" applyFont="1" applyBorder="1"/>
    <xf numFmtId="0" fontId="44" fillId="0" borderId="1" xfId="0" applyFont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41" fontId="20" fillId="0" borderId="2" xfId="5" applyFont="1" applyBorder="1" applyAlignment="1">
      <alignment vertical="center"/>
    </xf>
    <xf numFmtId="41" fontId="24" fillId="0" borderId="2" xfId="5" applyFont="1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41" fontId="20" fillId="0" borderId="0" xfId="5" applyFont="1" applyFill="1" applyBorder="1" applyAlignment="1">
      <alignment horizontal="right" vertical="center"/>
    </xf>
    <xf numFmtId="0" fontId="33" fillId="0" borderId="1" xfId="0" applyFont="1" applyBorder="1" applyAlignment="1">
      <alignment vertical="center"/>
    </xf>
    <xf numFmtId="0" fontId="25" fillId="0" borderId="7" xfId="0" applyFont="1" applyBorder="1" applyAlignment="1">
      <alignment horizontal="center" vertical="center"/>
    </xf>
    <xf numFmtId="173" fontId="14" fillId="0" borderId="0" xfId="0" applyNumberFormat="1" applyFont="1"/>
    <xf numFmtId="173" fontId="25" fillId="0" borderId="7" xfId="4" applyNumberFormat="1" applyFont="1" applyFill="1" applyBorder="1" applyAlignment="1">
      <alignment horizontal="center" vertical="center"/>
    </xf>
    <xf numFmtId="41" fontId="20" fillId="0" borderId="2" xfId="5" applyFont="1" applyBorder="1"/>
    <xf numFmtId="0" fontId="24" fillId="0" borderId="16" xfId="0" applyFont="1" applyBorder="1" applyAlignment="1">
      <alignment horizontal="center" vertical="center"/>
    </xf>
    <xf numFmtId="0" fontId="33" fillId="0" borderId="5" xfId="0" applyFont="1" applyBorder="1" applyAlignment="1">
      <alignment vertical="center"/>
    </xf>
    <xf numFmtId="41" fontId="20" fillId="0" borderId="5" xfId="5" applyFont="1" applyBorder="1"/>
    <xf numFmtId="170" fontId="20" fillId="0" borderId="5" xfId="5" applyNumberFormat="1" applyFont="1" applyFill="1" applyBorder="1" applyAlignment="1">
      <alignment horizontal="right" vertical="center"/>
    </xf>
    <xf numFmtId="0" fontId="24" fillId="0" borderId="78" xfId="0" applyFont="1" applyBorder="1" applyAlignment="1">
      <alignment vertical="center"/>
    </xf>
    <xf numFmtId="0" fontId="24" fillId="0" borderId="79" xfId="0" applyFont="1" applyBorder="1" applyAlignment="1">
      <alignment vertical="center"/>
    </xf>
    <xf numFmtId="173" fontId="24" fillId="0" borderId="79" xfId="4" applyNumberFormat="1" applyFont="1" applyFill="1" applyBorder="1" applyAlignment="1">
      <alignment horizontal="right" vertical="center"/>
    </xf>
    <xf numFmtId="0" fontId="24" fillId="0" borderId="80" xfId="0" applyFont="1" applyBorder="1" applyAlignment="1">
      <alignment vertical="center"/>
    </xf>
    <xf numFmtId="0" fontId="24" fillId="0" borderId="81" xfId="0" applyFont="1" applyBorder="1" applyAlignment="1">
      <alignment vertical="center"/>
    </xf>
    <xf numFmtId="41" fontId="24" fillId="0" borderId="81" xfId="5" applyFont="1" applyBorder="1" applyAlignment="1">
      <alignment vertical="center"/>
    </xf>
    <xf numFmtId="173" fontId="24" fillId="0" borderId="81" xfId="4" applyNumberFormat="1" applyFont="1" applyBorder="1" applyAlignment="1">
      <alignment horizontal="right"/>
    </xf>
    <xf numFmtId="173" fontId="24" fillId="0" borderId="77" xfId="4" applyNumberFormat="1" applyFont="1" applyBorder="1" applyAlignment="1">
      <alignment horizontal="right"/>
    </xf>
    <xf numFmtId="0" fontId="24" fillId="0" borderId="82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3" quotePrefix="1" applyFill="1"/>
    <xf numFmtId="0" fontId="41" fillId="0" borderId="0" xfId="0" applyFont="1" applyAlignment="1">
      <alignment horizontal="center" vertical="center" wrapText="1"/>
    </xf>
    <xf numFmtId="0" fontId="5" fillId="0" borderId="0" xfId="3" quotePrefix="1" applyAlignment="1">
      <alignment horizontal="center" vertical="center" wrapText="1"/>
    </xf>
    <xf numFmtId="0" fontId="5" fillId="0" borderId="3" xfId="3" quotePrefix="1" applyBorder="1" applyAlignment="1">
      <alignment horizontal="center" vertical="center"/>
    </xf>
    <xf numFmtId="0" fontId="5" fillId="0" borderId="0" xfId="3" quotePrefix="1" applyAlignment="1">
      <alignment horizontal="center" vertical="center"/>
    </xf>
    <xf numFmtId="0" fontId="5" fillId="0" borderId="5" xfId="3" applyBorder="1"/>
    <xf numFmtId="0" fontId="5" fillId="0" borderId="5" xfId="3" applyBorder="1" applyAlignment="1">
      <alignment horizontal="left"/>
    </xf>
    <xf numFmtId="0" fontId="20" fillId="0" borderId="54" xfId="0" applyFont="1" applyFill="1" applyBorder="1" applyAlignment="1">
      <alignment horizontal="left"/>
    </xf>
    <xf numFmtId="41" fontId="14" fillId="0" borderId="31" xfId="5" applyFont="1" applyFill="1" applyBorder="1" applyAlignment="1">
      <alignment horizontal="right"/>
    </xf>
    <xf numFmtId="41" fontId="14" fillId="0" borderId="13" xfId="5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3" quotePrefix="1" applyAlignment="1">
      <alignment horizontal="left"/>
    </xf>
    <xf numFmtId="0" fontId="5" fillId="0" borderId="0" xfId="3" quotePrefix="1"/>
    <xf numFmtId="41" fontId="7" fillId="0" borderId="1" xfId="5" applyFont="1" applyFill="1" applyBorder="1" applyAlignment="1"/>
    <xf numFmtId="41" fontId="7" fillId="0" borderId="1" xfId="0" applyNumberFormat="1" applyFont="1" applyFill="1" applyBorder="1" applyAlignment="1">
      <alignment horizontal="center" vertical="center"/>
    </xf>
    <xf numFmtId="0" fontId="5" fillId="0" borderId="0" xfId="3" quotePrefix="1" applyAlignment="1">
      <alignment wrapText="1"/>
    </xf>
    <xf numFmtId="41" fontId="14" fillId="0" borderId="1" xfId="5" applyFont="1" applyBorder="1" applyAlignment="1">
      <alignment horizontal="left" wrapText="1"/>
    </xf>
    <xf numFmtId="41" fontId="24" fillId="0" borderId="1" xfId="5" applyFont="1" applyBorder="1" applyAlignment="1">
      <alignment wrapText="1"/>
    </xf>
    <xf numFmtId="0" fontId="5" fillId="0" borderId="12" xfId="3" applyBorder="1" applyAlignment="1">
      <alignment horizontal="left"/>
    </xf>
    <xf numFmtId="0" fontId="5" fillId="0" borderId="12" xfId="3" applyBorder="1"/>
    <xf numFmtId="14" fontId="14" fillId="0" borderId="7" xfId="0" applyNumberFormat="1" applyFont="1" applyBorder="1" applyAlignment="1">
      <alignment horizontal="left" vertical="center" wrapText="1"/>
    </xf>
    <xf numFmtId="14" fontId="14" fillId="0" borderId="0" xfId="0" applyNumberFormat="1" applyFont="1" applyAlignment="1">
      <alignment wrapText="1"/>
    </xf>
    <xf numFmtId="0" fontId="41" fillId="0" borderId="0" xfId="0" applyFont="1" applyAlignment="1">
      <alignment horizontal="center"/>
    </xf>
    <xf numFmtId="0" fontId="5" fillId="0" borderId="0" xfId="3" quotePrefix="1" applyAlignment="1">
      <alignment vertical="center"/>
    </xf>
    <xf numFmtId="0" fontId="5" fillId="0" borderId="62" xfId="3" applyBorder="1"/>
    <xf numFmtId="41" fontId="19" fillId="0" borderId="58" xfId="5" applyFont="1" applyBorder="1"/>
    <xf numFmtId="0" fontId="5" fillId="0" borderId="3" xfId="3" quotePrefix="1" applyBorder="1" applyAlignment="1">
      <alignment horizontal="center"/>
    </xf>
    <xf numFmtId="49" fontId="5" fillId="0" borderId="29" xfId="3" applyNumberFormat="1" applyBorder="1"/>
    <xf numFmtId="0" fontId="5" fillId="0" borderId="29" xfId="3" applyBorder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14" fontId="14" fillId="0" borderId="7" xfId="5" applyNumberFormat="1" applyFont="1" applyBorder="1" applyAlignment="1">
      <alignment horizontal="left" vertical="center" wrapText="1"/>
    </xf>
    <xf numFmtId="0" fontId="20" fillId="0" borderId="0" xfId="0" applyFont="1" applyAlignment="1"/>
    <xf numFmtId="173" fontId="24" fillId="0" borderId="102" xfId="4" applyNumberFormat="1" applyFont="1" applyFill="1" applyBorder="1" applyAlignment="1">
      <alignment horizontal="right" vertical="center"/>
    </xf>
    <xf numFmtId="173" fontId="24" fillId="0" borderId="0" xfId="4" applyNumberFormat="1" applyFont="1" applyFill="1" applyBorder="1" applyAlignment="1">
      <alignment horizontal="right" vertical="center"/>
    </xf>
    <xf numFmtId="173" fontId="25" fillId="0" borderId="1" xfId="4" applyNumberFormat="1" applyFont="1" applyBorder="1" applyAlignment="1">
      <alignment horizontal="center" vertical="center"/>
    </xf>
    <xf numFmtId="173" fontId="20" fillId="0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4" fillId="0" borderId="62" xfId="0" applyFont="1" applyBorder="1" applyAlignment="1">
      <alignment horizontal="left" vertical="center"/>
    </xf>
    <xf numFmtId="0" fontId="14" fillId="0" borderId="66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top"/>
    </xf>
    <xf numFmtId="0" fontId="14" fillId="0" borderId="6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73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16" fillId="0" borderId="0" xfId="3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3" fillId="0" borderId="8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24" fillId="0" borderId="54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6" borderId="54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1" fontId="7" fillId="0" borderId="1" xfId="5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/>
    </xf>
    <xf numFmtId="0" fontId="0" fillId="0" borderId="0" xfId="0" applyFill="1"/>
    <xf numFmtId="0" fontId="46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8" fillId="0" borderId="3" xfId="0" applyFont="1" applyBorder="1" applyAlignment="1">
      <alignment horizontal="center"/>
    </xf>
    <xf numFmtId="0" fontId="0" fillId="0" borderId="0" xfId="0" quotePrefix="1" applyFill="1"/>
    <xf numFmtId="0" fontId="10" fillId="0" borderId="103" xfId="0" applyFont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04" xfId="0" applyFont="1" applyFill="1" applyBorder="1" applyAlignment="1">
      <alignment horizontal="center" vertical="center"/>
    </xf>
    <xf numFmtId="14" fontId="102" fillId="5" borderId="14" xfId="0" applyNumberFormat="1" applyFont="1" applyFill="1" applyBorder="1" applyAlignment="1">
      <alignment horizontal="center"/>
    </xf>
    <xf numFmtId="14" fontId="102" fillId="5" borderId="16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wrapText="1"/>
    </xf>
    <xf numFmtId="41" fontId="14" fillId="0" borderId="7" xfId="5" applyFont="1" applyBorder="1" applyAlignment="1">
      <alignment horizontal="left" vertical="center" wrapText="1"/>
    </xf>
  </cellXfs>
  <cellStyles count="399">
    <cellStyle name="          _x000d__x000a_386grabber=VGA.3GR_x000d__x000a_ 3" xfId="175" xr:uid="{E348C78B-B010-4819-B335-4E59441E30F5}"/>
    <cellStyle name="20% - Accent1" xfId="273" xr:uid="{B041C6E8-C170-4B0A-8307-3A45684D58E4}"/>
    <cellStyle name="20% - Accent2" xfId="274" xr:uid="{4AAF792B-56E4-4F3D-A771-98AE59F86C13}"/>
    <cellStyle name="20% - Accent3" xfId="275" xr:uid="{0300DD3D-40C4-451A-B3FC-7E1F613A41E4}"/>
    <cellStyle name="20% - Accent4" xfId="276" xr:uid="{73A8C76F-37E3-41D2-ACDF-EBFD3EC93279}"/>
    <cellStyle name="20% - Accent5" xfId="277" xr:uid="{77627F68-DD20-4C06-A997-C5DB6476B100}"/>
    <cellStyle name="20% - Accent6" xfId="278" xr:uid="{2E8D1525-4D0F-4FC8-9B6B-0664799159EA}"/>
    <cellStyle name="20% - Énfasis1 2" xfId="260" xr:uid="{944A4347-916F-49B4-A8B4-1A01E32E18CA}"/>
    <cellStyle name="20% - Énfasis1 3" xfId="342" xr:uid="{83ECB81E-9D94-4C1E-9DF4-C632D2061D67}"/>
    <cellStyle name="20% - Énfasis1 4" xfId="232" xr:uid="{C2A81A05-2651-4C39-ABCD-C654D806CFEE}"/>
    <cellStyle name="20% - Énfasis2 2" xfId="262" xr:uid="{7880F7B2-021D-42B1-83A1-C960B0A2E774}"/>
    <cellStyle name="20% - Énfasis2 3" xfId="344" xr:uid="{71481E7E-AC0D-4DD1-BCB3-A0C55B7B082A}"/>
    <cellStyle name="20% - Énfasis2 4" xfId="236" xr:uid="{DA03B4D7-C1D2-49B6-8E53-88AFE2C12A37}"/>
    <cellStyle name="20% - Énfasis3 2" xfId="264" xr:uid="{0BBE0DD2-938A-46A4-8528-422FAC379D4C}"/>
    <cellStyle name="20% - Énfasis3 3" xfId="346" xr:uid="{B0EF3BC5-1EB9-459E-BCF4-41E51AFF6D2D}"/>
    <cellStyle name="20% - Énfasis3 4" xfId="240" xr:uid="{D4768E90-7EA0-4107-B312-B0DB5ECFB0E3}"/>
    <cellStyle name="20% - Énfasis4 2" xfId="266" xr:uid="{7CE59990-3CBB-4BE9-84EA-06E51E06A607}"/>
    <cellStyle name="20% - Énfasis4 3" xfId="348" xr:uid="{62A6F2F3-88E4-41B2-80F6-B4220471B612}"/>
    <cellStyle name="20% - Énfasis4 4" xfId="244" xr:uid="{9489B3B3-82F4-464E-96EA-81AABF0C2141}"/>
    <cellStyle name="20% - Énfasis5 2" xfId="268" xr:uid="{4159FCED-9B51-4FB7-BD62-8E0B6876912F}"/>
    <cellStyle name="20% - Énfasis5 3" xfId="350" xr:uid="{79D273F6-B20F-4DA3-A49B-B2AE03E6B7AD}"/>
    <cellStyle name="20% - Énfasis5 4" xfId="248" xr:uid="{6F5888D6-8FAC-4929-9973-F285EE31B32F}"/>
    <cellStyle name="20% - Énfasis6 2" xfId="270" xr:uid="{55925D2C-9AA8-432C-A57A-B4BD259394F4}"/>
    <cellStyle name="20% - Énfasis6 3" xfId="352" xr:uid="{609E8795-202C-45F7-82E6-BF11F2BE3464}"/>
    <cellStyle name="20% - Énfasis6 4" xfId="252" xr:uid="{E18F621D-683F-4A64-AAE4-84ED97E44A1A}"/>
    <cellStyle name="40% - Accent1" xfId="279" xr:uid="{FEBE0F09-89B8-4CBC-83D2-DBA7C30B6BBE}"/>
    <cellStyle name="40% - Accent2" xfId="280" xr:uid="{D40B84EB-CA85-454C-B321-E9ABA726B12E}"/>
    <cellStyle name="40% - Accent3" xfId="281" xr:uid="{03033818-5501-4BE7-8712-795407072277}"/>
    <cellStyle name="40% - Accent4" xfId="282" xr:uid="{50A9F8BC-0DA0-4E75-A067-27F434AF7D6E}"/>
    <cellStyle name="40% - Accent5" xfId="283" xr:uid="{8CAB73D3-2EAE-4E6D-B4A0-42C100664CA0}"/>
    <cellStyle name="40% - Accent6" xfId="284" xr:uid="{0050961A-F642-43CB-A24A-B93187D06508}"/>
    <cellStyle name="40% - Énfasis1 2" xfId="261" xr:uid="{EFFCF5F7-B20C-4CEF-898A-7712FD85F612}"/>
    <cellStyle name="40% - Énfasis1 3" xfId="343" xr:uid="{92E224B5-24DD-48D9-B4FC-FDFD7B5F5EB4}"/>
    <cellStyle name="40% - Énfasis1 4" xfId="233" xr:uid="{27C3C304-B8AA-4A74-9F0E-8D86E863C208}"/>
    <cellStyle name="40% - Énfasis2 2" xfId="263" xr:uid="{552353EB-80C5-4184-9E74-87A4B7B17C38}"/>
    <cellStyle name="40% - Énfasis2 3" xfId="345" xr:uid="{57D7BA16-FF39-43E7-B1A0-59A387EC68E3}"/>
    <cellStyle name="40% - Énfasis2 4" xfId="237" xr:uid="{51CA532A-529C-47E7-B58B-D1D776B6FBDD}"/>
    <cellStyle name="40% - Énfasis3 2" xfId="265" xr:uid="{733EDFE4-66AB-4583-8239-B4BFAC042600}"/>
    <cellStyle name="40% - Énfasis3 3" xfId="347" xr:uid="{DAACCF87-1986-4559-8670-51F84F57ED7E}"/>
    <cellStyle name="40% - Énfasis3 4" xfId="241" xr:uid="{F0BC462F-1A6A-4953-888D-2BDFCF7FDE80}"/>
    <cellStyle name="40% - Énfasis4 2" xfId="267" xr:uid="{BF0640A6-9F4B-4E4F-94C1-EECA62FD44B4}"/>
    <cellStyle name="40% - Énfasis4 3" xfId="349" xr:uid="{F872EF36-E612-4C9E-924A-4D88AF8054C2}"/>
    <cellStyle name="40% - Énfasis4 4" xfId="245" xr:uid="{EBC1536B-0BEF-4FC0-A23C-1841AAD7E585}"/>
    <cellStyle name="40% - Énfasis5 2" xfId="269" xr:uid="{B27C0910-0F7F-4FED-85AD-D4561D91823E}"/>
    <cellStyle name="40% - Énfasis5 3" xfId="351" xr:uid="{3FC01F49-5089-4547-B161-30AEDC2CB237}"/>
    <cellStyle name="40% - Énfasis5 4" xfId="249" xr:uid="{EAB0A09A-9A07-4A31-9AD4-F355073014AC}"/>
    <cellStyle name="40% - Énfasis6 2" xfId="271" xr:uid="{6710D200-2438-42B4-B8BD-AAA42461547D}"/>
    <cellStyle name="40% - Énfasis6 3" xfId="353" xr:uid="{EEE53903-7DCB-4608-A113-904C51F1A44E}"/>
    <cellStyle name="40% - Énfasis6 4" xfId="253" xr:uid="{E7B6CEF8-7C43-418D-8D9E-F11A8C03C2E2}"/>
    <cellStyle name="60% - Accent1" xfId="285" xr:uid="{2103E9BA-6799-41FC-AC7E-9148D9B04A1D}"/>
    <cellStyle name="60% - Accent2" xfId="286" xr:uid="{B1AE179E-233B-4E93-848F-CC02C62E6E4F}"/>
    <cellStyle name="60% - Accent3" xfId="287" xr:uid="{6F98669F-6D9F-4C59-A602-290B5D506052}"/>
    <cellStyle name="60% - Accent4" xfId="288" xr:uid="{311474EA-70C9-4FBC-82AC-3F83615786B3}"/>
    <cellStyle name="60% - Accent5" xfId="289" xr:uid="{A78A6D85-B161-41C7-A523-4B027B855088}"/>
    <cellStyle name="60% - Accent6" xfId="290" xr:uid="{35ED9CAC-68A9-42A3-9847-A760C3E6DEC2}"/>
    <cellStyle name="60% - Énfasis1 2" xfId="234" xr:uid="{A80B2008-B0F7-469D-8197-0D09FB78ED4E}"/>
    <cellStyle name="60% - Énfasis2 2" xfId="238" xr:uid="{825BAFCD-0546-4660-95D0-F49A9465A902}"/>
    <cellStyle name="60% - Énfasis3 2" xfId="242" xr:uid="{A6C4B485-D4AA-4DF8-BB00-DA72597C9633}"/>
    <cellStyle name="60% - Énfasis4 2" xfId="246" xr:uid="{75B1F4C0-EF5E-49F9-AAB4-666C89BF97F4}"/>
    <cellStyle name="60% - Énfasis5 2" xfId="250" xr:uid="{B84BE462-DDC0-4506-9170-941C4ADF1331}"/>
    <cellStyle name="60% - Énfasis6 2" xfId="254" xr:uid="{67D6CDBA-366D-4253-835C-09BB9FA129F4}"/>
    <cellStyle name="Accent1" xfId="291" xr:uid="{D04F143B-B1DD-4305-8306-BABD0E2F3D97}"/>
    <cellStyle name="Accent2" xfId="292" xr:uid="{36BB6226-AF49-4385-9407-98E8D4F71875}"/>
    <cellStyle name="Accent3" xfId="293" xr:uid="{CD03206B-6E80-4CC8-B738-4E4A2F51BBF0}"/>
    <cellStyle name="Accent4" xfId="294" xr:uid="{BB290AE0-8704-4DE6-A325-5F99B0C6475C}"/>
    <cellStyle name="Accent5" xfId="295" xr:uid="{EA3048E4-81B6-41FA-A456-41A6125EB1F6}"/>
    <cellStyle name="Accent6" xfId="296" xr:uid="{76B1529F-B4E1-4087-8DAC-7B17F2763569}"/>
    <cellStyle name="Bad" xfId="297" xr:uid="{069CDC5C-A8C1-4A90-BA8E-21155945CACD}"/>
    <cellStyle name="Bueno 2" xfId="220" xr:uid="{46F66F28-49E2-4EB0-BD4C-1627384AC9E2}"/>
    <cellStyle name="Calculation" xfId="298" xr:uid="{F6DCA4AA-043A-4A36-A78B-9E7E480E18D6}"/>
    <cellStyle name="Cálculo 2" xfId="225" xr:uid="{34E859A1-CF68-46E4-8080-1542ECE052A6}"/>
    <cellStyle name="Celda de comprobación 2" xfId="227" xr:uid="{B8130FB3-8291-4DA0-9AA4-BFFCC17B60A6}"/>
    <cellStyle name="Celda vinculada 2" xfId="226" xr:uid="{48A8610F-81D7-4533-AE50-B1D05635D9D1}"/>
    <cellStyle name="Check Cell" xfId="299" xr:uid="{92B2F3B3-CC64-489F-BDDC-CF5974A91C15}"/>
    <cellStyle name="Comma 2" xfId="27" xr:uid="{D66F8A28-ABC3-48B2-AE5D-1A2BF626025D}"/>
    <cellStyle name="Comma 2 2" xfId="301" xr:uid="{732BD60A-8F54-414F-A6B9-EAB7AF07D0B8}"/>
    <cellStyle name="Comma 2 3" xfId="300" xr:uid="{E61932D3-8E21-41FB-8694-FA763DCED962}"/>
    <cellStyle name="Comma 3" xfId="302" xr:uid="{6CBF7730-13BC-4A43-9C8D-D4488FA41F6D}"/>
    <cellStyle name="Comma 4" xfId="303" xr:uid="{C4DDBEAB-CFB1-4A6E-ACFF-9067E9D05074}"/>
    <cellStyle name="Comma 4 2" xfId="45" xr:uid="{5EA6BC80-D330-456F-A597-D21008D1E7CC}"/>
    <cellStyle name="Comma 4 2 2" xfId="132" xr:uid="{4BE266D2-3E1B-459E-AC29-61AB8D10EB31}"/>
    <cellStyle name="Comma 4 2 2 2" xfId="176" xr:uid="{11212E72-63AA-4ACB-84AD-4F79EC4C04CA}"/>
    <cellStyle name="Comma 5" xfId="304" xr:uid="{B625BF64-9A41-45F8-99E3-8A2D9C8E333F}"/>
    <cellStyle name="Comma_Comparativo 2004" xfId="28" xr:uid="{DF286EAF-83D8-4437-89D3-95DCEAAE50BA}"/>
    <cellStyle name="Encabezado 1 2" xfId="216" xr:uid="{02E71AAE-FE87-4A33-A9C3-1D088B1676AC}"/>
    <cellStyle name="Encabezado 4 2" xfId="219" xr:uid="{347C2C2B-CC09-4414-A8A8-958241B857AF}"/>
    <cellStyle name="Énfasis1 2" xfId="231" xr:uid="{31DEF6BE-9D92-4BD9-A08E-98A18435ADD1}"/>
    <cellStyle name="Énfasis2 2" xfId="1" xr:uid="{00000000-0005-0000-0000-000000000000}"/>
    <cellStyle name="Énfasis2 3" xfId="235" xr:uid="{5D992463-C927-4445-B83A-B04988EBB372}"/>
    <cellStyle name="Énfasis3 2" xfId="239" xr:uid="{7366D1A3-C819-486A-B662-3302C2760236}"/>
    <cellStyle name="Énfasis4 2" xfId="243" xr:uid="{40898357-72E1-4026-9E91-22D21D205A28}"/>
    <cellStyle name="Énfasis5 2" xfId="247" xr:uid="{D5C94F16-8085-4790-86F4-203BF7D0B275}"/>
    <cellStyle name="Énfasis6 2" xfId="251" xr:uid="{27A7E23C-9E60-4C60-931E-C9FC5B475A6F}"/>
    <cellStyle name="Entrada 2" xfId="223" xr:uid="{812B9747-7071-449E-9BD6-EFEDA2CD5E1A}"/>
    <cellStyle name="Excel Built-in Normal" xfId="2" xr:uid="{00000000-0005-0000-0000-000001000000}"/>
    <cellStyle name="Excel Built-in Normal 2" xfId="149" xr:uid="{0631E87D-58F3-4B4F-98EF-80F71D69AB65}"/>
    <cellStyle name="Explanatory Text" xfId="305" xr:uid="{BE3630B1-3DDC-4CFD-932E-E82B51B1F312}"/>
    <cellStyle name="Good" xfId="306" xr:uid="{E9C1BB8E-A764-4909-BDAA-7B56D205476D}"/>
    <cellStyle name="Heading" xfId="307" xr:uid="{3CAFD6B4-8924-4305-A53E-8641BD815E68}"/>
    <cellStyle name="Heading 1" xfId="308" xr:uid="{9C75D19A-0601-4C98-85D8-1F97EF9AA572}"/>
    <cellStyle name="Heading 2" xfId="309" xr:uid="{EC792F2A-AD27-4E49-8840-3573145C511E}"/>
    <cellStyle name="Heading 3" xfId="310" xr:uid="{27E252D9-D257-4007-BDE1-1B539B614B3F}"/>
    <cellStyle name="Heading 4" xfId="311" xr:uid="{46ACAD01-BD8B-493D-9385-33B6BD33C2D3}"/>
    <cellStyle name="Heading 5" xfId="312" xr:uid="{96EF69B5-66E9-4659-9DD5-8FF4E47D1061}"/>
    <cellStyle name="Hipervínculo" xfId="3" builtinId="8"/>
    <cellStyle name="Hipervínculo 2" xfId="124" xr:uid="{6BE7CDBF-360E-4896-BC57-4F27002A5BDB}"/>
    <cellStyle name="Hipervínculo 3" xfId="393" xr:uid="{30F89B9B-9AEE-415D-AF45-BC0F8E6F61E9}"/>
    <cellStyle name="Incorrecto 2" xfId="221" xr:uid="{80C40100-BDDC-4379-AAE7-AA6241422D29}"/>
    <cellStyle name="Input" xfId="313" xr:uid="{55AE7BDC-B323-498E-B059-5ADF95563C99}"/>
    <cellStyle name="Linked Cell" xfId="314" xr:uid="{C6D4EC0F-B5BF-4036-8C35-E5EC4980C36C}"/>
    <cellStyle name="Millares" xfId="4" builtinId="3"/>
    <cellStyle name="Millares [0]" xfId="5" builtinId="6"/>
    <cellStyle name="Millares [0] 2" xfId="6" xr:uid="{00000000-0005-0000-0000-000005000000}"/>
    <cellStyle name="Millares [0] 2 2" xfId="7" xr:uid="{00000000-0005-0000-0000-000006000000}"/>
    <cellStyle name="Millares [0] 2 2 2" xfId="195" xr:uid="{D9AFBDD6-F2AF-43D1-8741-6932B8BB382C}"/>
    <cellStyle name="Millares [0] 2 2 3" xfId="355" xr:uid="{3BA46C29-8F15-403C-96D7-A15729BE736E}"/>
    <cellStyle name="Millares [0] 2 3" xfId="20" xr:uid="{00000000-0005-0000-0000-000007000000}"/>
    <cellStyle name="Millares [0] 2 3 2" xfId="194" xr:uid="{43F252E2-5887-45AD-8CB7-0187E54E22AA}"/>
    <cellStyle name="Millares [0] 2 4" xfId="159" xr:uid="{F58B3CB2-D9AB-4D8A-BAAC-622481B6944F}"/>
    <cellStyle name="Millares [0] 2 5" xfId="317" xr:uid="{6D1B1D71-2201-4CDF-8CB0-A19C5A06C603}"/>
    <cellStyle name="Millares [0] 3" xfId="8" xr:uid="{00000000-0005-0000-0000-000008000000}"/>
    <cellStyle name="Millares [0] 3 2" xfId="24" xr:uid="{00000000-0005-0000-0000-000009000000}"/>
    <cellStyle name="Millares [0] 3 2 2" xfId="192" xr:uid="{001A8EBB-6341-484B-9EDA-1951B0B4E2A7}"/>
    <cellStyle name="Millares [0] 3 2 3" xfId="396" xr:uid="{4716C530-9A55-481E-AA1A-0F83A438A1C1}"/>
    <cellStyle name="Millares [0] 3 3" xfId="41" xr:uid="{26A4FDB0-92F7-4B6B-A2FD-26F0C1F84AEA}"/>
    <cellStyle name="Millares [0] 3 4" xfId="356" xr:uid="{617BFA0A-BA39-4FCB-9CB5-092D1A6412C8}"/>
    <cellStyle name="Millares [0] 3 5" xfId="397" xr:uid="{71F5AC7E-1604-4427-AC3B-ED7B37A56378}"/>
    <cellStyle name="Millares [0] 4" xfId="19" xr:uid="{00000000-0005-0000-0000-00000A000000}"/>
    <cellStyle name="Millares [0] 4 2" xfId="196" xr:uid="{50858A56-6702-41E9-BF59-F9F54808DAF3}"/>
    <cellStyle name="Millares [0] 4 3" xfId="177" xr:uid="{D5510246-F796-422C-9544-B007F17A7DA1}"/>
    <cellStyle name="Millares [0] 4 4" xfId="357" xr:uid="{36CABAC6-FC0F-4341-B0C3-A2627CF4F17D}"/>
    <cellStyle name="Millares [0] 5" xfId="30" xr:uid="{034DA137-E419-45CB-AD52-A9B16684E869}"/>
    <cellStyle name="Millares [0] 6" xfId="42" xr:uid="{888EAD21-EC06-440F-A375-3AF436F15D36}"/>
    <cellStyle name="Millares [0] 7" xfId="354" xr:uid="{B5F8CE2A-7457-4AE2-A5CD-02642F19D03B}"/>
    <cellStyle name="Millares [0] 8" xfId="178" xr:uid="{E1D2B270-5FD7-4E31-BAAE-EAF318AAFAD5}"/>
    <cellStyle name="Millares 10" xfId="151" xr:uid="{52B99146-8FE5-402F-9D2F-C89846B6DB08}"/>
    <cellStyle name="Millares 10 2" xfId="158" xr:uid="{0F8D81A8-43A0-43DA-9F9B-AF313A1B20AD}"/>
    <cellStyle name="Millares 100 11" xfId="40" xr:uid="{78F543E9-B218-48CA-AF7B-DE298C8CB0FA}"/>
    <cellStyle name="Millares 100 11 2" xfId="133" xr:uid="{CFBAB5FD-006E-4111-A713-67B63067E925}"/>
    <cellStyle name="Millares 100 11 2 2" xfId="179" xr:uid="{BE741B17-E928-4B8A-AB4E-F5992F6CACA8}"/>
    <cellStyle name="Millares 11" xfId="152" xr:uid="{71C809FE-3C5E-4F36-B0CE-0F47385B3D44}"/>
    <cellStyle name="Millares 11 2" xfId="168" xr:uid="{06342BA5-0051-4DAF-81AB-C8CA079095BD}"/>
    <cellStyle name="Millares 12" xfId="169" xr:uid="{C21F7627-4E2E-4E92-9DC8-4B56114699EE}"/>
    <cellStyle name="Millares 13" xfId="170" xr:uid="{0C819DF1-2AD6-402F-9459-A3325CCD3559}"/>
    <cellStyle name="Millares 14" xfId="171" xr:uid="{15DCC6CD-70BB-48F5-B455-0DA2E4141AF2}"/>
    <cellStyle name="Millares 15" xfId="172" xr:uid="{1418D719-1B85-4B93-B025-3D6B6FCB9B6E}"/>
    <cellStyle name="Millares 16" xfId="145" xr:uid="{0C866C30-9A9A-44C5-ADF0-A5FE0311F29E}"/>
    <cellStyle name="Millares 17" xfId="180" xr:uid="{611CC806-FFAC-4512-9BC0-E7F1EEBC2A01}"/>
    <cellStyle name="Millares 174 2" xfId="32" xr:uid="{161C1F46-C2FD-440C-BD4A-8A5B48CDA25D}"/>
    <cellStyle name="Millares 174 2 2" xfId="134" xr:uid="{DB198C9A-B468-48B0-9F70-BC1CBBCE8095}"/>
    <cellStyle name="Millares 174 2 2 2" xfId="181" xr:uid="{1A96F2BB-3D01-4183-A169-40AF3BCD0822}"/>
    <cellStyle name="Millares 18" xfId="182" xr:uid="{8AF2785A-6F3D-4F0E-B07C-EDEBB8267128}"/>
    <cellStyle name="Millares 19" xfId="154" xr:uid="{278FFFC3-6C18-40C8-A7A6-7C7ABB1007C2}"/>
    <cellStyle name="Millares 2" xfId="9" xr:uid="{00000000-0005-0000-0000-00000B000000}"/>
    <cellStyle name="Millares 2 2" xfId="10" xr:uid="{00000000-0005-0000-0000-00000C000000}"/>
    <cellStyle name="Millares 2 2 2" xfId="136" xr:uid="{A29B8052-82F5-4FE5-AB26-E0F38F60756C}"/>
    <cellStyle name="Millares 2 2 2 2" xfId="183" xr:uid="{13BF62D9-68E4-46DA-B78E-D0D74A474587}"/>
    <cellStyle name="Millares 2 2 3" xfId="17" xr:uid="{00000000-0005-0000-0000-00000D000000}"/>
    <cellStyle name="Millares 2 2 3 2" xfId="197" xr:uid="{D9A87F11-4EBC-4CB6-90EB-8B7B79978115}"/>
    <cellStyle name="Millares 2 2 4" xfId="37" xr:uid="{5ED6FE87-DE72-4F36-A4A6-086AB18FAB09}"/>
    <cellStyle name="Millares 2 2 5" xfId="333" xr:uid="{F7B67969-1A9A-400E-AF09-0905FFD9BE12}"/>
    <cellStyle name="Millares 2 2 6" xfId="359" xr:uid="{61B85629-4A45-4C79-B858-24AEAF3A694E}"/>
    <cellStyle name="Millares 2 2 7" xfId="392" xr:uid="{F24FE5D8-2B7D-4E79-A291-B1BF63291964}"/>
    <cellStyle name="Millares 2 3" xfId="21" xr:uid="{00000000-0005-0000-0000-00000E000000}"/>
    <cellStyle name="Millares 2 3 2" xfId="135" xr:uid="{FAC87688-6DB9-42BB-A806-2A21C53361EE}"/>
    <cellStyle name="Millares 2 3 3" xfId="153" xr:uid="{61DC057C-613B-4895-B9DB-0BF770B4FAE6}"/>
    <cellStyle name="Millares 2 4" xfId="39" xr:uid="{7C2311A7-E994-4AFA-A8B1-12A5587CDCB6}"/>
    <cellStyle name="Millares 2 4 2" xfId="162" xr:uid="{BB3FF605-843C-46A6-8605-C45EF9E1EA6A}"/>
    <cellStyle name="Millares 2 5" xfId="256" xr:uid="{CD7F9BD0-1B4C-4E6E-A5BE-01430B82F68C}"/>
    <cellStyle name="Millares 2 6" xfId="358" xr:uid="{DC35944D-4FFF-4A1B-936F-1D47BEF2FD7A}"/>
    <cellStyle name="Millares 2 7" xfId="328" xr:uid="{34535195-A8E4-4B99-8FCE-AA988E795845}"/>
    <cellStyle name="Millares 20" xfId="211" xr:uid="{64E73DF6-7195-41D8-82E0-429DF2A047E5}"/>
    <cellStyle name="Millares 21" xfId="210" xr:uid="{3969EC28-82FB-46BE-B153-5C865C742DF5}"/>
    <cellStyle name="Millares 212" xfId="26" xr:uid="{615182EF-760E-44E7-BF56-CE63C898FD3B}"/>
    <cellStyle name="Millares 212 2" xfId="184" xr:uid="{F97F4958-02BF-4981-9A98-23361BAB6732}"/>
    <cellStyle name="Millares 22" xfId="321" xr:uid="{D33538EF-7DCA-48C0-A46D-023804057636}"/>
    <cellStyle name="Millares 23" xfId="380" xr:uid="{992A9D7D-0081-4642-8A46-0C2F7DB737C1}"/>
    <cellStyle name="Millares 3" xfId="18" xr:uid="{00000000-0005-0000-0000-00000F000000}"/>
    <cellStyle name="Millares 3 11" xfId="46" xr:uid="{34C50FBB-805C-4401-A526-AD0D768AD3E7}"/>
    <cellStyle name="Millares 3 11 2" xfId="137" xr:uid="{DE309619-3C15-4CA3-9FF2-013588CEB3AF}"/>
    <cellStyle name="Millares 3 11 2 2" xfId="185" xr:uid="{3D4FED35-0A1E-4B82-854A-0E0895A66CF7}"/>
    <cellStyle name="Millares 3 2" xfId="129" xr:uid="{55380F1F-A0A2-4C9E-8904-ECB980DFD6AB}"/>
    <cellStyle name="Millares 3 2 2" xfId="163" xr:uid="{CF86FCEA-E978-49C9-BF0F-EDD1A9CAC465}"/>
    <cellStyle name="Millares 3 3" xfId="193" xr:uid="{1E43F380-6BCF-4492-BB85-DF4FCA973065}"/>
    <cellStyle name="Millares 3 4" xfId="146" xr:uid="{E5E97886-3D2C-4A71-BD2F-566414E2760F}"/>
    <cellStyle name="Millares 3 5" xfId="335" xr:uid="{1B2FD5B1-0718-472C-A420-627EB8CCBE1D}"/>
    <cellStyle name="Millares 3 6" xfId="394" xr:uid="{5C0DD1A8-643B-480C-B7CD-D7D5856351D4}"/>
    <cellStyle name="Millares 4" xfId="11" xr:uid="{00000000-0005-0000-0000-000010000000}"/>
    <cellStyle name="Millares 4 2" xfId="23" xr:uid="{00000000-0005-0000-0000-000011000000}"/>
    <cellStyle name="Millares 4 2 2" xfId="140" xr:uid="{7AB4EF10-1CD7-4A18-A3AF-8837C515F662}"/>
    <cellStyle name="Millares 4 2 3" xfId="164" xr:uid="{C6F04BF8-B618-45D4-A309-C0B82E93FE3D}"/>
    <cellStyle name="Millares 4 3" xfId="130" xr:uid="{EDFF0316-A3C6-47CC-A0C2-2E255B74295F}"/>
    <cellStyle name="Millares 4 3 2" xfId="198" xr:uid="{74383B4C-2FFD-45FD-817F-8798AC50DB9F}"/>
    <cellStyle name="Millares 4 4" xfId="315" xr:uid="{7920CE8F-8959-4CAE-B806-7F5F7DDC97F0}"/>
    <cellStyle name="Millares 5" xfId="22" xr:uid="{00000000-0005-0000-0000-000012000000}"/>
    <cellStyle name="Millares 5 2" xfId="199" xr:uid="{7A51F413-CB55-46DD-AE17-915489420150}"/>
    <cellStyle name="Millares 5 3" xfId="165" xr:uid="{85E975FC-A416-4103-8CFB-FB3E4AE0C843}"/>
    <cellStyle name="Millares 6" xfId="29" xr:uid="{2CEFC9A5-57B0-4736-98D8-8DCC435E47E8}"/>
    <cellStyle name="Millares 6 2" xfId="167" xr:uid="{822F0CF2-3917-4D59-BE7A-1B85BD883699}"/>
    <cellStyle name="Millares 654 2 2" xfId="47" xr:uid="{2138C811-EADA-4CFA-A80D-1E86C90995DF}"/>
    <cellStyle name="Millares 656" xfId="48" xr:uid="{F5A21BF2-B83C-4CAD-8A1B-EE04B2E8773B}"/>
    <cellStyle name="Millares 656 2" xfId="138" xr:uid="{D9311B0E-B5B8-49E8-8734-95012D9F8582}"/>
    <cellStyle name="Millares 656 2 2" xfId="186" xr:uid="{E6044C9B-6B63-47DE-8E62-43635ED77F5D}"/>
    <cellStyle name="Millares 657" xfId="49" xr:uid="{419BFCB0-6ECB-4817-8719-FFB222CDA192}"/>
    <cellStyle name="Millares 657 2" xfId="139" xr:uid="{5DA13C1E-4E68-4AC6-BE16-C7B4FE174F06}"/>
    <cellStyle name="Millares 657 2 2" xfId="187" xr:uid="{5871E05B-F7F0-4D84-A66C-B6E2C32B9258}"/>
    <cellStyle name="Millares 7" xfId="38" xr:uid="{47C11227-EF1D-47F9-87AF-DD71F21E624C}"/>
    <cellStyle name="Millares 7 2" xfId="161" xr:uid="{328C895C-12A8-4B6C-A3B9-A762196C1198}"/>
    <cellStyle name="Millares 7 3" xfId="141" xr:uid="{869AED57-AC50-4927-BE80-C2383D5EC14C}"/>
    <cellStyle name="Millares 8" xfId="43" xr:uid="{D20EB7F1-8218-4E6D-960A-C9147CF64ADA}"/>
    <cellStyle name="Millares 8 2" xfId="155" xr:uid="{A4E817E6-6CC9-48AC-BE23-C80A16FB1CA8}"/>
    <cellStyle name="Millares 9" xfId="44" xr:uid="{43E00961-AA62-4F16-9A0D-8CDDD47EBC27}"/>
    <cellStyle name="Millares 9 2" xfId="160" xr:uid="{2772C714-C96C-4C8D-8E65-294DA19B4285}"/>
    <cellStyle name="Millares 9 3" xfId="361" xr:uid="{83101428-4974-4427-89FC-2DA9E3B97DFE}"/>
    <cellStyle name="Moneda" xfId="12" builtinId="4"/>
    <cellStyle name="Neutral 2" xfId="336" xr:uid="{E397AB69-3BE1-4914-8274-7990253728D4}"/>
    <cellStyle name="Neutral 3" xfId="316" xr:uid="{0599F313-1618-4BEC-A641-FDB320A5CA99}"/>
    <cellStyle name="Neutral 4" xfId="222" xr:uid="{47464ACB-7358-4DA2-8040-0BEF3BF37B2D}"/>
    <cellStyle name="No-definido" xfId="212" xr:uid="{A6698CFF-4E77-4221-9445-65B7DC4CEDDF}"/>
    <cellStyle name="Normal" xfId="0" builtinId="0"/>
    <cellStyle name="Normal 10" xfId="340" xr:uid="{F5FFC66B-2688-4404-AAFB-ACF23B4929D3}"/>
    <cellStyle name="Normal 10 10 2 2 2" xfId="50" xr:uid="{1E9CE6F8-6916-4001-8B0F-845B35ED0745}"/>
    <cellStyle name="Normal 1016" xfId="51" xr:uid="{00AA5199-F5EC-47BF-88BD-17CF72802503}"/>
    <cellStyle name="Normal 1018" xfId="52" xr:uid="{95DE7D43-EC6F-435F-8CC1-3D018C3DCA18}"/>
    <cellStyle name="Normal 1022" xfId="53" xr:uid="{3B98BAC3-AD4E-4F00-AC48-874CC0CDD4C7}"/>
    <cellStyle name="Normal 1024" xfId="54" xr:uid="{6C7B9358-4B83-480C-B283-F560CCAD7A8A}"/>
    <cellStyle name="Normal 1025" xfId="55" xr:uid="{7029D677-3A4E-409B-A532-385EC7021A4A}"/>
    <cellStyle name="Normal 1026" xfId="56" xr:uid="{28E72724-A270-4C9F-ADEC-3666F9C5B06A}"/>
    <cellStyle name="Normal 1027" xfId="57" xr:uid="{EAD4B56B-C591-4324-BE2A-08E6CA2ED479}"/>
    <cellStyle name="Normal 105" xfId="58" xr:uid="{3AA0BE99-861C-4888-837C-01C4B22C80A4}"/>
    <cellStyle name="Normal 107" xfId="59" xr:uid="{2F66D5C8-EA96-401C-B603-D94E096BAA7F}"/>
    <cellStyle name="Normal 109" xfId="60" xr:uid="{2345480F-2634-4113-860A-71CA6C96138A}"/>
    <cellStyle name="Normal 11" xfId="31" xr:uid="{BF8AAF8F-A45B-4E07-BB48-2CCC3D568028}"/>
    <cellStyle name="Normal 11 2" xfId="188" xr:uid="{24897711-93DB-414A-8C7A-462D59AACDA8}"/>
    <cellStyle name="Normal 11 2 2" xfId="398" xr:uid="{872DFA2B-05C9-410B-8E56-5790564EA9EE}"/>
    <cellStyle name="Normal 11 3" xfId="360" xr:uid="{A719C7C6-1487-4FA1-8B67-758892FA9FEE}"/>
    <cellStyle name="Normal 12" xfId="213" xr:uid="{5F37513C-B12E-41E8-9202-D479EA07EF66}"/>
    <cellStyle name="Normal 12 10" xfId="61" xr:uid="{582EDF37-5971-49B1-9210-8AD31A99641F}"/>
    <cellStyle name="Normal 12 2 10" xfId="62" xr:uid="{DBA3736D-E677-49F7-8A87-0330E6B7C2C5}"/>
    <cellStyle name="Normal 12 2 2 4" xfId="63" xr:uid="{3E05485B-65B6-42F3-AFEB-E6ED8358D6A6}"/>
    <cellStyle name="Normal 125" xfId="64" xr:uid="{415E3471-4BFC-44F6-9548-6AC6C78D11A6}"/>
    <cellStyle name="Normal 126" xfId="65" xr:uid="{C8D655B9-88C9-4D74-8CEC-C472E58F9ACA}"/>
    <cellStyle name="Normal 15 2" xfId="126" xr:uid="{283BB6E4-16DD-487D-B2E2-724FF96505CC}"/>
    <cellStyle name="Normal 17 2" xfId="395" xr:uid="{5CE817E0-1C1C-448A-BB39-31D536E23412}"/>
    <cellStyle name="Normal 199 2 2" xfId="66" xr:uid="{B50B7482-5E76-41BC-B098-1F811E23A8C5}"/>
    <cellStyle name="Normal 2" xfId="13" xr:uid="{00000000-0005-0000-0000-000015000000}"/>
    <cellStyle name="Normal 2 10" xfId="363" xr:uid="{0F33F6EC-7EE4-4CF7-8EA7-12B04AD0FFCE}"/>
    <cellStyle name="Normal 2 10 2 2 2" xfId="68" xr:uid="{22E1572E-71C4-43A0-8A6E-AD2EABEDF8F8}"/>
    <cellStyle name="Normal 2 11" xfId="364" xr:uid="{1697FF7C-00E4-4EDE-ADCB-5AB4E092D048}"/>
    <cellStyle name="Normal 2 12" xfId="365" xr:uid="{6460A00F-283A-43D9-8E4C-E2496939F87C}"/>
    <cellStyle name="Normal 2 13" xfId="366" xr:uid="{53DF0920-B214-4728-B5FD-26A4A82E4C44}"/>
    <cellStyle name="Normal 2 14" xfId="367" xr:uid="{675208B3-6C7C-4216-AD36-A61FA6506EFB}"/>
    <cellStyle name="Normal 2 15" xfId="368" xr:uid="{4577811A-26CB-4AE1-A702-4B50A7B587E9}"/>
    <cellStyle name="Normal 2 16" xfId="369" xr:uid="{E054578C-D624-4249-8095-40F1985FC2C9}"/>
    <cellStyle name="Normal 2 17" xfId="370" xr:uid="{C0D1D837-5E5E-4893-A486-9E16851FD2D4}"/>
    <cellStyle name="Normal 2 18" xfId="371" xr:uid="{5D8B3B42-AD03-4312-A34E-8E8475106B24}"/>
    <cellStyle name="Normal 2 19" xfId="372" xr:uid="{F3FDDF3D-3D4D-4A05-A4F3-12229917A687}"/>
    <cellStyle name="Normal 2 2" xfId="33" xr:uid="{622D64EA-88D4-4E5A-A03B-75FC2B4518E5}"/>
    <cellStyle name="Normal 2 2 2" xfId="125" xr:uid="{8642CE87-3B20-46C3-9E62-DCE2CD41D6FF}"/>
    <cellStyle name="Normal 2 2 2 3" xfId="69" xr:uid="{982763A7-D25D-4952-B602-EDF674F2E56F}"/>
    <cellStyle name="Normal 2 2 3" xfId="150" xr:uid="{55DDFFA1-4BBC-4494-8234-D2CE30573F7E}"/>
    <cellStyle name="Normal 2 20" xfId="373" xr:uid="{9F98D9B9-7868-44C5-8746-C01E0E863917}"/>
    <cellStyle name="Normal 2 21" xfId="374" xr:uid="{AFCD209A-E722-44A7-8080-66E6832A6700}"/>
    <cellStyle name="Normal 2 22" xfId="375" xr:uid="{6034045E-7936-402F-B4EF-2AE3ABC34122}"/>
    <cellStyle name="Normal 2 23" xfId="376" xr:uid="{74305836-7E68-4CD2-A6BF-5E9A010F47FA}"/>
    <cellStyle name="Normal 2 24" xfId="377" xr:uid="{D5C2E888-4456-431D-8EB8-7B74CCBDB0BE}"/>
    <cellStyle name="Normal 2 25" xfId="378" xr:uid="{CD26C6F1-9201-43A4-AA91-52D390D4E6E9}"/>
    <cellStyle name="Normal 2 26" xfId="379" xr:uid="{3863A409-3379-492C-9239-688444206A06}"/>
    <cellStyle name="Normal 2 27" xfId="362" xr:uid="{7133E8B6-B1C5-4022-8BDF-6262D56F873F}"/>
    <cellStyle name="Normal 2 3" xfId="131" xr:uid="{86C7D698-FAC7-45B8-8D79-E6242CF1E174}"/>
    <cellStyle name="Normal 2 3 2" xfId="202" xr:uid="{CAD413FE-4594-4561-B8C9-C7A44C4D0B27}"/>
    <cellStyle name="Normal 2 3 3" xfId="201" xr:uid="{DCD0FE96-60DB-4A7F-ADAB-0240F7961BDE}"/>
    <cellStyle name="Normal 2 4" xfId="67" xr:uid="{A225D8CF-2E5F-487E-A8E5-10DEAF157FF2}"/>
    <cellStyle name="Normal 2 4 2" xfId="200" xr:uid="{3050BCC7-3256-4EFA-8B1F-F0374A8B0E80}"/>
    <cellStyle name="Normal 2 4 3" xfId="381" xr:uid="{07F036CE-34F2-4F2D-A24A-B772734C71E2}"/>
    <cellStyle name="Normal 2 5" xfId="25" xr:uid="{DCA67E53-051F-48C4-B025-08871244FC98}"/>
    <cellStyle name="Normal 2 5 2" xfId="382" xr:uid="{50CD1F57-708D-45B2-9F6A-EADCC21FF232}"/>
    <cellStyle name="Normal 2 6" xfId="255" xr:uid="{9E5258A5-5C3B-4B82-9777-535ABE4C6EA8}"/>
    <cellStyle name="Normal 2 6 2" xfId="383" xr:uid="{EA162C37-AA75-4DF1-8ADE-A620C4A78A25}"/>
    <cellStyle name="Normal 2 7" xfId="384" xr:uid="{C6FD57BB-3FB7-4A81-A824-EE2FEA24272F}"/>
    <cellStyle name="Normal 2 8" xfId="385" xr:uid="{A054E5C9-2EBB-4DDC-84D2-8CAF17BC9D39}"/>
    <cellStyle name="Normal 2 9" xfId="386" xr:uid="{E8B13D5F-5525-4B84-98C5-9CCED541F37C}"/>
    <cellStyle name="Normal 3" xfId="34" xr:uid="{9E421F3F-F88F-40DD-87F3-580598CAA835}"/>
    <cellStyle name="Normal 3 2" xfId="128" xr:uid="{0C96D3B3-38FC-45ED-B34F-4DE9A9CFD0F2}"/>
    <cellStyle name="Normal 3 2 2" xfId="173" xr:uid="{540B3E1E-F466-4462-8146-D99926D4454E}"/>
    <cellStyle name="Normal 3 2 3" xfId="166" xr:uid="{320ABC36-8385-4A16-898B-2232DBA5DE82}"/>
    <cellStyle name="Normal 3 3" xfId="190" xr:uid="{BB905C72-388F-4607-85E2-CBD70848735F}"/>
    <cellStyle name="Normal 3 4" xfId="157" xr:uid="{B9DB819F-03E8-409D-9A06-7BBF7899E000}"/>
    <cellStyle name="Normal 3 5" xfId="318" xr:uid="{BBB7F8DD-57EB-4C79-A4BB-D51DC3752413}"/>
    <cellStyle name="Normal 3 6" xfId="387" xr:uid="{891A579F-3584-497D-9969-455817C6FB29}"/>
    <cellStyle name="Normal 3 7" xfId="390" xr:uid="{408583B3-97FF-4F17-85CE-EF4FF59714AD}"/>
    <cellStyle name="Normal 34 2 2" xfId="388" xr:uid="{3157BFF7-422F-4E20-B4D7-804B67A1117C}"/>
    <cellStyle name="Normal 4" xfId="14" xr:uid="{00000000-0005-0000-0000-000016000000}"/>
    <cellStyle name="Normal 4 2" xfId="147" xr:uid="{827EB7B2-AAB7-42F9-BB67-7717A6192288}"/>
    <cellStyle name="Normal 4 2 2" xfId="320" xr:uid="{AEC2E333-DDB0-43E0-AC0B-6D4282924C43}"/>
    <cellStyle name="Normal 4 3" xfId="203" xr:uid="{875AB9BD-3577-49AD-815A-9E92A7ED66A7}"/>
    <cellStyle name="Normal 4 4" xfId="143" xr:uid="{DE8F170E-C0A6-4175-982A-604B09120655}"/>
    <cellStyle name="Normal 4 5" xfId="319" xr:uid="{089779FE-A7C0-47DA-900F-C545E5D2C7D2}"/>
    <cellStyle name="Normal 5" xfId="35" xr:uid="{F42A5F92-247E-4258-92BB-2251ABD5D3DB}"/>
    <cellStyle name="Normal 5 2" xfId="204" xr:uid="{BD39D1EF-6F8B-442E-8BE9-BE8291CBC031}"/>
    <cellStyle name="Normal 5 3" xfId="156" xr:uid="{E43DA0E5-E893-4D96-8552-2795D8C2463C}"/>
    <cellStyle name="Normal 5 4" xfId="389" xr:uid="{7B93E84E-8FF3-4985-AC6A-4B13F8F32CD4}"/>
    <cellStyle name="Normal 6" xfId="144" xr:uid="{BE51A925-3ACE-4556-8CAB-942580A7FD78}"/>
    <cellStyle name="Normal 6 2" xfId="174" xr:uid="{FF4FAA75-E11C-40C1-BC43-C9A08A3DC6A3}"/>
    <cellStyle name="Normal 6 3" xfId="334" xr:uid="{7617EFDF-75FB-4AB7-8269-77AF3E0D0CBD}"/>
    <cellStyle name="Normal 601" xfId="70" xr:uid="{021D45CA-88AA-407D-BA8B-4A97104BBECD}"/>
    <cellStyle name="Normal 605" xfId="71" xr:uid="{00B0FA4C-EDAF-4C2B-AAE2-8B46C3776F43}"/>
    <cellStyle name="Normal 606" xfId="72" xr:uid="{309A3245-8DB8-4790-96C9-3B0DFAA9F765}"/>
    <cellStyle name="Normal 636" xfId="73" xr:uid="{8443731F-5864-49C4-9662-97ABA01ACB75}"/>
    <cellStyle name="Normal 640" xfId="74" xr:uid="{F54791E6-08AE-4D18-9ECB-13ADE80068A6}"/>
    <cellStyle name="Normal 643" xfId="75" xr:uid="{079E0693-3397-4B93-B79C-EF1F3CCE98F8}"/>
    <cellStyle name="Normal 646" xfId="76" xr:uid="{CD01C0F8-E05E-4D84-BBFB-8AFD682DE955}"/>
    <cellStyle name="Normal 647" xfId="77" xr:uid="{B5452CEC-F9A6-4D76-A90E-02167F167FBF}"/>
    <cellStyle name="Normal 649" xfId="78" xr:uid="{5056FC60-2AEF-413E-9DC9-43C298FFE87E}"/>
    <cellStyle name="Normal 650" xfId="79" xr:uid="{14E18A26-9550-4DDD-8120-571F619CBFDB}"/>
    <cellStyle name="Normal 651" xfId="80" xr:uid="{58C5B104-66E0-469E-B650-69DF64FB6882}"/>
    <cellStyle name="Normal 652" xfId="81" xr:uid="{A18425EF-AFBF-475B-8BE9-0183DFE441ED}"/>
    <cellStyle name="Normal 653" xfId="82" xr:uid="{FAB01295-60DC-434F-818F-0772BB3855D5}"/>
    <cellStyle name="Normal 654" xfId="83" xr:uid="{BDA3A96F-91AE-46F5-985B-861D65B377C9}"/>
    <cellStyle name="Normal 655" xfId="84" xr:uid="{32D92522-5EBB-445C-937A-4D08DC823B08}"/>
    <cellStyle name="Normal 656" xfId="85" xr:uid="{FB12DD64-3E38-46A8-BD1F-A9843F082AEC}"/>
    <cellStyle name="Normal 657" xfId="86" xr:uid="{B87537CC-7501-422E-8186-E883183BF2A8}"/>
    <cellStyle name="Normal 658" xfId="87" xr:uid="{870FB286-D57E-41D7-BB82-F872CB03C3EF}"/>
    <cellStyle name="Normal 659" xfId="88" xr:uid="{8508FF04-8C41-48CF-8C17-EEA18D63B152}"/>
    <cellStyle name="Normal 660" xfId="89" xr:uid="{DC40EFAE-A6C2-4B2F-A96B-EB9C5660974B}"/>
    <cellStyle name="Normal 662" xfId="90" xr:uid="{BA8F683C-347C-49A7-A557-190646BEF05D}"/>
    <cellStyle name="Normal 663" xfId="91" xr:uid="{1ACC5952-6234-4747-B63F-1BA6737D1801}"/>
    <cellStyle name="Normal 664" xfId="92" xr:uid="{92DC7E4A-041B-4B60-BBFC-73ECC21A0205}"/>
    <cellStyle name="Normal 665" xfId="93" xr:uid="{25F8EE08-044C-4CEB-B083-D873FDDDA12C}"/>
    <cellStyle name="Normal 667" xfId="94" xr:uid="{7BD34CD5-315E-4E58-8C8A-56CAFD21D119}"/>
    <cellStyle name="Normal 673" xfId="95" xr:uid="{0B53358E-D117-4630-B2A5-1E70D75D3DA1}"/>
    <cellStyle name="Normal 674" xfId="96" xr:uid="{8176CEF8-2AA4-4DFF-921E-64F05848F9E4}"/>
    <cellStyle name="Normal 675" xfId="97" xr:uid="{32F050EC-0B79-4D9A-9889-5C61436C75D8}"/>
    <cellStyle name="Normal 676" xfId="98" xr:uid="{820CE1C5-9732-4CA5-AF90-156AEF3B522F}"/>
    <cellStyle name="Normal 677" xfId="99" xr:uid="{69F9AE07-ED36-43A8-95BF-3D2EA6A47281}"/>
    <cellStyle name="Normal 678" xfId="100" xr:uid="{C515D9EC-9044-4876-B8A8-936D73A5D2B6}"/>
    <cellStyle name="Normal 679" xfId="101" xr:uid="{2EE9B30D-0E2D-4661-BBEC-CBD4A31B50EA}"/>
    <cellStyle name="Normal 684" xfId="102" xr:uid="{8D390FAE-2FBA-41CA-B2FB-0FA0EB85DECA}"/>
    <cellStyle name="Normal 7" xfId="272" xr:uid="{B2DEC796-F14F-4CB2-ADBF-A2E87FD9B69C}"/>
    <cellStyle name="Normal 713" xfId="103" xr:uid="{ED84CF97-9DDB-43B4-A708-CE35857EF04E}"/>
    <cellStyle name="Normal 714" xfId="104" xr:uid="{3C4D732D-B7DC-4278-A58F-1661B6D3DA46}"/>
    <cellStyle name="Normal 715" xfId="105" xr:uid="{ED877A8B-B3E1-43F4-9F52-30A779CE8C0B}"/>
    <cellStyle name="Normal 744" xfId="106" xr:uid="{8475769F-F010-4A1C-94D9-97FE9DAA50A1}"/>
    <cellStyle name="Normal 8" xfId="258" xr:uid="{72DFDD59-4F6B-4414-A357-A707445A1B23}"/>
    <cellStyle name="Normal 802" xfId="107" xr:uid="{26EC1C9D-3E9F-4730-B493-78A97A07056B}"/>
    <cellStyle name="Normal 9" xfId="339" xr:uid="{20106C0A-29F9-4CB6-A2B2-17BF3931775D}"/>
    <cellStyle name="Normal 944" xfId="108" xr:uid="{97B85111-D373-445E-9E66-5D6DE0308D82}"/>
    <cellStyle name="Normal 947" xfId="109" xr:uid="{5EC43A15-53B8-46E2-A31F-0346AE785014}"/>
    <cellStyle name="Normal 952" xfId="110" xr:uid="{4879821A-3009-439C-980F-E1C17F9B334D}"/>
    <cellStyle name="Normal 957" xfId="111" xr:uid="{ADA3AD5D-BA40-40E7-B3A4-7AF3A0093244}"/>
    <cellStyle name="Normal 958" xfId="112" xr:uid="{E0D95C8F-0433-4806-9283-7E2F8F2A8740}"/>
    <cellStyle name="Normal 959" xfId="113" xr:uid="{E381B703-61E5-4DD9-8331-A13B5F5D06DE}"/>
    <cellStyle name="Normal 960" xfId="114" xr:uid="{022F26AA-678C-47E9-8E1F-D7EEBD1B9D19}"/>
    <cellStyle name="Normal 961" xfId="115" xr:uid="{8A95375C-371E-49B9-A67A-9CC5A63FDF36}"/>
    <cellStyle name="Normal 962" xfId="116" xr:uid="{D692E389-8948-4533-A5D4-B92B139622F3}"/>
    <cellStyle name="Normal 963" xfId="117" xr:uid="{4DB7BEA6-23D3-4DEB-B26F-9C0F405EBA5C}"/>
    <cellStyle name="Normal 964" xfId="118" xr:uid="{26A33E47-8D89-4161-9DEF-5302B55AE2C4}"/>
    <cellStyle name="Normal 965" xfId="119" xr:uid="{62522B45-AE95-4947-A492-F41CFBFFF56D}"/>
    <cellStyle name="Normal 966" xfId="120" xr:uid="{ACFB2BB1-A62B-4327-81B9-8C6F4F54771A}"/>
    <cellStyle name="Normal 967" xfId="121" xr:uid="{1CC67231-A5BF-4E3D-BB09-14CA84613CEA}"/>
    <cellStyle name="Normal 971" xfId="122" xr:uid="{6B7FB543-A157-42FF-8EC7-EAA0D03F704D}"/>
    <cellStyle name="Normal 986" xfId="123" xr:uid="{E5B623E3-845A-4E5E-9EFA-E9AE608CCF47}"/>
    <cellStyle name="Notas 2" xfId="257" xr:uid="{D863A07F-862C-41AC-9149-F337DBBA8454}"/>
    <cellStyle name="Notas 2 2" xfId="337" xr:uid="{1D87984F-3193-4BF4-A141-850BDC2A33C6}"/>
    <cellStyle name="Notas 3" xfId="259" xr:uid="{62EAB04E-D964-4E1A-A2B0-59F57C78D8B5}"/>
    <cellStyle name="Notas 4" xfId="341" xr:uid="{C5756E2D-8D65-4F73-9D84-06CE68AE8EFD}"/>
    <cellStyle name="Note" xfId="322" xr:uid="{154EC26A-3E10-4D55-987B-3DB85DEEE878}"/>
    <cellStyle name="Output" xfId="323" xr:uid="{FBD7775E-3EE1-436C-A152-714B72A6C207}"/>
    <cellStyle name="Percent (0)" xfId="324" xr:uid="{2D5EDC2B-3641-47A3-871B-B44F9FB82ECC}"/>
    <cellStyle name="Percent 2" xfId="36" xr:uid="{51ABDEBF-E5A2-4295-937F-ACE84946B60D}"/>
    <cellStyle name="Percent 2 2" xfId="325" xr:uid="{1E34705B-60D8-4195-977E-605EC744E51D}"/>
    <cellStyle name="Percent 3" xfId="326" xr:uid="{E674A19E-69D4-4598-983F-DA088B15452F}"/>
    <cellStyle name="Percent 4" xfId="327" xr:uid="{5751FA92-0E66-4825-916C-940620FE7749}"/>
    <cellStyle name="Porcentaje 2" xfId="15" xr:uid="{00000000-0005-0000-0000-000017000000}"/>
    <cellStyle name="Porcentaje 2 2" xfId="148" xr:uid="{B93BE39B-0E72-4EB8-909A-1AC2660CE075}"/>
    <cellStyle name="Porcentaje 2 3" xfId="391" xr:uid="{1B719F1B-C354-4E30-9C16-10D8AB998E43}"/>
    <cellStyle name="Porcentaje 3" xfId="16" xr:uid="{00000000-0005-0000-0000-000018000000}"/>
    <cellStyle name="Porcentaje 3 2" xfId="205" xr:uid="{DD5977EC-69B0-4BFD-82B7-E5FFA0AAA759}"/>
    <cellStyle name="Porcentaje 3 3" xfId="142" xr:uid="{176DD144-3A44-4010-8463-EA22D32CF093}"/>
    <cellStyle name="Porcentaje 4" xfId="214" xr:uid="{6F5689F6-5A9A-4FA6-AE64-8C3E452C5DFF}"/>
    <cellStyle name="Porcentual 2" xfId="191" xr:uid="{82990359-31CC-4670-B903-352F472A1D86}"/>
    <cellStyle name="Porcentual 2 2" xfId="206" xr:uid="{F4353C54-2584-420D-A566-1BABB80E0CD0}"/>
    <cellStyle name="Porcentual 2 3" xfId="207" xr:uid="{4E397E65-BB1B-43D8-AA11-85BC725991E5}"/>
    <cellStyle name="Porcentual 2 4" xfId="208" xr:uid="{73A1B40F-B83C-49D8-A3D4-16DCCDB53447}"/>
    <cellStyle name="Porcentual 3" xfId="189" xr:uid="{E13EA904-1D1E-444C-8502-4DEC634CFCD8}"/>
    <cellStyle name="Porcentual 3 2" xfId="209" xr:uid="{9A03B7E2-C8F9-49B2-B288-EDC19C195CB8}"/>
    <cellStyle name="Salida 2" xfId="224" xr:uid="{D1E437F5-40E4-4696-81CA-0AA4D20FD925}"/>
    <cellStyle name="Texto de advertencia 2" xfId="228" xr:uid="{EB92B875-C5B3-4A7C-A7B9-202DFF794A3F}"/>
    <cellStyle name="Texto explicativo 2" xfId="127" xr:uid="{A3F294A0-8DBA-4F05-BB38-648CC8336AD2}"/>
    <cellStyle name="Texto explicativo 3" xfId="229" xr:uid="{9B7B56ED-3E6A-42E5-8EBF-80E348594C19}"/>
    <cellStyle name="Tickmark" xfId="329" xr:uid="{23F1374F-F27D-437F-8C15-DF7FC84D4828}"/>
    <cellStyle name="Title" xfId="330" xr:uid="{316AD972-5137-4570-BC34-43E1C4017369}"/>
    <cellStyle name="Título 2 2" xfId="217" xr:uid="{6D499CF0-4642-436C-8ACB-0E409AE373F7}"/>
    <cellStyle name="Título 3 2" xfId="218" xr:uid="{A6B95680-6DF7-489A-B011-612C8FDD14F6}"/>
    <cellStyle name="Título 4" xfId="215" xr:uid="{7D87B9DD-BDC7-4FE6-83B8-ED389816B171}"/>
    <cellStyle name="Total 2" xfId="338" xr:uid="{3762D23C-90E8-4803-8E35-F38066209AAD}"/>
    <cellStyle name="Total 3" xfId="331" xr:uid="{8DF3E9D5-4504-4C46-A54B-CF45FDBC0B4A}"/>
    <cellStyle name="Total 4" xfId="230" xr:uid="{0D76374B-2013-4ADC-A46D-CE66FE24BFB6}"/>
    <cellStyle name="Warning Text" xfId="332" xr:uid="{D64DDD4B-3101-413D-9591-BCA2090E2E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321629</xdr:colOff>
      <xdr:row>0</xdr:row>
      <xdr:rowOff>86995</xdr:rowOff>
    </xdr:from>
    <xdr:to>
      <xdr:col>1</xdr:col>
      <xdr:colOff>1496061</xdr:colOff>
      <xdr:row>2</xdr:row>
      <xdr:rowOff>171793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503D13D-7798-42E6-9389-362950595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629" y="86995"/>
          <a:ext cx="1504632" cy="44039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142875</xdr:rowOff>
    </xdr:from>
    <xdr:to>
      <xdr:col>1</xdr:col>
      <xdr:colOff>1354455</xdr:colOff>
      <xdr:row>2</xdr:row>
      <xdr:rowOff>98768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B82099-9620-4A8B-A11A-53A272E4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42875"/>
          <a:ext cx="1504950" cy="4378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203525</xdr:colOff>
      <xdr:row>0</xdr:row>
      <xdr:rowOff>97692</xdr:rowOff>
    </xdr:from>
    <xdr:to>
      <xdr:col>1</xdr:col>
      <xdr:colOff>1350270</xdr:colOff>
      <xdr:row>1</xdr:row>
      <xdr:rowOff>132830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E2DC547-1B50-454E-91A2-C704FDBBB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525" y="97692"/>
          <a:ext cx="1504950" cy="434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95250</xdr:rowOff>
    </xdr:from>
    <xdr:to>
      <xdr:col>2</xdr:col>
      <xdr:colOff>55245</xdr:colOff>
      <xdr:row>3</xdr:row>
      <xdr:rowOff>75908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6527B18-CD8D-4A01-A7E7-654D005D1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95250"/>
          <a:ext cx="1512570" cy="43785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213246</xdr:colOff>
      <xdr:row>0</xdr:row>
      <xdr:rowOff>78191</xdr:rowOff>
    </xdr:from>
    <xdr:to>
      <xdr:col>1</xdr:col>
      <xdr:colOff>1291703</xdr:colOff>
      <xdr:row>0</xdr:row>
      <xdr:rowOff>516049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84340C-14FE-4197-8B1E-27DF4F99C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246" y="78191"/>
          <a:ext cx="1504950" cy="43785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142875</xdr:rowOff>
    </xdr:from>
    <xdr:to>
      <xdr:col>1</xdr:col>
      <xdr:colOff>1282065</xdr:colOff>
      <xdr:row>1</xdr:row>
      <xdr:rowOff>152108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CFB22F-756A-4735-886C-7765578A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510665" cy="43785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1123950</xdr:colOff>
      <xdr:row>0</xdr:row>
      <xdr:rowOff>523583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AA25DB-06B7-4D4C-BEDC-BCB48D408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5725"/>
          <a:ext cx="1504950" cy="43785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109728</xdr:colOff>
      <xdr:row>0</xdr:row>
      <xdr:rowOff>30480</xdr:rowOff>
    </xdr:from>
    <xdr:to>
      <xdr:col>1</xdr:col>
      <xdr:colOff>1285494</xdr:colOff>
      <xdr:row>1</xdr:row>
      <xdr:rowOff>117818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AECE8A-BCBE-488B-9685-6DB1CDC7F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" y="30480"/>
          <a:ext cx="1504950" cy="44090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102053</xdr:colOff>
      <xdr:row>0</xdr:row>
      <xdr:rowOff>59531</xdr:rowOff>
    </xdr:from>
    <xdr:to>
      <xdr:col>1</xdr:col>
      <xdr:colOff>1277030</xdr:colOff>
      <xdr:row>1</xdr:row>
      <xdr:rowOff>21139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1A1444-2EFE-4A42-840E-E6389C95A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053" y="59531"/>
          <a:ext cx="1501548" cy="43105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108204</xdr:rowOff>
    </xdr:from>
    <xdr:to>
      <xdr:col>1</xdr:col>
      <xdr:colOff>1273302</xdr:colOff>
      <xdr:row>0</xdr:row>
      <xdr:rowOff>546062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EF8A50D-5CA0-4ADC-9683-4FE713DFE3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108204"/>
          <a:ext cx="1503426" cy="43785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122209</xdr:colOff>
      <xdr:row>0</xdr:row>
      <xdr:rowOff>127600</xdr:rowOff>
    </xdr:from>
    <xdr:to>
      <xdr:col>1</xdr:col>
      <xdr:colOff>1296480</xdr:colOff>
      <xdr:row>1</xdr:row>
      <xdr:rowOff>17321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AE7AA2-66B1-45B1-8FCE-E54AA2DEC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209" y="127600"/>
          <a:ext cx="1504950" cy="443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147508</xdr:colOff>
      <xdr:row>0</xdr:row>
      <xdr:rowOff>88556</xdr:rowOff>
    </xdr:from>
    <xdr:to>
      <xdr:col>0</xdr:col>
      <xdr:colOff>1648648</xdr:colOff>
      <xdr:row>0</xdr:row>
      <xdr:rowOff>530224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57CFE6-305D-40C3-A25F-1A9447883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08" y="88556"/>
          <a:ext cx="1501140" cy="44166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1</xdr:col>
      <xdr:colOff>1272540</xdr:colOff>
      <xdr:row>0</xdr:row>
      <xdr:rowOff>508343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3E999F-6E0E-4E3D-9A05-81EBA6C03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76200"/>
          <a:ext cx="1501140" cy="432143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59004</xdr:colOff>
      <xdr:row>0</xdr:row>
      <xdr:rowOff>50576</xdr:rowOff>
    </xdr:from>
    <xdr:to>
      <xdr:col>1</xdr:col>
      <xdr:colOff>1235653</xdr:colOff>
      <xdr:row>1</xdr:row>
      <xdr:rowOff>7969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804D56-8A9C-4DF9-8DC5-3C818576D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04" y="50576"/>
          <a:ext cx="1508760" cy="43785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83852</xdr:rowOff>
    </xdr:from>
    <xdr:to>
      <xdr:col>1</xdr:col>
      <xdr:colOff>1265433</xdr:colOff>
      <xdr:row>2</xdr:row>
      <xdr:rowOff>9441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23E5C1-ED6C-44F4-9531-A096AEC65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47" y="83852"/>
          <a:ext cx="1502357" cy="43785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61591</xdr:colOff>
      <xdr:row>0</xdr:row>
      <xdr:rowOff>57293</xdr:rowOff>
    </xdr:from>
    <xdr:to>
      <xdr:col>1</xdr:col>
      <xdr:colOff>1233783</xdr:colOff>
      <xdr:row>3</xdr:row>
      <xdr:rowOff>24845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4B582B-EFB0-4271-925C-B25D40C9E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1" y="57293"/>
          <a:ext cx="1498763" cy="460274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</xdr:colOff>
      <xdr:row>0</xdr:row>
      <xdr:rowOff>95250</xdr:rowOff>
    </xdr:from>
    <xdr:to>
      <xdr:col>1</xdr:col>
      <xdr:colOff>1234440</xdr:colOff>
      <xdr:row>0</xdr:row>
      <xdr:rowOff>533108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AD8570-C65B-4A45-8D9F-8DC8D8C6F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" y="95250"/>
          <a:ext cx="1510665" cy="43785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132522</xdr:colOff>
      <xdr:row>0</xdr:row>
      <xdr:rowOff>66261</xdr:rowOff>
    </xdr:from>
    <xdr:to>
      <xdr:col>1</xdr:col>
      <xdr:colOff>1319917</xdr:colOff>
      <xdr:row>1</xdr:row>
      <xdr:rowOff>115499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F8CF61-7D01-4D62-8C30-13A756B55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522" y="66261"/>
          <a:ext cx="1508760" cy="43023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99060</xdr:rowOff>
    </xdr:from>
    <xdr:to>
      <xdr:col>1</xdr:col>
      <xdr:colOff>1287780</xdr:colOff>
      <xdr:row>1</xdr:row>
      <xdr:rowOff>98768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57FE758-F0D4-4D9D-81BD-63D6469B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9060"/>
          <a:ext cx="1510665" cy="43404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</xdr:colOff>
      <xdr:row>0</xdr:row>
      <xdr:rowOff>91440</xdr:rowOff>
    </xdr:from>
    <xdr:to>
      <xdr:col>1</xdr:col>
      <xdr:colOff>1304925</xdr:colOff>
      <xdr:row>0</xdr:row>
      <xdr:rowOff>529298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2C1FF1-FDBB-4593-A4AD-85D73D3C0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30" y="91440"/>
          <a:ext cx="1506855" cy="437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219407</xdr:colOff>
      <xdr:row>0</xdr:row>
      <xdr:rowOff>101047</xdr:rowOff>
    </xdr:from>
    <xdr:to>
      <xdr:col>2</xdr:col>
      <xdr:colOff>1258958</xdr:colOff>
      <xdr:row>3</xdr:row>
      <xdr:rowOff>86138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514265A-6DE9-44C0-9CF8-A7F510DA8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407" y="101047"/>
          <a:ext cx="1437116" cy="5615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116009</xdr:colOff>
      <xdr:row>0</xdr:row>
      <xdr:rowOff>91977</xdr:rowOff>
    </xdr:from>
    <xdr:to>
      <xdr:col>1</xdr:col>
      <xdr:colOff>1238933</xdr:colOff>
      <xdr:row>3</xdr:row>
      <xdr:rowOff>54318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998EA3-DE2C-4094-A71B-EEAB2C3D1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09" y="91977"/>
          <a:ext cx="1512570" cy="445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150812</xdr:colOff>
      <xdr:row>0</xdr:row>
      <xdr:rowOff>103188</xdr:rowOff>
    </xdr:from>
    <xdr:to>
      <xdr:col>2</xdr:col>
      <xdr:colOff>481012</xdr:colOff>
      <xdr:row>1</xdr:row>
      <xdr:rowOff>386423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D7954A-9C29-4CBD-A9A6-D5AC72710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812" y="103188"/>
          <a:ext cx="1504950" cy="434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128512</xdr:colOff>
      <xdr:row>0</xdr:row>
      <xdr:rowOff>83155</xdr:rowOff>
    </xdr:from>
    <xdr:to>
      <xdr:col>1</xdr:col>
      <xdr:colOff>1274415</xdr:colOff>
      <xdr:row>0</xdr:row>
      <xdr:rowOff>521013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D4B39C4-B4A6-45D9-BD22-799274EC19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512" y="83155"/>
          <a:ext cx="1508760" cy="4378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54805</xdr:rowOff>
    </xdr:from>
    <xdr:to>
      <xdr:col>1</xdr:col>
      <xdr:colOff>1493347</xdr:colOff>
      <xdr:row>0</xdr:row>
      <xdr:rowOff>499897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AEAFEC-16DE-479B-AAF2-CB230ACF1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6525" y="54805"/>
          <a:ext cx="1493347" cy="4450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127635</xdr:colOff>
      <xdr:row>0</xdr:row>
      <xdr:rowOff>127635</xdr:rowOff>
    </xdr:from>
    <xdr:to>
      <xdr:col>2</xdr:col>
      <xdr:colOff>1228725</xdr:colOff>
      <xdr:row>1</xdr:row>
      <xdr:rowOff>416903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08595B-BEFE-4809-9AC9-C648DE1993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127635"/>
          <a:ext cx="1497330" cy="4416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45720</xdr:rowOff>
    </xdr:from>
    <xdr:to>
      <xdr:col>1</xdr:col>
      <xdr:colOff>1248918</xdr:colOff>
      <xdr:row>2</xdr:row>
      <xdr:rowOff>144488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8A211D5-4131-45C8-A0B8-82E1D7A66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" y="45720"/>
          <a:ext cx="1504950" cy="434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ROCIO-INV/Desktop/Informe%201er%20Semestre%2006-2018/Res%20173%20INVESTOR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0.Investor%20SA\Contabilidad\CNV_EEFF_Informes\2020\EEFF%20a%20presentar\CNV%20FINAL\3.CNV%20Informe%203er%20Trim%20SETIEMBRE\2.%20Exel%20Notas%20EEFF%2009.20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0.Investor%20SA\Contabilidad\CNV_EEFF_Informes\Plantillas%20utilizadas\Calculo%20de%20Flujo%20de%20caja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Users\User\OneDrive%20-%20Inpositiva\10.Investor%20SA\Contabilidad\CNV_EEFF_Informes\2020\EEFF%20a%20presentar\CNV%20FINAL\3.CNV%20Informe%203er%20Trim%20SETIEMBRE\Presentado%2017%20de%20Noviembre%202020\Investor%20Casa%20de%20Bolsa%20SA_Notas%20EEFF%2009.2020.xlsx?E61D5459" TargetMode="External"/><Relationship Id="rId1" Type="http://schemas.openxmlformats.org/officeDocument/2006/relationships/externalLinkPath" Target="file:///\\E61D5459\Investor%20Casa%20de%20Bolsa%20SA_Notas%20EEFF%2009.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0.Investor%20SA\Contabilidad\Conformaciones%20de%20Cuentas%20Contables\Conformaciones%202021\Setiembre%202021\EEFF%20excel%20para%20Informe%20a%20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OK"/>
      <sheetName val="NOTA D - DISPONIBILIDADES ok"/>
      <sheetName val="NOTA E - INVERSIONES ok"/>
      <sheetName val="NOTA F - CREDITOSok"/>
      <sheetName val="NOTA G BIENES DE USOok"/>
      <sheetName val="NOTA H CARGOS DIFERIDOSok"/>
      <sheetName val=" NOTA I INTANGIBLESok"/>
      <sheetName val="NOTA J OTROS ACTIVOS CTES Y NO "/>
      <sheetName val="NOTA K PRESTAMOSok"/>
      <sheetName val="NOTA L DOCUM y CTAS A PAG OK"/>
      <sheetName val="NOTAS M-Q ACREED CP OK"/>
      <sheetName val="NOTA R SALDOS Y TRANSACC ok"/>
      <sheetName val="NOTA S RESULTADOS CON PERS ok"/>
      <sheetName val=" NOTA T PATRIMONIO U PREVIS OK"/>
      <sheetName val="NOTA V INGRESOS OPERATIVOS OK"/>
      <sheetName val="NOTA W OTROS GASTOS OPER OK"/>
      <sheetName val="NOTA X OTROS INGRESOS Y EGR OK"/>
      <sheetName val="NOTA Y RESULTADOS FINANC OK"/>
      <sheetName val="NOTA Z RESULT EXTRA no"/>
      <sheetName val="NOTA 6 INFORMACION REFERENTE"/>
    </sheetNames>
    <sheetDataSet>
      <sheetData sheetId="0"/>
      <sheetData sheetId="1"/>
      <sheetData sheetId="2">
        <row r="100">
          <cell r="E100">
            <v>6831863252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 de Fondos Calculo"/>
    </sheetNames>
    <sheetDataSet>
      <sheetData sheetId="0">
        <row r="63">
          <cell r="B63">
            <v>14817517819</v>
          </cell>
        </row>
        <row r="64">
          <cell r="B64">
            <v>3162484022</v>
          </cell>
        </row>
        <row r="66">
          <cell r="B66">
            <v>-1934511909</v>
          </cell>
        </row>
        <row r="67">
          <cell r="B67">
            <v>-3823183658</v>
          </cell>
        </row>
        <row r="68">
          <cell r="B68">
            <v>-71022483</v>
          </cell>
        </row>
        <row r="72">
          <cell r="B72">
            <v>-2572595000</v>
          </cell>
        </row>
        <row r="73">
          <cell r="B73">
            <v>-1009192577</v>
          </cell>
        </row>
        <row r="74">
          <cell r="B74">
            <v>-15758831249</v>
          </cell>
        </row>
        <row r="84">
          <cell r="B84">
            <v>25189155271</v>
          </cell>
        </row>
        <row r="85">
          <cell r="B85">
            <v>-5434782609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Balance Gral. Resol. 6"/>
      <sheetName val="Estado de Resultado Resol. 6"/>
      <sheetName val="Flujo de Efectivo Resol. Res 6"/>
      <sheetName val="Estado de Variacion PN "/>
      <sheetName val="NOTA A LOS ESTADOS CONTA. 1-4"/>
      <sheetName val="NOTA 5 A-C CRITERIOS ESPECIF.OK"/>
      <sheetName val="NOTA D - DISPONIBILIDADES ok"/>
      <sheetName val="NOTA E - INVERSIONES ok"/>
      <sheetName val="NOTA F - CREDITOSok"/>
      <sheetName val="NOTA G BIENES DE USOok"/>
      <sheetName val="NOTA H CARGOS DIFERIDOSok"/>
      <sheetName val=" NOTA I INTANGIBLESok"/>
      <sheetName val="NOTA J OTROS ACTIVOS CTES Y NO "/>
      <sheetName val="NOTA K PRESTAMOSok"/>
      <sheetName val="NOTA L DOCUM y CTAS A PAG OK"/>
      <sheetName val="NOTAS M-Q ACREED CP OK"/>
      <sheetName val="NOTA R SALDOS Y TRANSACC ok"/>
      <sheetName val="NOTA S RESULTADOS CON PERS ok"/>
      <sheetName val=" NOTA T PATRIMONIO U PREVIS OK"/>
      <sheetName val="NOTA V INGRESOS OPERATIVOS OK"/>
      <sheetName val="NOTA W OTROS GASTOS OPER OK"/>
      <sheetName val="NOTA X OTROS INGRESOS Y EGR OK"/>
      <sheetName val="NOTA Y RESULTADOS FINANC OK"/>
      <sheetName val="NOTA Z RESULT EXTRA no"/>
      <sheetName val="NOTA 6 INFORMACION REFERENTE"/>
    </sheetNames>
    <sheetDataSet>
      <sheetData sheetId="0" refreshError="1"/>
      <sheetData sheetId="1">
        <row r="14">
          <cell r="D14">
            <v>5033440016</v>
          </cell>
        </row>
        <row r="70">
          <cell r="G70">
            <v>32344054475</v>
          </cell>
        </row>
      </sheetData>
      <sheetData sheetId="2">
        <row r="100">
          <cell r="E100">
            <v>6831863252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 a Set "/>
      <sheetName val="EERR Set"/>
    </sheetNames>
    <sheetDataSet>
      <sheetData sheetId="0">
        <row r="45">
          <cell r="B45">
            <v>291978211</v>
          </cell>
        </row>
        <row r="46">
          <cell r="B46">
            <v>346683063</v>
          </cell>
        </row>
        <row r="47">
          <cell r="B47">
            <v>290576050</v>
          </cell>
        </row>
      </sheetData>
      <sheetData sheetId="1">
        <row r="2">
          <cell r="B2">
            <v>285733388149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costa@investor.com.py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E69"/>
  <sheetViews>
    <sheetView showGridLines="0" topLeftCell="A48" zoomScale="120" zoomScaleNormal="120" workbookViewId="0">
      <selection activeCell="B70" sqref="B70"/>
    </sheetView>
  </sheetViews>
  <sheetFormatPr baseColWidth="10" defaultColWidth="11.33203125" defaultRowHeight="13.8"/>
  <cols>
    <col min="1" max="1" width="4.77734375" style="5" customWidth="1"/>
    <col min="2" max="2" width="22.109375" style="5" customWidth="1"/>
    <col min="3" max="3" width="42" style="5" bestFit="1" customWidth="1"/>
    <col min="4" max="4" width="39.33203125" style="6" bestFit="1" customWidth="1"/>
    <col min="5" max="5" width="49.88671875" style="5" bestFit="1" customWidth="1"/>
    <col min="6" max="6" width="6.6640625" style="5" bestFit="1" customWidth="1"/>
    <col min="7" max="16384" width="11.33203125" style="5"/>
  </cols>
  <sheetData>
    <row r="5" spans="1:5" ht="18">
      <c r="B5" s="535" t="s">
        <v>0</v>
      </c>
      <c r="C5" s="535"/>
      <c r="D5" s="535"/>
    </row>
    <row r="6" spans="1:5" ht="14.4" customHeight="1">
      <c r="B6" s="541" t="s">
        <v>865</v>
      </c>
      <c r="C6" s="541"/>
      <c r="D6" s="541"/>
    </row>
    <row r="7" spans="1:5" ht="15" customHeight="1" thickBot="1"/>
    <row r="8" spans="1:5" ht="15" customHeight="1" thickBot="1">
      <c r="B8" s="595" t="s">
        <v>1</v>
      </c>
      <c r="C8" s="593" t="s">
        <v>840</v>
      </c>
      <c r="D8" s="594"/>
    </row>
    <row r="9" spans="1:5" ht="13.8" hidden="1" customHeight="1">
      <c r="A9" s="7"/>
      <c r="B9" s="7"/>
      <c r="C9" s="7"/>
      <c r="D9" s="8"/>
    </row>
    <row r="10" spans="1:5" ht="14.4" thickBot="1">
      <c r="A10" s="9"/>
    </row>
    <row r="11" spans="1:5" ht="26.25" customHeight="1" thickBot="1">
      <c r="B11" s="591" t="s">
        <v>2</v>
      </c>
      <c r="C11" s="592"/>
      <c r="D11" s="590" t="s">
        <v>3</v>
      </c>
    </row>
    <row r="12" spans="1:5" ht="26.25" customHeight="1">
      <c r="B12" s="10" t="s">
        <v>889</v>
      </c>
      <c r="C12" s="11"/>
      <c r="D12" s="4" t="s">
        <v>866</v>
      </c>
    </row>
    <row r="13" spans="1:5" ht="26.25" customHeight="1">
      <c r="B13" s="10" t="s">
        <v>890</v>
      </c>
      <c r="C13" s="14"/>
      <c r="D13" s="13"/>
    </row>
    <row r="14" spans="1:5">
      <c r="A14" s="6"/>
      <c r="B14" s="12"/>
      <c r="C14" s="5" t="s">
        <v>4</v>
      </c>
      <c r="D14" s="2" t="s">
        <v>556</v>
      </c>
      <c r="E14" s="5" t="str">
        <f t="shared" ref="E14:E15" si="0">PROPER(B14)</f>
        <v/>
      </c>
    </row>
    <row r="15" spans="1:5">
      <c r="A15" s="6"/>
      <c r="B15" s="12"/>
      <c r="C15" s="5" t="s">
        <v>5</v>
      </c>
      <c r="D15" s="2" t="s">
        <v>557</v>
      </c>
      <c r="E15" s="5" t="str">
        <f t="shared" si="0"/>
        <v/>
      </c>
    </row>
    <row r="16" spans="1:5">
      <c r="A16" s="6"/>
      <c r="B16" s="12"/>
      <c r="C16" s="5" t="s">
        <v>6</v>
      </c>
      <c r="D16" s="2" t="s">
        <v>558</v>
      </c>
    </row>
    <row r="17" spans="1:4">
      <c r="A17" s="6"/>
      <c r="B17" s="12"/>
      <c r="C17" s="5" t="s">
        <v>841</v>
      </c>
      <c r="D17" s="2" t="s">
        <v>559</v>
      </c>
    </row>
    <row r="18" spans="1:4">
      <c r="A18" s="6"/>
      <c r="B18" s="12"/>
      <c r="C18" s="5" t="s">
        <v>7</v>
      </c>
      <c r="D18" s="2" t="s">
        <v>888</v>
      </c>
    </row>
    <row r="19" spans="1:4">
      <c r="A19" s="6"/>
      <c r="B19" s="12"/>
      <c r="C19" s="5" t="s">
        <v>8</v>
      </c>
      <c r="D19" s="2" t="s">
        <v>560</v>
      </c>
    </row>
    <row r="20" spans="1:4" ht="14.4">
      <c r="A20" s="6"/>
      <c r="B20" s="12"/>
      <c r="C20" s="5" t="s">
        <v>9</v>
      </c>
      <c r="D20" s="15"/>
    </row>
    <row r="21" spans="1:4" ht="14.4">
      <c r="A21" s="6"/>
      <c r="B21" s="12"/>
      <c r="C21" s="5" t="s">
        <v>10</v>
      </c>
      <c r="D21" s="15"/>
    </row>
    <row r="22" spans="1:4" ht="14.4">
      <c r="A22" s="6"/>
      <c r="B22" s="12"/>
      <c r="C22" s="5" t="s">
        <v>11</v>
      </c>
      <c r="D22" s="15"/>
    </row>
    <row r="23" spans="1:4" ht="14.4">
      <c r="A23" s="6"/>
      <c r="B23" s="12"/>
      <c r="D23" s="15"/>
    </row>
    <row r="24" spans="1:4" ht="14.4">
      <c r="A24" s="6"/>
      <c r="B24" s="10" t="s">
        <v>891</v>
      </c>
      <c r="D24" s="16"/>
    </row>
    <row r="25" spans="1:4">
      <c r="A25" s="6"/>
      <c r="B25" s="12"/>
      <c r="D25" s="17"/>
    </row>
    <row r="26" spans="1:4">
      <c r="A26" s="6"/>
      <c r="B26" s="12"/>
      <c r="C26" s="18" t="s">
        <v>12</v>
      </c>
      <c r="D26" s="2" t="s">
        <v>867</v>
      </c>
    </row>
    <row r="27" spans="1:4">
      <c r="A27" s="6"/>
      <c r="B27" s="12"/>
      <c r="C27" s="18" t="s">
        <v>842</v>
      </c>
      <c r="D27" s="2" t="s">
        <v>867</v>
      </c>
    </row>
    <row r="28" spans="1:4">
      <c r="A28" s="6"/>
      <c r="B28" s="12"/>
      <c r="C28" s="18" t="s">
        <v>843</v>
      </c>
      <c r="D28" s="2" t="s">
        <v>867</v>
      </c>
    </row>
    <row r="29" spans="1:4">
      <c r="A29" s="6"/>
      <c r="B29" s="12"/>
      <c r="C29" s="18" t="s">
        <v>844</v>
      </c>
      <c r="D29" s="2" t="s">
        <v>867</v>
      </c>
    </row>
    <row r="30" spans="1:4">
      <c r="A30" s="6"/>
      <c r="B30" s="12"/>
      <c r="C30" s="18" t="s">
        <v>845</v>
      </c>
      <c r="D30" s="3" t="s">
        <v>400</v>
      </c>
    </row>
    <row r="31" spans="1:4">
      <c r="A31" s="6"/>
      <c r="B31" s="12"/>
      <c r="C31" s="5" t="s">
        <v>846</v>
      </c>
      <c r="D31" s="2" t="s">
        <v>868</v>
      </c>
    </row>
    <row r="32" spans="1:4">
      <c r="A32" s="6"/>
      <c r="B32" s="12"/>
      <c r="C32" s="5" t="s">
        <v>847</v>
      </c>
      <c r="D32" s="2" t="s">
        <v>868</v>
      </c>
    </row>
    <row r="33" spans="1:4">
      <c r="A33" s="6"/>
      <c r="B33" s="12"/>
      <c r="C33" s="5" t="s">
        <v>848</v>
      </c>
      <c r="D33" s="2" t="s">
        <v>868</v>
      </c>
    </row>
    <row r="34" spans="1:4">
      <c r="A34" s="6"/>
      <c r="B34" s="12"/>
      <c r="C34" s="5" t="s">
        <v>849</v>
      </c>
      <c r="D34" s="2" t="s">
        <v>869</v>
      </c>
    </row>
    <row r="35" spans="1:4">
      <c r="A35" s="6"/>
      <c r="B35" s="12"/>
      <c r="C35" s="5" t="s">
        <v>13</v>
      </c>
      <c r="D35" s="2" t="s">
        <v>870</v>
      </c>
    </row>
    <row r="36" spans="1:4">
      <c r="A36" s="6"/>
      <c r="B36" s="12"/>
      <c r="C36" s="5" t="s">
        <v>850</v>
      </c>
      <c r="D36" s="2" t="s">
        <v>871</v>
      </c>
    </row>
    <row r="37" spans="1:4">
      <c r="A37" s="6"/>
      <c r="B37" s="12"/>
      <c r="C37" s="5" t="s">
        <v>851</v>
      </c>
      <c r="D37" s="2" t="s">
        <v>872</v>
      </c>
    </row>
    <row r="38" spans="1:4">
      <c r="A38" s="6"/>
      <c r="B38" s="12"/>
      <c r="C38" s="5" t="s">
        <v>852</v>
      </c>
      <c r="D38" s="2" t="s">
        <v>873</v>
      </c>
    </row>
    <row r="39" spans="1:4">
      <c r="A39" s="6"/>
      <c r="B39" s="12"/>
      <c r="C39" s="5" t="s">
        <v>14</v>
      </c>
      <c r="D39" s="2" t="s">
        <v>874</v>
      </c>
    </row>
    <row r="40" spans="1:4">
      <c r="A40" s="6"/>
      <c r="B40" s="12"/>
      <c r="C40" s="5" t="s">
        <v>15</v>
      </c>
      <c r="D40" s="2" t="s">
        <v>875</v>
      </c>
    </row>
    <row r="41" spans="1:4">
      <c r="A41" s="6"/>
      <c r="B41" s="12"/>
      <c r="C41" s="5" t="s">
        <v>853</v>
      </c>
      <c r="D41" s="2" t="s">
        <v>876</v>
      </c>
    </row>
    <row r="42" spans="1:4">
      <c r="A42" s="6"/>
      <c r="B42" s="12"/>
      <c r="C42" s="5" t="s">
        <v>854</v>
      </c>
      <c r="D42" s="2" t="s">
        <v>877</v>
      </c>
    </row>
    <row r="43" spans="1:4">
      <c r="A43" s="6"/>
      <c r="B43" s="12"/>
      <c r="C43" s="5" t="s">
        <v>855</v>
      </c>
      <c r="D43" s="2" t="s">
        <v>878</v>
      </c>
    </row>
    <row r="44" spans="1:4">
      <c r="A44" s="6"/>
      <c r="B44" s="12"/>
      <c r="C44" s="5" t="s">
        <v>16</v>
      </c>
      <c r="D44" s="2" t="s">
        <v>878</v>
      </c>
    </row>
    <row r="45" spans="1:4">
      <c r="A45" s="6"/>
      <c r="B45" s="12"/>
      <c r="C45" s="5" t="s">
        <v>856</v>
      </c>
      <c r="D45" s="2" t="s">
        <v>878</v>
      </c>
    </row>
    <row r="46" spans="1:4">
      <c r="A46" s="6"/>
      <c r="B46" s="12"/>
      <c r="C46" s="5" t="s">
        <v>857</v>
      </c>
      <c r="D46" s="2" t="s">
        <v>878</v>
      </c>
    </row>
    <row r="47" spans="1:4">
      <c r="A47" s="6"/>
      <c r="B47" s="12"/>
      <c r="C47" s="5" t="s">
        <v>858</v>
      </c>
      <c r="D47" s="2" t="s">
        <v>878</v>
      </c>
    </row>
    <row r="48" spans="1:4">
      <c r="A48" s="6"/>
      <c r="B48" s="12"/>
      <c r="C48" s="5" t="s">
        <v>859</v>
      </c>
      <c r="D48" s="2" t="s">
        <v>879</v>
      </c>
    </row>
    <row r="49" spans="1:4">
      <c r="A49" s="6"/>
      <c r="B49" s="12"/>
      <c r="C49" s="5" t="s">
        <v>17</v>
      </c>
      <c r="D49" s="2" t="s">
        <v>880</v>
      </c>
    </row>
    <row r="50" spans="1:4">
      <c r="A50" s="6"/>
      <c r="B50" s="12"/>
      <c r="C50" s="5" t="s">
        <v>860</v>
      </c>
      <c r="D50" s="2" t="s">
        <v>881</v>
      </c>
    </row>
    <row r="51" spans="1:4">
      <c r="A51" s="6"/>
      <c r="B51" s="12"/>
      <c r="C51" s="5" t="s">
        <v>18</v>
      </c>
      <c r="D51" s="2" t="s">
        <v>881</v>
      </c>
    </row>
    <row r="52" spans="1:4">
      <c r="A52" s="6"/>
      <c r="B52" s="12"/>
      <c r="C52" s="5" t="s">
        <v>861</v>
      </c>
      <c r="D52" s="2" t="s">
        <v>882</v>
      </c>
    </row>
    <row r="53" spans="1:4">
      <c r="A53" s="6"/>
      <c r="B53" s="10"/>
      <c r="C53" s="5" t="s">
        <v>862</v>
      </c>
      <c r="D53" s="2" t="s">
        <v>883</v>
      </c>
    </row>
    <row r="54" spans="1:4">
      <c r="A54" s="6"/>
      <c r="B54" s="12"/>
      <c r="C54" s="5" t="s">
        <v>19</v>
      </c>
      <c r="D54" s="2" t="s">
        <v>884</v>
      </c>
    </row>
    <row r="55" spans="1:4">
      <c r="A55" s="6"/>
      <c r="B55" s="12"/>
      <c r="C55" s="5" t="s">
        <v>20</v>
      </c>
      <c r="D55" s="2" t="s">
        <v>885</v>
      </c>
    </row>
    <row r="56" spans="1:4">
      <c r="A56" s="6"/>
      <c r="B56" s="12"/>
      <c r="C56" s="5" t="s">
        <v>21</v>
      </c>
      <c r="D56" s="2" t="s">
        <v>886</v>
      </c>
    </row>
    <row r="57" spans="1:4">
      <c r="A57" s="6"/>
      <c r="B57" s="12"/>
      <c r="D57" s="3" t="s">
        <v>400</v>
      </c>
    </row>
    <row r="58" spans="1:4">
      <c r="A58" s="6"/>
      <c r="B58" s="12"/>
      <c r="C58" s="18" t="s">
        <v>22</v>
      </c>
      <c r="D58" s="2" t="s">
        <v>887</v>
      </c>
    </row>
    <row r="59" spans="1:4">
      <c r="A59" s="6"/>
      <c r="B59" s="12"/>
      <c r="C59" s="5" t="s">
        <v>23</v>
      </c>
      <c r="D59" s="3"/>
    </row>
    <row r="60" spans="1:4">
      <c r="A60" s="6"/>
      <c r="B60" s="12"/>
      <c r="C60" s="5" t="s">
        <v>863</v>
      </c>
      <c r="D60" s="3"/>
    </row>
    <row r="61" spans="1:4" ht="14.4">
      <c r="A61" s="6"/>
      <c r="B61" s="12"/>
      <c r="C61" s="5" t="s">
        <v>864</v>
      </c>
      <c r="D61" s="15"/>
    </row>
    <row r="62" spans="1:4" ht="14.4">
      <c r="A62" s="6"/>
      <c r="B62" s="12"/>
      <c r="C62" s="5" t="s">
        <v>24</v>
      </c>
      <c r="D62" s="15"/>
    </row>
    <row r="63" spans="1:4" ht="14.4">
      <c r="A63" s="6"/>
      <c r="B63" s="12"/>
      <c r="C63" s="5" t="s">
        <v>25</v>
      </c>
      <c r="D63" s="15"/>
    </row>
    <row r="64" spans="1:4" ht="14.4">
      <c r="A64" s="6"/>
      <c r="B64" s="12"/>
      <c r="C64" s="5" t="s">
        <v>26</v>
      </c>
      <c r="D64" s="15"/>
    </row>
    <row r="65" spans="1:4" ht="14.4">
      <c r="A65" s="6"/>
      <c r="B65" s="12"/>
      <c r="C65" s="5" t="s">
        <v>27</v>
      </c>
      <c r="D65" s="15"/>
    </row>
    <row r="66" spans="1:4" ht="14.4">
      <c r="A66" s="6"/>
      <c r="B66" s="12"/>
      <c r="C66" s="5" t="s">
        <v>28</v>
      </c>
      <c r="D66" s="15"/>
    </row>
    <row r="67" spans="1:4" ht="14.4">
      <c r="A67" s="6"/>
      <c r="B67" s="12"/>
      <c r="D67" s="15"/>
    </row>
    <row r="68" spans="1:4" ht="14.4">
      <c r="A68" s="6"/>
      <c r="B68" s="19"/>
      <c r="C68" s="20"/>
      <c r="D68" s="21"/>
    </row>
    <row r="69" spans="1:4" ht="21" customHeight="1">
      <c r="A69" s="22"/>
      <c r="D69" s="23"/>
    </row>
  </sheetData>
  <mergeCells count="4">
    <mergeCell ref="B11:C11"/>
    <mergeCell ref="C8:D8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tabColor rgb="FF002060"/>
    <pageSetUpPr fitToPage="1"/>
  </sheetPr>
  <dimension ref="B1:M52"/>
  <sheetViews>
    <sheetView showGridLines="0" topLeftCell="A5" zoomScale="142" zoomScaleNormal="142" workbookViewId="0">
      <selection activeCell="B12" sqref="B12"/>
    </sheetView>
  </sheetViews>
  <sheetFormatPr baseColWidth="10" defaultColWidth="11.44140625" defaultRowHeight="12"/>
  <cols>
    <col min="1" max="1" width="4.5546875" style="25" customWidth="1"/>
    <col min="2" max="2" width="50.109375" style="25" customWidth="1"/>
    <col min="3" max="3" width="15" style="25" bestFit="1" customWidth="1"/>
    <col min="4" max="4" width="19.5546875" style="72" bestFit="1" customWidth="1"/>
    <col min="5" max="6" width="17.44140625" style="72" bestFit="1" customWidth="1"/>
    <col min="7" max="8" width="17.44140625" style="72" customWidth="1"/>
    <col min="9" max="9" width="17.88671875" style="72" bestFit="1" customWidth="1"/>
    <col min="10" max="10" width="16.88671875" style="72" bestFit="1" customWidth="1"/>
    <col min="11" max="11" width="17.88671875" style="72" bestFit="1" customWidth="1"/>
    <col min="12" max="12" width="13.44140625" style="25" bestFit="1" customWidth="1"/>
    <col min="13" max="16384" width="11.44140625" style="25"/>
  </cols>
  <sheetData>
    <row r="1" spans="2:13" ht="14.4">
      <c r="B1" s="307"/>
    </row>
    <row r="2" spans="2:13" ht="24" customHeight="1"/>
    <row r="3" spans="2:13">
      <c r="B3" s="28"/>
    </row>
    <row r="4" spans="2:13" ht="44.25" customHeight="1">
      <c r="B4" s="564" t="s">
        <v>737</v>
      </c>
      <c r="C4" s="564"/>
      <c r="D4" s="564"/>
      <c r="E4" s="564"/>
      <c r="F4" s="564"/>
      <c r="G4" s="564"/>
      <c r="H4" s="564"/>
      <c r="I4" s="564"/>
      <c r="J4" s="564"/>
      <c r="K4" s="564"/>
    </row>
    <row r="5" spans="2:13" ht="15.6">
      <c r="B5" s="469" t="s">
        <v>778</v>
      </c>
      <c r="C5" s="468"/>
      <c r="D5" s="468"/>
      <c r="E5" s="468"/>
      <c r="F5" s="468"/>
      <c r="G5" s="468"/>
      <c r="H5" s="468"/>
      <c r="I5" s="468"/>
      <c r="J5" s="468"/>
      <c r="K5" s="468"/>
    </row>
    <row r="6" spans="2:13" ht="14.4" customHeight="1">
      <c r="B6" s="565" t="s">
        <v>401</v>
      </c>
      <c r="C6" s="566"/>
      <c r="D6" s="566"/>
      <c r="E6" s="566"/>
      <c r="F6" s="567"/>
      <c r="G6" s="565" t="s">
        <v>739</v>
      </c>
      <c r="H6" s="566"/>
      <c r="I6" s="566"/>
      <c r="J6" s="566"/>
      <c r="K6" s="567"/>
    </row>
    <row r="7" spans="2:13" ht="12.6" thickBot="1">
      <c r="B7" s="568" t="s">
        <v>402</v>
      </c>
      <c r="C7" s="569"/>
      <c r="D7" s="569"/>
      <c r="E7" s="569"/>
      <c r="F7" s="569"/>
      <c r="G7" s="569"/>
      <c r="H7" s="569"/>
      <c r="I7" s="569"/>
      <c r="J7" s="569"/>
      <c r="K7" s="570"/>
    </row>
    <row r="8" spans="2:13" ht="12.6" thickBot="1">
      <c r="B8" s="73"/>
      <c r="C8" s="381" t="s">
        <v>403</v>
      </c>
      <c r="D8" s="382" t="s">
        <v>404</v>
      </c>
      <c r="E8" s="382" t="s">
        <v>405</v>
      </c>
      <c r="F8" s="382" t="s">
        <v>405</v>
      </c>
      <c r="G8" s="450" t="s">
        <v>416</v>
      </c>
      <c r="H8" s="439" t="s">
        <v>769</v>
      </c>
      <c r="I8" s="382" t="s">
        <v>271</v>
      </c>
      <c r="J8" s="382" t="s">
        <v>406</v>
      </c>
      <c r="K8" s="382" t="s">
        <v>407</v>
      </c>
    </row>
    <row r="9" spans="2:13">
      <c r="B9" s="44" t="s">
        <v>408</v>
      </c>
      <c r="C9" s="74" t="s">
        <v>409</v>
      </c>
      <c r="D9" s="75" t="s">
        <v>410</v>
      </c>
      <c r="E9" s="75" t="s">
        <v>411</v>
      </c>
      <c r="F9" s="75" t="s">
        <v>412</v>
      </c>
      <c r="G9" s="75" t="s">
        <v>768</v>
      </c>
      <c r="H9" s="75" t="s">
        <v>770</v>
      </c>
      <c r="I9" s="76"/>
      <c r="J9" s="76"/>
      <c r="K9" s="76"/>
    </row>
    <row r="10" spans="2:13">
      <c r="B10" s="438" t="s">
        <v>417</v>
      </c>
      <c r="C10" s="74"/>
      <c r="D10" s="75">
        <f>SUM(D11:D27)</f>
        <v>61914</v>
      </c>
      <c r="E10" s="75">
        <f>SUM(E11:E27)</f>
        <v>66165702800</v>
      </c>
      <c r="F10" s="75">
        <f t="shared" ref="F10" si="0">SUM(F11:F27)</f>
        <v>66396656174</v>
      </c>
      <c r="G10" s="75"/>
      <c r="H10" s="75"/>
      <c r="I10" s="75"/>
      <c r="J10" s="75"/>
      <c r="K10" s="75"/>
      <c r="M10" s="447">
        <f>+F10-'Balance Gral. Resol. 30'!D19</f>
        <v>0</v>
      </c>
    </row>
    <row r="11" spans="2:13">
      <c r="B11" s="45" t="s">
        <v>748</v>
      </c>
      <c r="C11" s="446" t="s">
        <v>414</v>
      </c>
      <c r="D11" s="76">
        <v>8</v>
      </c>
      <c r="E11" s="76">
        <v>8000000</v>
      </c>
      <c r="F11" s="448">
        <f>+E11</f>
        <v>8000000</v>
      </c>
      <c r="G11" s="448">
        <f>+E11/D11</f>
        <v>1000000</v>
      </c>
      <c r="H11" s="448"/>
      <c r="I11" s="76">
        <v>72340500000</v>
      </c>
      <c r="J11" s="76">
        <v>3820555145</v>
      </c>
      <c r="K11" s="76">
        <v>101647808765</v>
      </c>
    </row>
    <row r="12" spans="2:13">
      <c r="B12" s="45" t="s">
        <v>749</v>
      </c>
      <c r="C12" s="446" t="s">
        <v>747</v>
      </c>
      <c r="D12" s="76">
        <v>5000</v>
      </c>
      <c r="E12" s="76">
        <v>5000000000</v>
      </c>
      <c r="F12" s="448">
        <f t="shared" ref="F12:F27" si="1">+E12</f>
        <v>5000000000</v>
      </c>
      <c r="G12" s="448">
        <f t="shared" ref="G12:G27" si="2">+E12/D12</f>
        <v>1000000</v>
      </c>
      <c r="H12" s="448"/>
      <c r="I12" s="75" t="s">
        <v>833</v>
      </c>
      <c r="J12" s="75" t="s">
        <v>833</v>
      </c>
      <c r="K12" s="75" t="s">
        <v>833</v>
      </c>
    </row>
    <row r="13" spans="2:13">
      <c r="B13" s="45" t="s">
        <v>750</v>
      </c>
      <c r="C13" s="446" t="s">
        <v>746</v>
      </c>
      <c r="D13" s="76">
        <v>10000</v>
      </c>
      <c r="E13" s="76">
        <v>10000000000</v>
      </c>
      <c r="F13" s="448">
        <f t="shared" si="1"/>
        <v>10000000000</v>
      </c>
      <c r="G13" s="448">
        <f t="shared" si="2"/>
        <v>1000000</v>
      </c>
      <c r="H13" s="448"/>
      <c r="I13" s="76">
        <v>1133000000000</v>
      </c>
      <c r="J13" s="76">
        <v>1243432263905</v>
      </c>
      <c r="K13" s="76">
        <v>3301528311102</v>
      </c>
    </row>
    <row r="14" spans="2:13">
      <c r="B14" s="45" t="s">
        <v>750</v>
      </c>
      <c r="C14" s="446" t="s">
        <v>746</v>
      </c>
      <c r="D14" s="76">
        <v>5000</v>
      </c>
      <c r="E14" s="76">
        <v>5000000000</v>
      </c>
      <c r="F14" s="448">
        <f t="shared" si="1"/>
        <v>5000000000</v>
      </c>
      <c r="G14" s="448">
        <f t="shared" si="2"/>
        <v>1000000</v>
      </c>
      <c r="H14" s="448"/>
      <c r="I14" s="76">
        <v>1133000000000</v>
      </c>
      <c r="J14" s="76">
        <v>1243432263905</v>
      </c>
      <c r="K14" s="76">
        <v>3301528311102</v>
      </c>
    </row>
    <row r="15" spans="2:13">
      <c r="B15" s="45" t="s">
        <v>750</v>
      </c>
      <c r="C15" s="446" t="s">
        <v>746</v>
      </c>
      <c r="D15" s="76">
        <v>15000</v>
      </c>
      <c r="E15" s="76">
        <v>15000000000</v>
      </c>
      <c r="F15" s="448">
        <f t="shared" si="1"/>
        <v>15000000000</v>
      </c>
      <c r="G15" s="448">
        <f t="shared" si="2"/>
        <v>1000000</v>
      </c>
      <c r="H15" s="448"/>
      <c r="I15" s="76">
        <v>1133000000000</v>
      </c>
      <c r="J15" s="76">
        <v>1243432263905</v>
      </c>
      <c r="K15" s="76">
        <v>3301528311102</v>
      </c>
    </row>
    <row r="16" spans="2:13">
      <c r="B16" s="45" t="s">
        <v>751</v>
      </c>
      <c r="C16" s="446" t="s">
        <v>414</v>
      </c>
      <c r="D16" s="76">
        <v>6</v>
      </c>
      <c r="E16" s="76">
        <v>6000000</v>
      </c>
      <c r="F16" s="448">
        <f t="shared" si="1"/>
        <v>6000000</v>
      </c>
      <c r="G16" s="448">
        <f t="shared" si="2"/>
        <v>1000000</v>
      </c>
      <c r="H16" s="448"/>
      <c r="I16" s="76">
        <v>46000000000</v>
      </c>
      <c r="J16" s="76">
        <v>6031746644</v>
      </c>
      <c r="K16" s="76">
        <v>58193680255</v>
      </c>
    </row>
    <row r="17" spans="2:11">
      <c r="B17" s="45" t="s">
        <v>745</v>
      </c>
      <c r="C17" s="446" t="s">
        <v>414</v>
      </c>
      <c r="D17" s="76">
        <v>10000</v>
      </c>
      <c r="E17" s="76">
        <v>10000000000</v>
      </c>
      <c r="F17" s="448">
        <f t="shared" si="1"/>
        <v>10000000000</v>
      </c>
      <c r="G17" s="448">
        <f t="shared" si="2"/>
        <v>1000000</v>
      </c>
      <c r="H17" s="448"/>
      <c r="I17" s="76">
        <v>146400000000</v>
      </c>
      <c r="J17" s="76">
        <v>539785000000</v>
      </c>
      <c r="K17" s="76">
        <v>830163000000</v>
      </c>
    </row>
    <row r="18" spans="2:11">
      <c r="B18" s="445" t="s">
        <v>745</v>
      </c>
      <c r="C18" s="446" t="s">
        <v>414</v>
      </c>
      <c r="D18" s="76">
        <v>10325</v>
      </c>
      <c r="E18" s="76">
        <v>10000000000</v>
      </c>
      <c r="F18" s="448">
        <f t="shared" si="1"/>
        <v>10000000000</v>
      </c>
      <c r="G18" s="448">
        <f>+G17</f>
        <v>1000000</v>
      </c>
      <c r="H18" s="448"/>
      <c r="I18" s="76">
        <v>146400000000</v>
      </c>
      <c r="J18" s="76">
        <v>539785000000</v>
      </c>
      <c r="K18" s="76">
        <v>830163000000</v>
      </c>
    </row>
    <row r="19" spans="2:11">
      <c r="B19" s="445" t="s">
        <v>745</v>
      </c>
      <c r="C19" s="446" t="s">
        <v>414</v>
      </c>
      <c r="D19" s="76">
        <v>1500</v>
      </c>
      <c r="E19" s="76">
        <v>1500000000</v>
      </c>
      <c r="F19" s="448">
        <f t="shared" si="1"/>
        <v>1500000000</v>
      </c>
      <c r="G19" s="448">
        <f t="shared" si="2"/>
        <v>1000000</v>
      </c>
      <c r="H19" s="448"/>
      <c r="I19" s="76">
        <v>146400000000</v>
      </c>
      <c r="J19" s="76">
        <v>539785000000</v>
      </c>
      <c r="K19" s="76">
        <v>830163000000</v>
      </c>
    </row>
    <row r="20" spans="2:11">
      <c r="B20" s="445" t="s">
        <v>745</v>
      </c>
      <c r="C20" s="446" t="s">
        <v>414</v>
      </c>
      <c r="D20" s="76">
        <v>5000</v>
      </c>
      <c r="E20" s="76">
        <v>5000000000</v>
      </c>
      <c r="F20" s="448">
        <f t="shared" si="1"/>
        <v>5000000000</v>
      </c>
      <c r="G20" s="448">
        <f t="shared" si="2"/>
        <v>1000000</v>
      </c>
      <c r="H20" s="448"/>
      <c r="I20" s="76">
        <v>146400000000</v>
      </c>
      <c r="J20" s="76">
        <v>539785000000</v>
      </c>
      <c r="K20" s="76">
        <v>830163000000</v>
      </c>
    </row>
    <row r="21" spans="2:11">
      <c r="B21" s="445" t="s">
        <v>752</v>
      </c>
      <c r="C21" s="446" t="s">
        <v>413</v>
      </c>
      <c r="D21" s="76">
        <v>7</v>
      </c>
      <c r="E21" s="76">
        <v>3507000000</v>
      </c>
      <c r="F21" s="448">
        <f>3737953373+1</f>
        <v>3737953374</v>
      </c>
      <c r="G21" s="448">
        <f t="shared" si="2"/>
        <v>501000000</v>
      </c>
      <c r="H21" s="448"/>
      <c r="I21" s="76">
        <v>417173200000</v>
      </c>
      <c r="J21" s="76">
        <v>40488702008</v>
      </c>
      <c r="K21" s="76">
        <v>672341075624</v>
      </c>
    </row>
    <row r="22" spans="2:11">
      <c r="B22" s="445" t="s">
        <v>755</v>
      </c>
      <c r="C22" s="446" t="s">
        <v>753</v>
      </c>
      <c r="D22" s="76">
        <v>1</v>
      </c>
      <c r="E22" s="76">
        <f>1000*6895.8</f>
        <v>6895800</v>
      </c>
      <c r="F22" s="76">
        <f t="shared" si="1"/>
        <v>6895800</v>
      </c>
      <c r="G22" s="448">
        <f t="shared" si="2"/>
        <v>6895800</v>
      </c>
      <c r="H22" s="76"/>
      <c r="I22" s="76">
        <v>450000000000</v>
      </c>
      <c r="J22" s="76">
        <v>463041558484</v>
      </c>
      <c r="K22" s="76">
        <v>1477736281915</v>
      </c>
    </row>
    <row r="23" spans="2:11">
      <c r="B23" s="445" t="s">
        <v>756</v>
      </c>
      <c r="C23" s="446" t="s">
        <v>753</v>
      </c>
      <c r="D23" s="76">
        <v>1</v>
      </c>
      <c r="E23" s="76">
        <f>1000*6895.8</f>
        <v>6895800</v>
      </c>
      <c r="F23" s="76">
        <f t="shared" si="1"/>
        <v>6895800</v>
      </c>
      <c r="G23" s="448">
        <f t="shared" si="2"/>
        <v>6895800</v>
      </c>
      <c r="H23" s="76"/>
      <c r="I23" s="76">
        <v>417173200000</v>
      </c>
      <c r="J23" s="76">
        <v>40488702008</v>
      </c>
      <c r="K23" s="76">
        <v>672341075624</v>
      </c>
    </row>
    <row r="24" spans="2:11">
      <c r="B24" s="445" t="s">
        <v>756</v>
      </c>
      <c r="C24" s="446" t="s">
        <v>414</v>
      </c>
      <c r="D24" s="76">
        <v>3</v>
      </c>
      <c r="E24" s="76">
        <f>3000*6895.8</f>
        <v>20687400</v>
      </c>
      <c r="F24" s="76">
        <f t="shared" si="1"/>
        <v>20687400</v>
      </c>
      <c r="G24" s="448">
        <f t="shared" si="2"/>
        <v>6895800</v>
      </c>
      <c r="H24" s="76"/>
      <c r="I24" s="76">
        <v>417173200000</v>
      </c>
      <c r="J24" s="76">
        <v>40488702008</v>
      </c>
      <c r="K24" s="76">
        <v>672341075624</v>
      </c>
    </row>
    <row r="25" spans="2:11">
      <c r="B25" s="445" t="s">
        <v>757</v>
      </c>
      <c r="C25" s="446" t="s">
        <v>414</v>
      </c>
      <c r="D25" s="76">
        <v>61</v>
      </c>
      <c r="E25" s="76">
        <f>61000*6895.8</f>
        <v>420643800</v>
      </c>
      <c r="F25" s="76">
        <f t="shared" si="1"/>
        <v>420643800</v>
      </c>
      <c r="G25" s="448">
        <f t="shared" si="2"/>
        <v>6895800</v>
      </c>
      <c r="H25" s="76"/>
      <c r="I25" s="76">
        <v>482236000000</v>
      </c>
      <c r="J25" s="76">
        <v>14121568170</v>
      </c>
      <c r="K25" s="76">
        <v>591141564096</v>
      </c>
    </row>
    <row r="26" spans="2:11">
      <c r="B26" s="445" t="s">
        <v>758</v>
      </c>
      <c r="C26" s="446" t="s">
        <v>413</v>
      </c>
      <c r="D26" s="76">
        <v>1</v>
      </c>
      <c r="E26" s="76">
        <f>50000*6895.8</f>
        <v>344790000</v>
      </c>
      <c r="F26" s="76">
        <f t="shared" si="1"/>
        <v>344790000</v>
      </c>
      <c r="G26" s="448">
        <f t="shared" si="2"/>
        <v>344790000</v>
      </c>
      <c r="H26" s="76"/>
      <c r="I26" s="76">
        <v>370744700000</v>
      </c>
      <c r="J26" s="76">
        <v>13865838751</v>
      </c>
      <c r="K26" s="76">
        <v>413695652489</v>
      </c>
    </row>
    <row r="27" spans="2:11">
      <c r="B27" s="445" t="s">
        <v>758</v>
      </c>
      <c r="C27" s="446" t="s">
        <v>413</v>
      </c>
      <c r="D27" s="76">
        <v>1</v>
      </c>
      <c r="E27" s="76">
        <f>50000*6895.8</f>
        <v>344790000</v>
      </c>
      <c r="F27" s="76">
        <f t="shared" si="1"/>
        <v>344790000</v>
      </c>
      <c r="G27" s="448">
        <f t="shared" si="2"/>
        <v>344790000</v>
      </c>
      <c r="H27" s="76"/>
      <c r="I27" s="76">
        <v>370744700000</v>
      </c>
      <c r="J27" s="76">
        <v>13865838751</v>
      </c>
      <c r="K27" s="76">
        <v>413695652489</v>
      </c>
    </row>
    <row r="28" spans="2:11" ht="12.6" thickBot="1">
      <c r="B28" s="568" t="s">
        <v>754</v>
      </c>
      <c r="C28" s="569"/>
      <c r="D28" s="569"/>
      <c r="E28" s="569"/>
      <c r="F28" s="569"/>
      <c r="G28" s="569"/>
      <c r="H28" s="569"/>
      <c r="I28" s="569"/>
      <c r="J28" s="569"/>
      <c r="K28" s="570"/>
    </row>
    <row r="29" spans="2:11" ht="12.6" thickBot="1">
      <c r="B29" s="73"/>
      <c r="C29" s="381" t="s">
        <v>403</v>
      </c>
      <c r="D29" s="382" t="s">
        <v>404</v>
      </c>
      <c r="E29" s="382" t="s">
        <v>405</v>
      </c>
      <c r="F29" s="382" t="s">
        <v>405</v>
      </c>
      <c r="G29" s="439" t="s">
        <v>771</v>
      </c>
      <c r="H29" s="439" t="s">
        <v>772</v>
      </c>
      <c r="I29" s="382" t="s">
        <v>271</v>
      </c>
      <c r="J29" s="382" t="s">
        <v>406</v>
      </c>
      <c r="K29" s="382" t="s">
        <v>407</v>
      </c>
    </row>
    <row r="30" spans="2:11">
      <c r="B30" s="44" t="s">
        <v>408</v>
      </c>
      <c r="C30" s="74" t="s">
        <v>409</v>
      </c>
      <c r="D30" s="75" t="s">
        <v>410</v>
      </c>
      <c r="E30" s="75" t="s">
        <v>411</v>
      </c>
      <c r="F30" s="75" t="s">
        <v>412</v>
      </c>
      <c r="G30" s="75" t="s">
        <v>433</v>
      </c>
      <c r="H30" s="75" t="s">
        <v>773</v>
      </c>
      <c r="I30" s="76"/>
      <c r="J30" s="76"/>
      <c r="K30" s="76"/>
    </row>
    <row r="31" spans="2:11">
      <c r="B31" s="438" t="s">
        <v>417</v>
      </c>
      <c r="C31" s="74"/>
      <c r="D31" s="75">
        <f>SUM(D32:D36)</f>
        <v>62738</v>
      </c>
      <c r="E31" s="75">
        <f>SUM(E32:E42)</f>
        <v>14172320000</v>
      </c>
      <c r="F31" s="75">
        <f t="shared" ref="F31" si="3">SUM(F32:F36)</f>
        <v>9686370000</v>
      </c>
      <c r="G31" s="382"/>
      <c r="H31" s="382"/>
      <c r="I31" s="382"/>
      <c r="J31" s="382"/>
      <c r="K31" s="382"/>
    </row>
    <row r="32" spans="2:11">
      <c r="B32" s="445" t="s">
        <v>759</v>
      </c>
      <c r="C32" s="446" t="s">
        <v>579</v>
      </c>
      <c r="D32" s="76">
        <v>23809</v>
      </c>
      <c r="E32" s="76">
        <v>0</v>
      </c>
      <c r="F32" s="76">
        <v>6316350000</v>
      </c>
      <c r="G32" s="504"/>
      <c r="H32" s="504"/>
      <c r="I32" s="504">
        <v>1046950330000</v>
      </c>
      <c r="J32" s="504">
        <v>492539487112.99994</v>
      </c>
      <c r="K32" s="504">
        <v>3437494554472</v>
      </c>
    </row>
    <row r="33" spans="2:13">
      <c r="B33" s="445" t="s">
        <v>758</v>
      </c>
      <c r="C33" s="446" t="s">
        <v>579</v>
      </c>
      <c r="D33" s="76">
        <v>26708</v>
      </c>
      <c r="E33" s="76">
        <v>0</v>
      </c>
      <c r="F33" s="76">
        <v>3137920000</v>
      </c>
      <c r="G33" s="504"/>
      <c r="H33" s="504"/>
      <c r="I33" s="504">
        <v>370744700000</v>
      </c>
      <c r="J33" s="504">
        <v>13865838751</v>
      </c>
      <c r="K33" s="504">
        <v>413695652489</v>
      </c>
    </row>
    <row r="34" spans="2:13">
      <c r="B34" s="445" t="s">
        <v>760</v>
      </c>
      <c r="C34" s="446" t="s">
        <v>579</v>
      </c>
      <c r="D34" s="76">
        <v>10000</v>
      </c>
      <c r="E34" s="76">
        <v>0</v>
      </c>
      <c r="F34" s="76">
        <v>10000000</v>
      </c>
      <c r="G34" s="504"/>
      <c r="H34" s="504"/>
      <c r="I34" s="504"/>
      <c r="J34" s="504"/>
      <c r="K34" s="504"/>
    </row>
    <row r="35" spans="2:13">
      <c r="B35" s="445" t="s">
        <v>761</v>
      </c>
      <c r="C35" s="446" t="s">
        <v>579</v>
      </c>
      <c r="D35" s="76">
        <v>1750</v>
      </c>
      <c r="E35" s="76">
        <v>0</v>
      </c>
      <c r="F35" s="76">
        <v>175000000</v>
      </c>
      <c r="G35" s="504"/>
      <c r="H35" s="504"/>
      <c r="I35" s="504">
        <v>67728000000</v>
      </c>
      <c r="J35" s="504">
        <v>-1003689000</v>
      </c>
      <c r="K35" s="504">
        <v>77087880000</v>
      </c>
    </row>
    <row r="36" spans="2:13">
      <c r="B36" s="445" t="s">
        <v>762</v>
      </c>
      <c r="C36" s="446" t="s">
        <v>579</v>
      </c>
      <c r="D36" s="76">
        <v>471</v>
      </c>
      <c r="E36" s="76">
        <v>0</v>
      </c>
      <c r="F36" s="76">
        <v>47100000</v>
      </c>
      <c r="G36" s="504"/>
      <c r="H36" s="504"/>
      <c r="I36" s="504"/>
      <c r="J36" s="504"/>
      <c r="K36" s="504"/>
    </row>
    <row r="37" spans="2:13">
      <c r="B37" s="438" t="s">
        <v>418</v>
      </c>
      <c r="C37" s="74" t="s">
        <v>579</v>
      </c>
      <c r="D37" s="75">
        <f>SUM(D38:D42)</f>
        <v>6887.16</v>
      </c>
      <c r="E37" s="75">
        <f>SUM(E38:E42)</f>
        <v>7086160000</v>
      </c>
      <c r="F37" s="75">
        <f>SUM(F38:F42)</f>
        <v>8411451703</v>
      </c>
      <c r="G37" s="504"/>
      <c r="H37" s="504"/>
      <c r="I37" s="505"/>
      <c r="J37" s="505"/>
      <c r="K37" s="505"/>
      <c r="M37" s="447">
        <f>+F37-'Balance Gral. Resol. 30'!D48</f>
        <v>0</v>
      </c>
    </row>
    <row r="38" spans="2:13">
      <c r="B38" s="445" t="s">
        <v>763</v>
      </c>
      <c r="C38" s="446" t="s">
        <v>579</v>
      </c>
      <c r="D38" s="76">
        <v>499</v>
      </c>
      <c r="E38" s="76">
        <f>1000000*D38</f>
        <v>499000000</v>
      </c>
      <c r="F38" s="76">
        <v>499000000</v>
      </c>
      <c r="G38" s="504">
        <f t="shared" ref="G38:G42" si="4">+E38/D38</f>
        <v>1000000</v>
      </c>
      <c r="H38" s="504"/>
      <c r="I38" s="504">
        <v>500000000</v>
      </c>
      <c r="J38" s="504">
        <v>87154283</v>
      </c>
      <c r="K38" s="504">
        <v>587154283</v>
      </c>
    </row>
    <row r="39" spans="2:13">
      <c r="B39" s="445" t="s">
        <v>764</v>
      </c>
      <c r="C39" s="446" t="s">
        <v>579</v>
      </c>
      <c r="D39" s="76">
        <v>1552.96</v>
      </c>
      <c r="E39" s="76">
        <f>1000000*D39</f>
        <v>1552960000</v>
      </c>
      <c r="F39" s="76">
        <v>2495451703</v>
      </c>
      <c r="G39" s="504">
        <f t="shared" si="4"/>
        <v>1000000</v>
      </c>
      <c r="H39" s="504"/>
      <c r="I39" s="504">
        <v>2880000000</v>
      </c>
      <c r="J39" s="504">
        <f>1762001479+3699973280</f>
        <v>5461974759</v>
      </c>
      <c r="K39" s="504">
        <f>+I39+J39+17657900</f>
        <v>8359632659</v>
      </c>
    </row>
    <row r="40" spans="2:13">
      <c r="B40" s="445" t="s">
        <v>765</v>
      </c>
      <c r="C40" s="446" t="s">
        <v>579</v>
      </c>
      <c r="D40" s="76">
        <v>3784.2</v>
      </c>
      <c r="E40" s="76">
        <f>1000000*D40</f>
        <v>3784200000</v>
      </c>
      <c r="F40" s="76">
        <v>3467000000</v>
      </c>
      <c r="G40" s="504">
        <f t="shared" si="4"/>
        <v>1000000</v>
      </c>
      <c r="H40" s="504"/>
      <c r="I40" s="504">
        <v>5406000000</v>
      </c>
      <c r="J40" s="504">
        <v>86537729</v>
      </c>
      <c r="K40" s="504">
        <v>5538347656</v>
      </c>
    </row>
    <row r="41" spans="2:13">
      <c r="B41" s="445" t="s">
        <v>766</v>
      </c>
      <c r="C41" s="446" t="s">
        <v>579</v>
      </c>
      <c r="D41" s="76">
        <v>1050</v>
      </c>
      <c r="E41" s="89">
        <f>1000000*D41</f>
        <v>1050000000</v>
      </c>
      <c r="F41" s="89">
        <v>1050000000</v>
      </c>
      <c r="G41" s="504">
        <f t="shared" si="4"/>
        <v>1000000</v>
      </c>
      <c r="H41" s="504"/>
      <c r="I41" s="504">
        <v>1500000000</v>
      </c>
      <c r="J41" s="504">
        <v>-373419804</v>
      </c>
      <c r="K41" s="504">
        <v>1206847342</v>
      </c>
    </row>
    <row r="42" spans="2:13" ht="12.6" thickBot="1">
      <c r="B42" s="451" t="s">
        <v>767</v>
      </c>
      <c r="C42" s="446" t="s">
        <v>740</v>
      </c>
      <c r="D42" s="452">
        <v>1</v>
      </c>
      <c r="E42" s="453">
        <v>200000000</v>
      </c>
      <c r="F42" s="453">
        <v>900000000</v>
      </c>
      <c r="G42" s="89">
        <f t="shared" si="4"/>
        <v>200000000</v>
      </c>
      <c r="H42" s="89"/>
      <c r="I42" s="89">
        <v>8800000000</v>
      </c>
      <c r="J42" s="89">
        <v>10671560278</v>
      </c>
      <c r="K42" s="89">
        <v>22528059291</v>
      </c>
    </row>
    <row r="43" spans="2:13">
      <c r="B43" s="454" t="s">
        <v>741</v>
      </c>
      <c r="C43" s="455"/>
      <c r="D43" s="456">
        <f t="shared" ref="D43" si="5">+D31+D10</f>
        <v>124652</v>
      </c>
      <c r="E43" s="456">
        <f>+E31+E10</f>
        <v>80338022800</v>
      </c>
      <c r="F43" s="502">
        <f t="shared" ref="F43" si="6">+F31+F10</f>
        <v>76083026174</v>
      </c>
      <c r="G43" s="503"/>
      <c r="H43" s="503"/>
      <c r="I43" s="503"/>
      <c r="J43" s="503"/>
      <c r="K43" s="503"/>
    </row>
    <row r="44" spans="2:13" ht="12.6" thickBot="1">
      <c r="B44" s="457" t="s">
        <v>550</v>
      </c>
      <c r="C44" s="458"/>
      <c r="D44" s="459">
        <v>95495</v>
      </c>
      <c r="E44" s="460">
        <f>+F44</f>
        <v>38236425447</v>
      </c>
      <c r="F44" s="461">
        <v>38236425447</v>
      </c>
      <c r="G44" s="90"/>
      <c r="H44" s="90"/>
      <c r="I44" s="83"/>
      <c r="J44" s="83"/>
      <c r="K44" s="83"/>
    </row>
    <row r="45" spans="2:13">
      <c r="B45" s="79"/>
      <c r="C45" s="80"/>
      <c r="D45" s="81"/>
      <c r="E45" s="82"/>
      <c r="F45" s="82"/>
      <c r="G45" s="82"/>
      <c r="H45" s="82"/>
      <c r="I45" s="83"/>
      <c r="J45" s="83"/>
      <c r="K45" s="83"/>
    </row>
    <row r="46" spans="2:13">
      <c r="B46" s="84"/>
      <c r="C46" s="85"/>
      <c r="D46" s="86"/>
      <c r="E46" s="82"/>
      <c r="F46" s="86"/>
      <c r="G46" s="86"/>
      <c r="H46" s="86"/>
      <c r="I46" s="86"/>
      <c r="J46" s="86"/>
      <c r="K46" s="86"/>
    </row>
    <row r="47" spans="2:13" ht="12.6" thickBot="1"/>
    <row r="48" spans="2:13" ht="12.6" thickBot="1">
      <c r="B48" s="561" t="s">
        <v>767</v>
      </c>
      <c r="C48" s="562"/>
      <c r="D48" s="563"/>
    </row>
    <row r="49" spans="2:5" ht="12.6" thickBot="1">
      <c r="B49" s="462" t="s">
        <v>415</v>
      </c>
      <c r="C49" s="463" t="s">
        <v>416</v>
      </c>
      <c r="D49" s="464" t="s">
        <v>744</v>
      </c>
      <c r="E49" s="443"/>
    </row>
    <row r="50" spans="2:5">
      <c r="B50" s="440">
        <v>1</v>
      </c>
      <c r="C50" s="441">
        <f>+E42</f>
        <v>200000000</v>
      </c>
      <c r="D50" s="449">
        <f>+F42</f>
        <v>900000000</v>
      </c>
      <c r="E50" s="444"/>
    </row>
    <row r="51" spans="2:5">
      <c r="B51" s="87" t="s">
        <v>741</v>
      </c>
      <c r="C51" s="442">
        <f>+C50</f>
        <v>200000000</v>
      </c>
      <c r="D51" s="442">
        <f>+D50</f>
        <v>900000000</v>
      </c>
    </row>
    <row r="52" spans="2:5">
      <c r="B52" s="78" t="s">
        <v>550</v>
      </c>
      <c r="C52" s="441" t="s">
        <v>742</v>
      </c>
      <c r="D52" s="449" t="s">
        <v>743</v>
      </c>
    </row>
  </sheetData>
  <sheetProtection algorithmName="SHA-512" hashValue="Mz/uzV2nw/5xTCa+B25FbzXGKkmhbR11BDftMs30luA/WEn1g8FxT+KjJk3ZHR7Ok2q/u2aHHAaPCSFb6ETaYw==" saltValue="VMsAmJVFcUm8fJYbHh0lDA==" spinCount="100000" sheet="1" objects="1" scenarios="1"/>
  <autoFilter ref="B9:M44" xr:uid="{00000000-0001-0000-0800-000000000000}"/>
  <mergeCells count="6">
    <mergeCell ref="B48:D48"/>
    <mergeCell ref="B4:K4"/>
    <mergeCell ref="B6:F6"/>
    <mergeCell ref="G6:K6"/>
    <mergeCell ref="B7:K7"/>
    <mergeCell ref="B28:K28"/>
  </mergeCells>
  <hyperlinks>
    <hyperlink ref="B5" location="'Balance Gral. Resol. 30'!A1" display="'Balance Gral. Resol. 30'!A1" xr:uid="{B8A3F29C-C438-4B7A-989B-407B2B1D6454}"/>
  </hyperlinks>
  <pageMargins left="0.7" right="0.7" top="0.75" bottom="0.75" header="0.3" footer="0.3"/>
  <pageSetup paperSize="9" scale="5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1">
    <tabColor rgb="FF002060"/>
  </sheetPr>
  <dimension ref="B1:H59"/>
  <sheetViews>
    <sheetView showGridLines="0" zoomScale="117" zoomScaleNormal="117" workbookViewId="0">
      <selection activeCell="I22" sqref="I22"/>
    </sheetView>
  </sheetViews>
  <sheetFormatPr baseColWidth="10" defaultColWidth="67.44140625" defaultRowHeight="12"/>
  <cols>
    <col min="1" max="1" width="5.33203125" style="93" customWidth="1"/>
    <col min="2" max="2" width="44" style="93" customWidth="1"/>
    <col min="3" max="3" width="17.6640625" style="92" bestFit="1" customWidth="1"/>
    <col min="4" max="4" width="21.44140625" style="92" bestFit="1" customWidth="1"/>
    <col min="5" max="5" width="10.88671875" style="93" bestFit="1" customWidth="1"/>
    <col min="6" max="6" width="13.6640625" style="93" bestFit="1" customWidth="1"/>
    <col min="7" max="7" width="22.109375" style="93" bestFit="1" customWidth="1"/>
    <col min="8" max="8" width="26" style="93" customWidth="1"/>
    <col min="9" max="16384" width="67.44140625" style="93"/>
  </cols>
  <sheetData>
    <row r="1" spans="2:8" ht="31.2" customHeight="1"/>
    <row r="3" spans="2:8" ht="15.6">
      <c r="B3" s="571" t="s">
        <v>776</v>
      </c>
      <c r="C3" s="571"/>
      <c r="D3" s="571"/>
    </row>
    <row r="4" spans="2:8">
      <c r="B4" s="94"/>
    </row>
    <row r="5" spans="2:8" ht="45.75" customHeight="1">
      <c r="B5" s="576" t="s">
        <v>659</v>
      </c>
      <c r="C5" s="576"/>
      <c r="D5" s="576"/>
    </row>
    <row r="7" spans="2:8" ht="14.4">
      <c r="B7" s="467" t="s">
        <v>777</v>
      </c>
    </row>
    <row r="8" spans="2:8">
      <c r="B8" s="577" t="s">
        <v>419</v>
      </c>
      <c r="C8" s="577"/>
      <c r="D8" s="577"/>
    </row>
    <row r="9" spans="2:8">
      <c r="B9" s="572" t="s">
        <v>420</v>
      </c>
      <c r="C9" s="573"/>
      <c r="D9" s="574"/>
    </row>
    <row r="10" spans="2:8">
      <c r="B10" s="205" t="s">
        <v>360</v>
      </c>
      <c r="C10" s="206" t="s">
        <v>421</v>
      </c>
      <c r="D10" s="206" t="s">
        <v>422</v>
      </c>
      <c r="E10" s="95"/>
      <c r="F10" s="95"/>
      <c r="G10" s="95"/>
      <c r="H10" s="95"/>
    </row>
    <row r="11" spans="2:8">
      <c r="B11" s="96" t="s">
        <v>552</v>
      </c>
      <c r="C11" s="97">
        <f>379647286+373847316</f>
        <v>753494602</v>
      </c>
      <c r="D11" s="97">
        <v>0</v>
      </c>
    </row>
    <row r="12" spans="2:8">
      <c r="B12" s="96" t="s">
        <v>786</v>
      </c>
      <c r="C12" s="97">
        <v>0</v>
      </c>
      <c r="D12" s="97">
        <v>13241237</v>
      </c>
    </row>
    <row r="13" spans="2:8">
      <c r="B13" s="96" t="s">
        <v>553</v>
      </c>
      <c r="C13" s="97">
        <f>18221651537-1</f>
        <v>18221651536</v>
      </c>
      <c r="D13" s="97">
        <v>0</v>
      </c>
    </row>
    <row r="14" spans="2:8">
      <c r="B14" s="98" t="s">
        <v>741</v>
      </c>
      <c r="C14" s="99">
        <f>SUM(C11:C13)</f>
        <v>18975146138</v>
      </c>
      <c r="D14" s="99">
        <f>SUM(D11:D13)</f>
        <v>13241237</v>
      </c>
      <c r="E14" s="100"/>
      <c r="F14" s="101"/>
    </row>
    <row r="15" spans="2:8">
      <c r="B15" s="98" t="s">
        <v>550</v>
      </c>
      <c r="C15" s="99">
        <v>7820553857</v>
      </c>
      <c r="D15" s="99">
        <v>0</v>
      </c>
    </row>
    <row r="16" spans="2:8">
      <c r="B16" s="102"/>
      <c r="C16" s="92">
        <f>+'Balance Gral. Resol. 30'!D23-'NOTA F - CREDITOS'!C14</f>
        <v>0</v>
      </c>
      <c r="D16" s="103">
        <f>+'Balance Gral. Resol. 30'!D50-'NOTA F - CREDITOS'!D14</f>
        <v>0</v>
      </c>
      <c r="F16" s="101"/>
    </row>
    <row r="17" spans="2:7">
      <c r="B17" s="572" t="s">
        <v>774</v>
      </c>
      <c r="C17" s="573"/>
      <c r="D17" s="574"/>
    </row>
    <row r="18" spans="2:7">
      <c r="B18" s="572" t="s">
        <v>420</v>
      </c>
      <c r="C18" s="573"/>
      <c r="D18" s="574"/>
    </row>
    <row r="19" spans="2:7">
      <c r="B19" s="205" t="s">
        <v>360</v>
      </c>
      <c r="C19" s="206" t="s">
        <v>421</v>
      </c>
      <c r="D19" s="206" t="s">
        <v>422</v>
      </c>
    </row>
    <row r="20" spans="2:7">
      <c r="B20" s="96" t="s">
        <v>423</v>
      </c>
      <c r="C20" s="97">
        <f>+'[6]BG a Set '!$B$47</f>
        <v>290576050</v>
      </c>
      <c r="D20" s="97">
        <v>0</v>
      </c>
      <c r="E20" s="101"/>
    </row>
    <row r="21" spans="2:7" ht="14.4">
      <c r="B21" s="96" t="s">
        <v>574</v>
      </c>
      <c r="C21" s="97">
        <f>+'[6]BG a Set '!$B$46</f>
        <v>346683063</v>
      </c>
      <c r="D21" s="97">
        <v>180390217</v>
      </c>
      <c r="E21" s="347"/>
    </row>
    <row r="22" spans="2:7" ht="14.4">
      <c r="B22" s="96" t="s">
        <v>332</v>
      </c>
      <c r="C22" s="97">
        <v>252526046</v>
      </c>
      <c r="D22" s="97">
        <v>0</v>
      </c>
      <c r="E22" s="347"/>
    </row>
    <row r="23" spans="2:7">
      <c r="B23" s="96" t="s">
        <v>424</v>
      </c>
      <c r="C23" s="97">
        <v>42377428</v>
      </c>
      <c r="D23" s="97">
        <v>0</v>
      </c>
      <c r="E23" s="101"/>
    </row>
    <row r="24" spans="2:7">
      <c r="B24" s="96" t="s">
        <v>787</v>
      </c>
      <c r="C24" s="97">
        <v>491472295</v>
      </c>
      <c r="D24" s="97">
        <v>0</v>
      </c>
    </row>
    <row r="25" spans="2:7">
      <c r="B25" s="96" t="s">
        <v>330</v>
      </c>
      <c r="C25" s="97">
        <f>+'[6]BG a Set '!$B$45</f>
        <v>291978211</v>
      </c>
      <c r="D25" s="97"/>
    </row>
    <row r="26" spans="2:7">
      <c r="B26" s="98" t="str">
        <f>+B14</f>
        <v>Total al 30/09/2021</v>
      </c>
      <c r="C26" s="99">
        <f>SUM(C20:C25)</f>
        <v>1715613093</v>
      </c>
      <c r="D26" s="99">
        <f>SUM(D20:D25)</f>
        <v>180390217</v>
      </c>
      <c r="G26" s="104"/>
    </row>
    <row r="27" spans="2:7">
      <c r="B27" s="98" t="str">
        <f>+B15</f>
        <v>Total al 31/12/2020</v>
      </c>
      <c r="C27" s="99">
        <v>2286612140</v>
      </c>
      <c r="D27" s="97">
        <v>0</v>
      </c>
    </row>
    <row r="28" spans="2:7">
      <c r="B28" s="105"/>
      <c r="C28" s="92">
        <f>+C26-'Balance Gral. Resol. 30'!D24</f>
        <v>0</v>
      </c>
      <c r="D28" s="92">
        <f>+D26-'Balance Gral. Resol. 30'!D51</f>
        <v>0</v>
      </c>
    </row>
    <row r="29" spans="2:7">
      <c r="B29" s="572" t="s">
        <v>789</v>
      </c>
      <c r="C29" s="573"/>
      <c r="D29" s="574"/>
    </row>
    <row r="30" spans="2:7">
      <c r="B30" s="572" t="s">
        <v>420</v>
      </c>
      <c r="C30" s="573"/>
      <c r="D30" s="574"/>
    </row>
    <row r="31" spans="2:7">
      <c r="B31" s="383" t="s">
        <v>360</v>
      </c>
      <c r="C31" s="384" t="s">
        <v>421</v>
      </c>
      <c r="D31" s="384" t="s">
        <v>422</v>
      </c>
    </row>
    <row r="32" spans="2:7">
      <c r="B32" s="96" t="s">
        <v>790</v>
      </c>
      <c r="C32" s="97">
        <v>3200000</v>
      </c>
      <c r="D32" s="97">
        <v>0</v>
      </c>
    </row>
    <row r="33" spans="2:8">
      <c r="B33" s="96"/>
      <c r="C33" s="97">
        <v>0</v>
      </c>
      <c r="D33" s="97">
        <v>0</v>
      </c>
    </row>
    <row r="34" spans="2:8">
      <c r="B34" s="98" t="str">
        <f>+B14</f>
        <v>Total al 30/09/2021</v>
      </c>
      <c r="C34" s="99">
        <f>SUM(C32:C33)</f>
        <v>3200000</v>
      </c>
      <c r="D34" s="99">
        <v>0</v>
      </c>
    </row>
    <row r="35" spans="2:8">
      <c r="B35" s="98" t="str">
        <f>+B15</f>
        <v>Total al 31/12/2020</v>
      </c>
      <c r="C35" s="99">
        <v>0</v>
      </c>
      <c r="D35" s="97">
        <v>0</v>
      </c>
    </row>
    <row r="36" spans="2:8">
      <c r="B36" s="474"/>
      <c r="C36" s="475">
        <f>+C34-'Balance Gral. Resol. 30'!D25</f>
        <v>0</v>
      </c>
      <c r="D36" s="476"/>
    </row>
    <row r="37" spans="2:8">
      <c r="B37" s="572" t="s">
        <v>775</v>
      </c>
      <c r="C37" s="573"/>
      <c r="D37" s="574"/>
    </row>
    <row r="38" spans="2:8">
      <c r="B38" s="572" t="s">
        <v>420</v>
      </c>
      <c r="C38" s="573"/>
      <c r="D38" s="574"/>
    </row>
    <row r="39" spans="2:8">
      <c r="B39" s="205" t="s">
        <v>360</v>
      </c>
      <c r="C39" s="206" t="s">
        <v>421</v>
      </c>
      <c r="D39" s="206" t="s">
        <v>422</v>
      </c>
    </row>
    <row r="40" spans="2:8">
      <c r="B40" s="96" t="s">
        <v>425</v>
      </c>
      <c r="C40" s="97">
        <v>1075145370</v>
      </c>
      <c r="D40" s="97">
        <v>0</v>
      </c>
    </row>
    <row r="41" spans="2:8">
      <c r="B41" s="96" t="s">
        <v>426</v>
      </c>
      <c r="C41" s="97">
        <v>0</v>
      </c>
      <c r="D41" s="97">
        <v>0</v>
      </c>
    </row>
    <row r="42" spans="2:8">
      <c r="B42" s="96" t="s">
        <v>788</v>
      </c>
      <c r="C42" s="97">
        <f>3652424203+35902027</f>
        <v>3688326230</v>
      </c>
      <c r="D42" s="97">
        <v>0</v>
      </c>
    </row>
    <row r="43" spans="2:8">
      <c r="B43" s="98" t="str">
        <f>+B14</f>
        <v>Total al 30/09/2021</v>
      </c>
      <c r="C43" s="99">
        <f>SUM(C40:C42)</f>
        <v>4763471600</v>
      </c>
      <c r="D43" s="97">
        <v>0</v>
      </c>
      <c r="F43" s="93" t="s">
        <v>427</v>
      </c>
    </row>
    <row r="44" spans="2:8">
      <c r="B44" s="98" t="str">
        <f>+B27</f>
        <v>Total al 31/12/2020</v>
      </c>
      <c r="C44" s="99">
        <v>3753015489</v>
      </c>
      <c r="D44" s="97">
        <v>0</v>
      </c>
    </row>
    <row r="45" spans="2:8">
      <c r="B45" s="105"/>
      <c r="C45" s="92">
        <f>+C43-'Balance Gral. Resol. 30'!D27</f>
        <v>0</v>
      </c>
    </row>
    <row r="46" spans="2:8">
      <c r="B46" s="105"/>
    </row>
    <row r="47" spans="2:8">
      <c r="B47" s="105"/>
    </row>
    <row r="48" spans="2:8">
      <c r="B48" s="579" t="s">
        <v>428</v>
      </c>
      <c r="C48" s="579"/>
      <c r="D48" s="579"/>
      <c r="E48" s="579"/>
      <c r="F48" s="579"/>
      <c r="G48" s="579"/>
      <c r="H48" s="579"/>
    </row>
    <row r="49" spans="2:8">
      <c r="B49" s="575" t="s">
        <v>408</v>
      </c>
      <c r="C49" s="578" t="s">
        <v>429</v>
      </c>
      <c r="D49" s="578" t="s">
        <v>430</v>
      </c>
      <c r="E49" s="205" t="s">
        <v>405</v>
      </c>
      <c r="F49" s="205" t="s">
        <v>431</v>
      </c>
      <c r="G49" s="575" t="s">
        <v>432</v>
      </c>
      <c r="H49" s="575"/>
    </row>
    <row r="50" spans="2:8">
      <c r="B50" s="575"/>
      <c r="C50" s="578"/>
      <c r="D50" s="578"/>
      <c r="E50" s="205" t="s">
        <v>433</v>
      </c>
      <c r="F50" s="205" t="s">
        <v>434</v>
      </c>
      <c r="G50" s="575"/>
      <c r="H50" s="575"/>
    </row>
    <row r="51" spans="2:8">
      <c r="B51" s="575"/>
      <c r="C51" s="578"/>
      <c r="D51" s="578"/>
      <c r="E51" s="106"/>
      <c r="F51" s="205" t="s">
        <v>435</v>
      </c>
      <c r="G51" s="575"/>
      <c r="H51" s="575"/>
    </row>
    <row r="52" spans="2:8">
      <c r="B52" s="107"/>
      <c r="C52" s="575" t="s">
        <v>436</v>
      </c>
      <c r="D52" s="575"/>
      <c r="E52" s="575"/>
      <c r="F52" s="575"/>
      <c r="G52" s="575"/>
      <c r="H52" s="205"/>
    </row>
    <row r="53" spans="2:8">
      <c r="B53" s="107" t="s">
        <v>437</v>
      </c>
      <c r="C53" s="575"/>
      <c r="D53" s="575"/>
      <c r="E53" s="575"/>
      <c r="F53" s="575"/>
      <c r="G53" s="575"/>
      <c r="H53" s="107"/>
    </row>
    <row r="54" spans="2:8">
      <c r="B54" s="107" t="s">
        <v>438</v>
      </c>
      <c r="C54" s="575"/>
      <c r="D54" s="575"/>
      <c r="E54" s="575"/>
      <c r="F54" s="575"/>
      <c r="G54" s="575"/>
      <c r="H54" s="107"/>
    </row>
    <row r="55" spans="2:8">
      <c r="B55" s="477"/>
      <c r="C55" s="478"/>
      <c r="D55" s="478"/>
      <c r="E55" s="478"/>
      <c r="F55" s="478"/>
      <c r="G55" s="478"/>
      <c r="H55" s="477"/>
    </row>
    <row r="57" spans="2:8">
      <c r="B57" s="383" t="s">
        <v>360</v>
      </c>
      <c r="C57" s="384" t="s">
        <v>421</v>
      </c>
      <c r="D57" s="384" t="s">
        <v>422</v>
      </c>
    </row>
    <row r="58" spans="2:8">
      <c r="B58" s="98" t="s">
        <v>791</v>
      </c>
      <c r="C58" s="99">
        <f>+C43+C34+C26+C14</f>
        <v>25457430831</v>
      </c>
      <c r="D58" s="99">
        <f>+D43+D34+D26+D14</f>
        <v>193631454</v>
      </c>
    </row>
    <row r="59" spans="2:8">
      <c r="C59" s="92">
        <f>+C58-'Balance Gral. Resol. 30'!D30</f>
        <v>0</v>
      </c>
      <c r="D59" s="92">
        <f>+D58-'Balance Gral. Resol. 30'!D58</f>
        <v>0</v>
      </c>
    </row>
  </sheetData>
  <sheetProtection algorithmName="SHA-512" hashValue="xGBJt3HFgCkIVCkw1wtkhAx10d+NPy5mTWWhLPyHbfLGFmFsoqgQiUgLOZkG1QH9KLmCBOxnjtO1+ZU/vc3oJw==" saltValue="5nwybfb8RzGmifCh+LdVOg==" spinCount="100000" sheet="1" objects="1" scenarios="1"/>
  <mergeCells count="17">
    <mergeCell ref="C52:G54"/>
    <mergeCell ref="B49:B51"/>
    <mergeCell ref="C49:C51"/>
    <mergeCell ref="D49:D51"/>
    <mergeCell ref="B17:D17"/>
    <mergeCell ref="B18:D18"/>
    <mergeCell ref="B37:D37"/>
    <mergeCell ref="G49:G51"/>
    <mergeCell ref="B38:D38"/>
    <mergeCell ref="B48:H48"/>
    <mergeCell ref="B3:D3"/>
    <mergeCell ref="B29:D29"/>
    <mergeCell ref="B30:D30"/>
    <mergeCell ref="H49:H51"/>
    <mergeCell ref="B5:D5"/>
    <mergeCell ref="B8:D8"/>
    <mergeCell ref="B9:D9"/>
  </mergeCells>
  <hyperlinks>
    <hyperlink ref="B7" location="'Balance Gral. Resol. 30'!A1" display="Balance Gral. Resol. 6'!A1" xr:uid="{A70263A5-CD8A-49BB-A6B2-52C00B680464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2">
    <tabColor rgb="FF002060"/>
  </sheetPr>
  <dimension ref="B6:Q23"/>
  <sheetViews>
    <sheetView showGridLines="0" topLeftCell="B1" zoomScaleNormal="100" workbookViewId="0">
      <pane xSplit="1" ySplit="12" topLeftCell="C13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baseColWidth="10" defaultColWidth="11.44140625" defaultRowHeight="12"/>
  <cols>
    <col min="1" max="1" width="2.44140625" style="25" customWidth="1"/>
    <col min="2" max="2" width="23" style="108" customWidth="1"/>
    <col min="3" max="3" width="20.6640625" style="25" bestFit="1" customWidth="1"/>
    <col min="4" max="4" width="14.109375" style="25" bestFit="1" customWidth="1"/>
    <col min="5" max="5" width="5.44140625" style="25" bestFit="1" customWidth="1"/>
    <col min="6" max="6" width="10.33203125" style="25" bestFit="1" customWidth="1"/>
    <col min="7" max="7" width="14.44140625" style="25" bestFit="1" customWidth="1"/>
    <col min="8" max="8" width="13" style="25" bestFit="1" customWidth="1"/>
    <col min="9" max="9" width="10.6640625" style="25" bestFit="1" customWidth="1"/>
    <col min="10" max="10" width="5.44140625" style="25" bestFit="1" customWidth="1"/>
    <col min="11" max="11" width="7.44140625" style="25" bestFit="1" customWidth="1"/>
    <col min="12" max="12" width="13.109375" style="25" bestFit="1" customWidth="1"/>
    <col min="13" max="13" width="14.109375" style="25" bestFit="1" customWidth="1"/>
    <col min="14" max="14" width="10.33203125" style="25" customWidth="1"/>
    <col min="15" max="16384" width="11.44140625" style="25"/>
  </cols>
  <sheetData>
    <row r="6" spans="2:16" s="199" customFormat="1" ht="20.25" customHeight="1">
      <c r="B6" s="108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110"/>
    </row>
    <row r="7" spans="2:16" ht="15.6">
      <c r="B7" s="560" t="s">
        <v>792</v>
      </c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112"/>
    </row>
    <row r="8" spans="2:16">
      <c r="B8" s="108" t="s">
        <v>793</v>
      </c>
      <c r="C8" s="109"/>
      <c r="N8" s="114"/>
      <c r="O8" s="115"/>
    </row>
    <row r="9" spans="2:16">
      <c r="C9" s="109"/>
      <c r="N9" s="114"/>
      <c r="O9" s="115"/>
    </row>
    <row r="10" spans="2:16" ht="14.4">
      <c r="B10" s="479" t="s">
        <v>778</v>
      </c>
      <c r="C10" s="109"/>
      <c r="N10" s="112"/>
    </row>
    <row r="11" spans="2:16">
      <c r="B11" s="43"/>
      <c r="C11" s="202" t="s">
        <v>439</v>
      </c>
      <c r="D11" s="203"/>
      <c r="E11" s="203"/>
      <c r="F11" s="203"/>
      <c r="G11" s="203"/>
      <c r="H11" s="202" t="s">
        <v>440</v>
      </c>
      <c r="I11" s="203"/>
      <c r="J11" s="203"/>
      <c r="K11" s="203"/>
      <c r="L11" s="203"/>
      <c r="M11" s="204"/>
      <c r="N11" s="112"/>
    </row>
    <row r="12" spans="2:16" ht="36">
      <c r="B12" s="35" t="s">
        <v>275</v>
      </c>
      <c r="C12" s="111" t="s">
        <v>441</v>
      </c>
      <c r="D12" s="35" t="s">
        <v>442</v>
      </c>
      <c r="E12" s="35" t="s">
        <v>443</v>
      </c>
      <c r="F12" s="35" t="s">
        <v>444</v>
      </c>
      <c r="G12" s="35" t="s">
        <v>445</v>
      </c>
      <c r="H12" s="35" t="s">
        <v>446</v>
      </c>
      <c r="I12" s="35" t="s">
        <v>442</v>
      </c>
      <c r="J12" s="35" t="s">
        <v>443</v>
      </c>
      <c r="K12" s="35" t="s">
        <v>444</v>
      </c>
      <c r="L12" s="35" t="s">
        <v>447</v>
      </c>
      <c r="M12" s="35" t="s">
        <v>448</v>
      </c>
      <c r="N12" s="114"/>
    </row>
    <row r="13" spans="2:16">
      <c r="B13" s="113" t="s">
        <v>449</v>
      </c>
      <c r="C13" s="97">
        <v>463921397</v>
      </c>
      <c r="D13" s="53">
        <f>+G13-C13</f>
        <v>23146454</v>
      </c>
      <c r="E13" s="53">
        <v>0</v>
      </c>
      <c r="F13" s="53">
        <v>0</v>
      </c>
      <c r="G13" s="53">
        <v>487067851</v>
      </c>
      <c r="H13" s="53">
        <v>0</v>
      </c>
      <c r="I13" s="97">
        <v>0</v>
      </c>
      <c r="J13" s="97">
        <v>0</v>
      </c>
      <c r="K13" s="97">
        <v>0</v>
      </c>
      <c r="L13" s="53">
        <v>133582971</v>
      </c>
      <c r="M13" s="53">
        <f>+G13-L13+1</f>
        <v>353484881</v>
      </c>
      <c r="N13" s="112"/>
      <c r="O13" s="55"/>
      <c r="P13" s="55"/>
    </row>
    <row r="14" spans="2:16">
      <c r="B14" s="116" t="s">
        <v>450</v>
      </c>
      <c r="C14" s="97">
        <v>210957210</v>
      </c>
      <c r="D14" s="53">
        <f t="shared" ref="D14:D20" si="0">+G14-C14</f>
        <v>0</v>
      </c>
      <c r="E14" s="53">
        <v>0</v>
      </c>
      <c r="F14" s="53">
        <v>0</v>
      </c>
      <c r="G14" s="53">
        <v>210957210</v>
      </c>
      <c r="H14" s="97">
        <v>19490136.496434197</v>
      </c>
      <c r="I14" s="97">
        <v>0</v>
      </c>
      <c r="J14" s="97">
        <v>0</v>
      </c>
      <c r="K14" s="97">
        <v>0</v>
      </c>
      <c r="L14" s="97">
        <v>53243290</v>
      </c>
      <c r="M14" s="53">
        <f t="shared" ref="M14:M21" si="1">+G14-L14</f>
        <v>157713920</v>
      </c>
      <c r="N14" s="112"/>
      <c r="O14" s="55"/>
      <c r="P14" s="55"/>
    </row>
    <row r="15" spans="2:16">
      <c r="B15" s="116" t="s">
        <v>451</v>
      </c>
      <c r="C15" s="97">
        <v>7058431</v>
      </c>
      <c r="D15" s="53">
        <f t="shared" si="0"/>
        <v>0</v>
      </c>
      <c r="E15" s="53">
        <v>0</v>
      </c>
      <c r="F15" s="53">
        <v>0</v>
      </c>
      <c r="G15" s="53">
        <v>7058431</v>
      </c>
      <c r="H15" s="53">
        <v>3731237.8583492143</v>
      </c>
      <c r="I15" s="97">
        <v>0</v>
      </c>
      <c r="J15" s="97">
        <v>0</v>
      </c>
      <c r="K15" s="97">
        <v>0</v>
      </c>
      <c r="L15" s="53">
        <v>3999976</v>
      </c>
      <c r="M15" s="53">
        <f t="shared" si="1"/>
        <v>3058455</v>
      </c>
      <c r="N15" s="112"/>
      <c r="O15" s="55"/>
      <c r="P15" s="55"/>
    </row>
    <row r="16" spans="2:16">
      <c r="B16" s="116" t="s">
        <v>452</v>
      </c>
      <c r="C16" s="97">
        <v>31158573</v>
      </c>
      <c r="D16" s="53">
        <f t="shared" si="0"/>
        <v>0</v>
      </c>
      <c r="E16" s="53">
        <v>0</v>
      </c>
      <c r="F16" s="53">
        <v>0</v>
      </c>
      <c r="G16" s="53">
        <v>31158573</v>
      </c>
      <c r="H16" s="53">
        <v>8635807.3087511994</v>
      </c>
      <c r="I16" s="97">
        <v>0</v>
      </c>
      <c r="J16" s="97">
        <v>0</v>
      </c>
      <c r="K16" s="97">
        <v>0</v>
      </c>
      <c r="L16" s="53">
        <v>11397645</v>
      </c>
      <c r="M16" s="53">
        <f t="shared" si="1"/>
        <v>19760928</v>
      </c>
      <c r="N16" s="112"/>
      <c r="O16" s="55"/>
      <c r="P16" s="55"/>
    </row>
    <row r="17" spans="2:17">
      <c r="B17" s="116" t="s">
        <v>453</v>
      </c>
      <c r="C17" s="97">
        <v>288301652</v>
      </c>
      <c r="D17" s="53">
        <f>+G17-C17+62267988</f>
        <v>136685305</v>
      </c>
      <c r="E17" s="53"/>
      <c r="F17" s="53">
        <v>0</v>
      </c>
      <c r="G17" s="53">
        <v>362718969</v>
      </c>
      <c r="H17" s="53">
        <v>166982949.2368944</v>
      </c>
      <c r="I17" s="97">
        <v>0</v>
      </c>
      <c r="J17" s="97">
        <v>0</v>
      </c>
      <c r="K17" s="97">
        <v>0</v>
      </c>
      <c r="L17" s="53">
        <v>186021489</v>
      </c>
      <c r="M17" s="53">
        <f t="shared" si="1"/>
        <v>176697480</v>
      </c>
      <c r="N17" s="112"/>
      <c r="O17" s="55"/>
      <c r="P17" s="55"/>
      <c r="Q17" s="55"/>
    </row>
    <row r="18" spans="2:17">
      <c r="B18" s="116" t="s">
        <v>454</v>
      </c>
      <c r="C18" s="97">
        <v>1953391900</v>
      </c>
      <c r="D18" s="53">
        <f>+G18-C18</f>
        <v>0</v>
      </c>
      <c r="E18" s="97">
        <v>0</v>
      </c>
      <c r="F18" s="97">
        <v>0</v>
      </c>
      <c r="G18" s="53">
        <v>1953391900</v>
      </c>
      <c r="H18" s="97">
        <v>31867918</v>
      </c>
      <c r="I18" s="97">
        <v>0</v>
      </c>
      <c r="J18" s="97">
        <v>0</v>
      </c>
      <c r="K18" s="97">
        <v>0</v>
      </c>
      <c r="L18" s="53">
        <v>227319227</v>
      </c>
      <c r="M18" s="53">
        <f t="shared" si="1"/>
        <v>1726072673</v>
      </c>
      <c r="N18" s="114"/>
      <c r="O18" s="115"/>
      <c r="P18" s="55"/>
    </row>
    <row r="19" spans="2:17">
      <c r="B19" s="116" t="s">
        <v>455</v>
      </c>
      <c r="C19" s="53">
        <v>10148820543</v>
      </c>
      <c r="D19" s="53">
        <f t="shared" si="0"/>
        <v>0</v>
      </c>
      <c r="E19" s="97"/>
      <c r="F19" s="97"/>
      <c r="G19" s="53">
        <v>10148820543</v>
      </c>
      <c r="H19" s="97"/>
      <c r="I19" s="97">
        <v>0</v>
      </c>
      <c r="J19" s="97">
        <v>0</v>
      </c>
      <c r="K19" s="97">
        <v>0</v>
      </c>
      <c r="L19" s="53">
        <v>0</v>
      </c>
      <c r="M19" s="53">
        <f>+G19+L19</f>
        <v>10148820543</v>
      </c>
      <c r="N19" s="114"/>
      <c r="O19" s="55"/>
      <c r="P19" s="55"/>
    </row>
    <row r="20" spans="2:17">
      <c r="B20" s="116" t="s">
        <v>456</v>
      </c>
      <c r="C20" s="53">
        <v>0</v>
      </c>
      <c r="D20" s="53">
        <f t="shared" si="0"/>
        <v>0</v>
      </c>
      <c r="E20" s="97">
        <v>0</v>
      </c>
      <c r="F20" s="97">
        <v>0</v>
      </c>
      <c r="G20" s="53">
        <v>0</v>
      </c>
      <c r="H20" s="53"/>
      <c r="I20" s="97">
        <v>0</v>
      </c>
      <c r="J20" s="97">
        <f>+H20</f>
        <v>0</v>
      </c>
      <c r="K20" s="97">
        <v>0</v>
      </c>
      <c r="L20" s="97">
        <v>0</v>
      </c>
      <c r="M20" s="53">
        <f>+G20+L20</f>
        <v>0</v>
      </c>
      <c r="N20" s="112"/>
      <c r="P20" s="55"/>
    </row>
    <row r="21" spans="2:17">
      <c r="B21" s="116" t="s">
        <v>457</v>
      </c>
      <c r="C21" s="97">
        <v>11010456</v>
      </c>
      <c r="D21" s="53"/>
      <c r="E21" s="97"/>
      <c r="F21" s="97"/>
      <c r="G21" s="53">
        <v>11010456</v>
      </c>
      <c r="H21" s="97">
        <v>0</v>
      </c>
      <c r="I21" s="97">
        <v>0</v>
      </c>
      <c r="J21" s="97">
        <v>0</v>
      </c>
      <c r="K21" s="97">
        <v>0</v>
      </c>
      <c r="L21" s="97">
        <v>628707</v>
      </c>
      <c r="M21" s="53">
        <f t="shared" si="1"/>
        <v>10381749</v>
      </c>
      <c r="O21" s="55"/>
      <c r="P21" s="55"/>
    </row>
    <row r="22" spans="2:17">
      <c r="B22" s="117" t="str">
        <f>+'NOTA F - CREDITOS'!B26</f>
        <v>Total al 30/09/2021</v>
      </c>
      <c r="C22" s="118">
        <f>SUM(C13:C21)</f>
        <v>13114620162</v>
      </c>
      <c r="D22" s="118">
        <f>SUM(D13:D21)</f>
        <v>159831759</v>
      </c>
      <c r="E22" s="97">
        <v>0</v>
      </c>
      <c r="F22" s="97">
        <v>0</v>
      </c>
      <c r="G22" s="118">
        <f>SUM(G13:G21)</f>
        <v>13212183933</v>
      </c>
      <c r="H22" s="118">
        <f>SUM(H13:H21)</f>
        <v>230708048.90042901</v>
      </c>
      <c r="I22" s="118">
        <f>SUM(I13:I21)</f>
        <v>0</v>
      </c>
      <c r="J22" s="97">
        <v>0</v>
      </c>
      <c r="K22" s="97">
        <v>0</v>
      </c>
      <c r="L22" s="118">
        <f>SUM(L13:L21)</f>
        <v>616193305</v>
      </c>
      <c r="M22" s="118">
        <f>SUM(M13:M21)</f>
        <v>12595990629</v>
      </c>
      <c r="O22" s="55">
        <f>+M22-'Balance Gral. Resol. 30'!D62</f>
        <v>1</v>
      </c>
      <c r="P22" s="55"/>
    </row>
    <row r="23" spans="2:17">
      <c r="B23" s="117" t="str">
        <f>+'NOTA F - CREDITOS'!B44</f>
        <v>Total al 31/12/2020</v>
      </c>
      <c r="C23" s="118">
        <v>12721001483</v>
      </c>
      <c r="D23" s="118">
        <v>389593861</v>
      </c>
      <c r="E23" s="97">
        <v>0</v>
      </c>
      <c r="F23" s="118">
        <v>0</v>
      </c>
      <c r="G23" s="118">
        <v>13114620162</v>
      </c>
      <c r="H23" s="118">
        <v>322801959.00756049</v>
      </c>
      <c r="I23" s="118">
        <v>0</v>
      </c>
      <c r="J23" s="97">
        <v>0</v>
      </c>
      <c r="K23" s="97">
        <v>0</v>
      </c>
      <c r="L23" s="118">
        <v>616193305</v>
      </c>
      <c r="M23" s="118">
        <v>12498426858</v>
      </c>
    </row>
  </sheetData>
  <sheetProtection algorithmName="SHA-512" hashValue="mSfHPHNWtHqIisFeQNdTYyr721XK/ezalyDv3CDetols4fvYicjzyaQadBPXIqYnk+KlsPGOIyOsolYSviNoVA==" saltValue="J1lWSgE5q3f/nEYKYMgPVw==" spinCount="100000" sheet="1" objects="1" scenarios="1"/>
  <mergeCells count="1">
    <mergeCell ref="B7:M7"/>
  </mergeCells>
  <hyperlinks>
    <hyperlink ref="B10" location="'Balance Gral. Resol. 30'!A1" display="'Balance Gral. Resol. 30'!A1" xr:uid="{09A36AD9-7567-45E8-8956-2654B072CED5}"/>
  </hyperlink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>
    <tabColor rgb="FF002060"/>
  </sheetPr>
  <dimension ref="B1:H18"/>
  <sheetViews>
    <sheetView showGridLines="0" zoomScale="134" workbookViewId="0">
      <selection activeCell="I22" sqref="I22"/>
    </sheetView>
  </sheetViews>
  <sheetFormatPr baseColWidth="10" defaultColWidth="20.109375" defaultRowHeight="12"/>
  <cols>
    <col min="1" max="1" width="6.33203125" style="25" customWidth="1"/>
    <col min="2" max="2" width="28.33203125" style="25" bestFit="1" customWidth="1"/>
    <col min="3" max="3" width="13.44140625" style="25" bestFit="1" customWidth="1"/>
    <col min="4" max="4" width="12.33203125" style="25" bestFit="1" customWidth="1"/>
    <col min="5" max="5" width="16.33203125" style="25" bestFit="1" customWidth="1"/>
    <col min="6" max="6" width="17.6640625" style="25" bestFit="1" customWidth="1"/>
    <col min="7" max="16384" width="20.109375" style="25"/>
  </cols>
  <sheetData>
    <row r="1" spans="2:8" ht="41.4" customHeight="1"/>
    <row r="3" spans="2:8" ht="15.6">
      <c r="B3" s="560" t="s">
        <v>784</v>
      </c>
      <c r="C3" s="560"/>
      <c r="D3" s="560"/>
      <c r="E3" s="560"/>
      <c r="F3" s="560"/>
    </row>
    <row r="4" spans="2:8" ht="14.4">
      <c r="B4" s="580" t="s">
        <v>785</v>
      </c>
      <c r="C4" s="580"/>
      <c r="D4" s="580"/>
      <c r="E4" s="580"/>
      <c r="F4" s="580"/>
    </row>
    <row r="5" spans="2:8" ht="14.4">
      <c r="B5" s="385"/>
      <c r="C5" s="385"/>
      <c r="D5" s="385"/>
      <c r="E5" s="385"/>
      <c r="F5" s="385"/>
    </row>
    <row r="6" spans="2:8" ht="14.4">
      <c r="B6" s="480" t="s">
        <v>778</v>
      </c>
    </row>
    <row r="7" spans="2:8">
      <c r="B7" s="200" t="s">
        <v>360</v>
      </c>
      <c r="C7" s="200" t="s">
        <v>458</v>
      </c>
      <c r="D7" s="200" t="s">
        <v>459</v>
      </c>
      <c r="E7" s="200" t="s">
        <v>460</v>
      </c>
      <c r="F7" s="200" t="s">
        <v>461</v>
      </c>
    </row>
    <row r="8" spans="2:8">
      <c r="B8" s="33" t="s">
        <v>660</v>
      </c>
      <c r="C8" s="53">
        <v>6313088</v>
      </c>
      <c r="D8" s="53">
        <f>35213534-C8</f>
        <v>28900446</v>
      </c>
      <c r="E8" s="97">
        <v>21096545</v>
      </c>
      <c r="F8" s="53">
        <f>+C8+D8-E8</f>
        <v>14116989</v>
      </c>
      <c r="G8" s="55"/>
      <c r="H8" s="115"/>
    </row>
    <row r="9" spans="2:8">
      <c r="B9" s="33" t="s">
        <v>661</v>
      </c>
      <c r="C9" s="53">
        <v>748414347</v>
      </c>
      <c r="D9" s="53">
        <f>1221951383-C9</f>
        <v>473537036</v>
      </c>
      <c r="E9" s="97">
        <v>1035347468</v>
      </c>
      <c r="F9" s="53">
        <f>+C9+D9-E9</f>
        <v>186603915</v>
      </c>
      <c r="G9" s="120"/>
      <c r="H9" s="77"/>
    </row>
    <row r="10" spans="2:8">
      <c r="B10" s="33" t="s">
        <v>662</v>
      </c>
      <c r="C10" s="53">
        <v>0</v>
      </c>
      <c r="D10" s="53">
        <v>91829885</v>
      </c>
      <c r="E10" s="97">
        <v>91829885</v>
      </c>
      <c r="F10" s="53">
        <f>+C10+D10-E10</f>
        <v>0</v>
      </c>
      <c r="G10" s="120"/>
      <c r="H10" s="77"/>
    </row>
    <row r="11" spans="2:8">
      <c r="B11" s="33" t="s">
        <v>687</v>
      </c>
      <c r="C11" s="53">
        <v>0</v>
      </c>
      <c r="D11" s="53">
        <v>2216130</v>
      </c>
      <c r="E11" s="97">
        <v>2216130</v>
      </c>
      <c r="F11" s="53">
        <f>+C11+D11-E11</f>
        <v>0</v>
      </c>
      <c r="G11" s="120"/>
      <c r="H11" s="77"/>
    </row>
    <row r="12" spans="2:8">
      <c r="B12" s="121" t="str">
        <f>+'NOTA G BIENES DE USO'!B22</f>
        <v>Total al 30/09/2021</v>
      </c>
      <c r="C12" s="118">
        <f>SUM(C8:C11)</f>
        <v>754727435</v>
      </c>
      <c r="D12" s="118">
        <f>SUM(D8:D11)</f>
        <v>596483497</v>
      </c>
      <c r="E12" s="118">
        <f>SUM(E8:E11)</f>
        <v>1150490028</v>
      </c>
      <c r="F12" s="118">
        <f>SUM(F8:F11)</f>
        <v>200720904</v>
      </c>
      <c r="G12" s="115"/>
      <c r="H12" s="115"/>
    </row>
    <row r="13" spans="2:8">
      <c r="B13" s="121" t="str">
        <f>+'NOTA G BIENES DE USO'!B23</f>
        <v>Total al 31/12/2020</v>
      </c>
      <c r="C13" s="118">
        <v>244281801</v>
      </c>
      <c r="D13" s="118">
        <v>1313398854</v>
      </c>
      <c r="E13" s="118">
        <v>802953220</v>
      </c>
      <c r="F13" s="118">
        <v>754727435</v>
      </c>
      <c r="G13" s="115"/>
    </row>
    <row r="15" spans="2:8" ht="13.8">
      <c r="E15" s="308"/>
      <c r="F15" s="55">
        <f>+F12-'Balance Gral. Resol. 30'!D37</f>
        <v>0</v>
      </c>
    </row>
    <row r="16" spans="2:8" ht="13.8">
      <c r="E16" s="309"/>
    </row>
    <row r="17" spans="5:5" ht="13.8">
      <c r="E17" s="309"/>
    </row>
    <row r="18" spans="5:5">
      <c r="E18" s="115"/>
    </row>
  </sheetData>
  <sheetProtection algorithmName="SHA-512" hashValue="XGmBklmRbQ4vHXsopv+bz5ZEFHYeMVCQwwLnESRAsNro5RRQ8JcGJW2x2ksBkIfu4jz8pL43AEOTt/WZ4prBvQ==" saltValue="D7E1kSfJgBM9oosOK/oY4A==" spinCount="100000" sheet="1" objects="1" scenarios="1"/>
  <mergeCells count="2">
    <mergeCell ref="B3:F3"/>
    <mergeCell ref="B4:F4"/>
  </mergeCells>
  <hyperlinks>
    <hyperlink ref="B6" location="'Balance Gral. Resol. 30'!A1" display="'Balance Gral. Resol. 30'!A1" xr:uid="{D7482E15-6E86-4E54-9958-2FF014DD5343}"/>
  </hyperlink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tabColor rgb="FF002060"/>
  </sheetPr>
  <dimension ref="B1:N31"/>
  <sheetViews>
    <sheetView showGridLines="0" workbookViewId="0">
      <selection activeCell="I22" sqref="I22"/>
    </sheetView>
  </sheetViews>
  <sheetFormatPr baseColWidth="10" defaultColWidth="11.44140625" defaultRowHeight="12"/>
  <cols>
    <col min="1" max="1" width="6.88671875" style="25" customWidth="1"/>
    <col min="2" max="2" width="29.44140625" style="25" customWidth="1"/>
    <col min="3" max="3" width="41.33203125" style="25" customWidth="1"/>
    <col min="4" max="4" width="22" style="25" customWidth="1"/>
    <col min="5" max="5" width="11.44140625" style="25"/>
    <col min="6" max="7" width="13.44140625" style="25" bestFit="1" customWidth="1"/>
    <col min="8" max="8" width="12" style="25" bestFit="1" customWidth="1"/>
    <col min="9" max="16384" width="11.44140625" style="25"/>
  </cols>
  <sheetData>
    <row r="1" spans="2:6" ht="33.6" customHeight="1"/>
    <row r="4" spans="2:6" ht="15.6">
      <c r="B4" s="581" t="s">
        <v>794</v>
      </c>
      <c r="C4" s="581"/>
      <c r="D4" s="581"/>
    </row>
    <row r="5" spans="2:6">
      <c r="B5" s="25" t="s">
        <v>795</v>
      </c>
    </row>
    <row r="7" spans="2:6" ht="14.4">
      <c r="B7" s="480" t="s">
        <v>778</v>
      </c>
    </row>
    <row r="8" spans="2:6">
      <c r="B8" s="35" t="s">
        <v>462</v>
      </c>
      <c r="C8" s="35" t="s">
        <v>360</v>
      </c>
      <c r="D8" s="122" t="s">
        <v>798</v>
      </c>
    </row>
    <row r="9" spans="2:6">
      <c r="B9" s="116" t="s">
        <v>463</v>
      </c>
      <c r="C9" s="116" t="s">
        <v>464</v>
      </c>
      <c r="D9" s="123">
        <v>900000</v>
      </c>
    </row>
    <row r="10" spans="2:6">
      <c r="B10" s="116" t="s">
        <v>463</v>
      </c>
      <c r="C10" s="116" t="s">
        <v>799</v>
      </c>
      <c r="D10" s="123">
        <f>9662267-D9</f>
        <v>8762267</v>
      </c>
    </row>
    <row r="11" spans="2:6">
      <c r="B11" s="116" t="s">
        <v>465</v>
      </c>
      <c r="C11" s="116" t="s">
        <v>466</v>
      </c>
      <c r="D11" s="124">
        <v>104084949</v>
      </c>
    </row>
    <row r="12" spans="2:6">
      <c r="B12" s="116" t="s">
        <v>467</v>
      </c>
      <c r="C12" s="116" t="s">
        <v>468</v>
      </c>
      <c r="D12" s="124">
        <v>1912364278</v>
      </c>
      <c r="E12" s="115"/>
      <c r="F12" s="115"/>
    </row>
    <row r="13" spans="2:6">
      <c r="B13" s="116" t="s">
        <v>121</v>
      </c>
      <c r="C13" s="116" t="s">
        <v>121</v>
      </c>
      <c r="D13" s="124">
        <v>27866433</v>
      </c>
    </row>
    <row r="14" spans="2:6">
      <c r="B14" s="116" t="s">
        <v>469</v>
      </c>
      <c r="C14" s="116" t="s">
        <v>469</v>
      </c>
      <c r="D14" s="124">
        <v>76495056</v>
      </c>
    </row>
    <row r="15" spans="2:6">
      <c r="B15" s="116" t="s">
        <v>796</v>
      </c>
      <c r="C15" s="116" t="s">
        <v>797</v>
      </c>
      <c r="D15" s="124">
        <v>4448595000</v>
      </c>
    </row>
    <row r="16" spans="2:6">
      <c r="B16" s="121" t="str">
        <f>+'NOTA H CARGOS DIFERIDOS'!B12</f>
        <v>Total al 30/09/2021</v>
      </c>
      <c r="C16" s="121"/>
      <c r="D16" s="125">
        <f>SUM(D9:D15)</f>
        <v>6579067983</v>
      </c>
      <c r="E16" s="115"/>
      <c r="F16" s="115"/>
    </row>
    <row r="17" spans="2:14">
      <c r="B17" s="121" t="str">
        <f>+'NOTA H CARGOS DIFERIDOS'!B13</f>
        <v>Total al 31/12/2020</v>
      </c>
      <c r="C17" s="125"/>
      <c r="D17" s="125">
        <v>1218844177</v>
      </c>
      <c r="E17" s="115"/>
    </row>
    <row r="19" spans="2:14">
      <c r="D19" s="39">
        <f>+D16-'Balance Gral. Resol. 30'!D70</f>
        <v>0</v>
      </c>
    </row>
    <row r="21" spans="2:14">
      <c r="G21" s="39"/>
      <c r="K21" s="25" t="s">
        <v>400</v>
      </c>
      <c r="N21" s="25" t="s">
        <v>400</v>
      </c>
    </row>
    <row r="22" spans="2:14">
      <c r="G22" s="39"/>
      <c r="K22" s="25" t="s">
        <v>400</v>
      </c>
      <c r="N22" s="25" t="s">
        <v>400</v>
      </c>
    </row>
    <row r="23" spans="2:14">
      <c r="G23" s="39"/>
      <c r="K23" s="25" t="s">
        <v>400</v>
      </c>
      <c r="N23" s="25" t="s">
        <v>400</v>
      </c>
    </row>
    <row r="24" spans="2:14">
      <c r="G24" s="39"/>
      <c r="K24" s="25" t="s">
        <v>400</v>
      </c>
      <c r="N24" s="25" t="s">
        <v>400</v>
      </c>
    </row>
    <row r="25" spans="2:14">
      <c r="G25" s="39"/>
      <c r="H25" s="55"/>
      <c r="K25" s="25" t="s">
        <v>400</v>
      </c>
      <c r="N25" s="25" t="s">
        <v>400</v>
      </c>
    </row>
    <row r="26" spans="2:14">
      <c r="G26" s="39"/>
      <c r="K26" s="25" t="s">
        <v>400</v>
      </c>
      <c r="N26" s="25" t="s">
        <v>400</v>
      </c>
    </row>
    <row r="27" spans="2:14">
      <c r="G27" s="39"/>
      <c r="H27" s="55"/>
      <c r="K27" s="25" t="s">
        <v>400</v>
      </c>
      <c r="N27" s="25" t="s">
        <v>400</v>
      </c>
    </row>
    <row r="28" spans="2:14">
      <c r="G28" s="39"/>
      <c r="K28" s="25" t="s">
        <v>400</v>
      </c>
      <c r="N28" s="25" t="s">
        <v>400</v>
      </c>
    </row>
    <row r="29" spans="2:14">
      <c r="G29" s="39"/>
      <c r="H29" s="55"/>
      <c r="K29" s="25" t="s">
        <v>400</v>
      </c>
      <c r="N29" s="25" t="s">
        <v>400</v>
      </c>
    </row>
    <row r="30" spans="2:14">
      <c r="G30" s="39"/>
      <c r="K30" s="25" t="s">
        <v>400</v>
      </c>
      <c r="N30" s="25" t="s">
        <v>400</v>
      </c>
    </row>
    <row r="31" spans="2:14">
      <c r="G31" s="39"/>
      <c r="H31" s="55"/>
      <c r="K31" s="25" t="s">
        <v>400</v>
      </c>
      <c r="N31" s="25" t="s">
        <v>400</v>
      </c>
    </row>
  </sheetData>
  <sheetProtection algorithmName="SHA-512" hashValue="X4Ws5t179WfYUIkgGgAdqHkbSjWgxHtUQA1+pbjhurbKn89/dYVeHjBPMf/kb472xa65y11iXtzBNJx4OGVo9w==" saltValue="Vn8w0VyJYjbrQalt9pPX/A==" spinCount="100000" sheet="1" objects="1" scenarios="1"/>
  <mergeCells count="1">
    <mergeCell ref="B4:D4"/>
  </mergeCells>
  <hyperlinks>
    <hyperlink ref="B7" location="'Balance Gral. Resol. 30'!A1" display="'Balance Gral. Resol. 30'!A1" xr:uid="{9E1CC5ED-94AF-4099-85D1-1D9A26A2412D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tabColor rgb="FF002060"/>
  </sheetPr>
  <dimension ref="B1:G13"/>
  <sheetViews>
    <sheetView showGridLines="0" workbookViewId="0">
      <selection activeCell="I22" sqref="I22"/>
    </sheetView>
  </sheetViews>
  <sheetFormatPr baseColWidth="10" defaultColWidth="11.44140625" defaultRowHeight="12"/>
  <cols>
    <col min="1" max="1" width="8.33203125" style="25" customWidth="1"/>
    <col min="2" max="2" width="37.88671875" style="25" bestFit="1" customWidth="1"/>
    <col min="3" max="3" width="11.33203125" style="25" bestFit="1" customWidth="1"/>
    <col min="4" max="4" width="10.33203125" style="25" bestFit="1" customWidth="1"/>
    <col min="5" max="5" width="14" style="25" bestFit="1" customWidth="1"/>
    <col min="6" max="6" width="14.88671875" style="25" bestFit="1" customWidth="1"/>
    <col min="7" max="7" width="8.109375" style="25" customWidth="1"/>
    <col min="8" max="16384" width="11.44140625" style="25"/>
  </cols>
  <sheetData>
    <row r="1" spans="2:7" ht="42" customHeight="1">
      <c r="B1" s="109"/>
    </row>
    <row r="2" spans="2:7">
      <c r="B2" s="109"/>
    </row>
    <row r="3" spans="2:7">
      <c r="B3" s="109" t="s">
        <v>564</v>
      </c>
    </row>
    <row r="4" spans="2:7">
      <c r="B4" s="109"/>
    </row>
    <row r="5" spans="2:7" ht="14.4">
      <c r="B5" s="480" t="s">
        <v>778</v>
      </c>
    </row>
    <row r="6" spans="2:7">
      <c r="B6" s="119" t="s">
        <v>360</v>
      </c>
      <c r="C6" s="119" t="s">
        <v>458</v>
      </c>
      <c r="D6" s="119" t="s">
        <v>459</v>
      </c>
      <c r="E6" s="119" t="s">
        <v>460</v>
      </c>
      <c r="F6" s="119" t="s">
        <v>461</v>
      </c>
    </row>
    <row r="7" spans="2:7">
      <c r="B7" s="33" t="s">
        <v>346</v>
      </c>
      <c r="C7" s="126">
        <v>0</v>
      </c>
      <c r="D7" s="126">
        <v>0</v>
      </c>
      <c r="E7" s="126">
        <v>0</v>
      </c>
      <c r="F7" s="126">
        <f t="shared" ref="F7:F12" si="0">+C7+D7-E7</f>
        <v>0</v>
      </c>
    </row>
    <row r="8" spans="2:7">
      <c r="B8" s="33" t="s">
        <v>470</v>
      </c>
      <c r="C8" s="126">
        <v>0</v>
      </c>
      <c r="D8" s="126">
        <v>0</v>
      </c>
      <c r="E8" s="126">
        <v>0</v>
      </c>
      <c r="F8" s="126">
        <f t="shared" si="0"/>
        <v>0</v>
      </c>
    </row>
    <row r="9" spans="2:7">
      <c r="B9" s="33" t="s">
        <v>471</v>
      </c>
      <c r="C9" s="126">
        <v>0</v>
      </c>
      <c r="D9" s="126">
        <v>0</v>
      </c>
      <c r="E9" s="126">
        <v>0</v>
      </c>
      <c r="F9" s="126">
        <f t="shared" si="0"/>
        <v>0</v>
      </c>
    </row>
    <row r="10" spans="2:7">
      <c r="B10" s="33" t="s">
        <v>472</v>
      </c>
      <c r="C10" s="126">
        <v>0</v>
      </c>
      <c r="D10" s="126">
        <v>0</v>
      </c>
      <c r="E10" s="126">
        <v>0</v>
      </c>
      <c r="F10" s="126">
        <f t="shared" si="0"/>
        <v>0</v>
      </c>
    </row>
    <row r="11" spans="2:7">
      <c r="B11" s="33" t="s">
        <v>473</v>
      </c>
      <c r="C11" s="126">
        <v>0</v>
      </c>
      <c r="D11" s="126">
        <v>0</v>
      </c>
      <c r="E11" s="126">
        <v>0</v>
      </c>
      <c r="F11" s="126">
        <f t="shared" si="0"/>
        <v>0</v>
      </c>
    </row>
    <row r="12" spans="2:7">
      <c r="B12" s="121" t="str">
        <f>+' NOTA I INTANGIBLES'!B16</f>
        <v>Total al 30/09/2021</v>
      </c>
      <c r="C12" s="127">
        <f>SUM(C7:C11)</f>
        <v>0</v>
      </c>
      <c r="D12" s="127">
        <f>SUM(D7:D11)</f>
        <v>0</v>
      </c>
      <c r="E12" s="127">
        <f>SUM(E7:E11)</f>
        <v>0</v>
      </c>
      <c r="F12" s="127">
        <f t="shared" si="0"/>
        <v>0</v>
      </c>
      <c r="G12" s="128"/>
    </row>
    <row r="13" spans="2:7">
      <c r="B13" s="121" t="str">
        <f>+'NOTA H CARGOS DIFERIDOS'!B13</f>
        <v>Total al 31/12/2020</v>
      </c>
      <c r="C13" s="127">
        <v>0</v>
      </c>
      <c r="D13" s="127">
        <v>0</v>
      </c>
      <c r="E13" s="127">
        <v>0</v>
      </c>
      <c r="F13" s="127">
        <v>0</v>
      </c>
      <c r="G13" s="128"/>
    </row>
  </sheetData>
  <sheetProtection algorithmName="SHA-512" hashValue="CmsA9nLtXlUlJ+R6D40VgUkli3WlwKpUedjOlGyEgfaroTlnMbjclAbxEWFysYTTuyV/TQi0mpAW88yPB1/hsA==" saltValue="YIFg7laBYcE4kTr5EXeazw==" spinCount="100000" sheet="1" objects="1" scenarios="1"/>
  <hyperlinks>
    <hyperlink ref="B5" location="'Balance Gral. Resol. 30'!A1" display="'Balance Gral. Resol. 30'!A1" xr:uid="{E1596322-78CB-43DC-A236-0CAF359D5F2F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>
    <tabColor rgb="FF002060"/>
  </sheetPr>
  <dimension ref="B1:E32"/>
  <sheetViews>
    <sheetView showGridLines="0" topLeftCell="A10" zoomScale="125" workbookViewId="0">
      <selection activeCell="C32" sqref="C32"/>
    </sheetView>
  </sheetViews>
  <sheetFormatPr baseColWidth="10" defaultColWidth="11.44140625" defaultRowHeight="12"/>
  <cols>
    <col min="1" max="1" width="4.77734375" style="25" customWidth="1"/>
    <col min="2" max="2" width="42.44140625" style="25" bestFit="1" customWidth="1"/>
    <col min="3" max="4" width="13.88671875" style="25" bestFit="1" customWidth="1"/>
    <col min="5" max="5" width="2.44140625" style="25" bestFit="1" customWidth="1"/>
    <col min="6" max="16384" width="11.44140625" style="25"/>
  </cols>
  <sheetData>
    <row r="1" spans="2:4" ht="27.6" customHeight="1"/>
    <row r="3" spans="2:4">
      <c r="B3" s="109" t="s">
        <v>565</v>
      </c>
    </row>
    <row r="5" spans="2:4">
      <c r="B5" s="29" t="s">
        <v>474</v>
      </c>
      <c r="C5" s="197" t="s">
        <v>475</v>
      </c>
      <c r="D5" s="29" t="s">
        <v>476</v>
      </c>
    </row>
    <row r="6" spans="2:4">
      <c r="B6" s="29" t="s">
        <v>800</v>
      </c>
      <c r="C6" s="482">
        <f>SUM(C7:C17)</f>
        <v>19506000000</v>
      </c>
      <c r="D6" s="29"/>
    </row>
    <row r="7" spans="2:4">
      <c r="B7" s="33" t="s">
        <v>801</v>
      </c>
      <c r="C7" s="181">
        <v>5000000000</v>
      </c>
      <c r="D7" s="97">
        <v>0</v>
      </c>
    </row>
    <row r="8" spans="2:4">
      <c r="B8" s="33" t="s">
        <v>802</v>
      </c>
      <c r="C8" s="181">
        <v>1500000000</v>
      </c>
      <c r="D8" s="97">
        <v>0</v>
      </c>
    </row>
    <row r="9" spans="2:4">
      <c r="B9" s="33" t="s">
        <v>803</v>
      </c>
      <c r="C9" s="181">
        <v>1400000000</v>
      </c>
      <c r="D9" s="97">
        <v>0</v>
      </c>
    </row>
    <row r="10" spans="2:4">
      <c r="B10" s="33" t="s">
        <v>803</v>
      </c>
      <c r="C10" s="181">
        <v>1100000000</v>
      </c>
      <c r="D10" s="97">
        <v>0</v>
      </c>
    </row>
    <row r="11" spans="2:4">
      <c r="B11" s="33" t="s">
        <v>804</v>
      </c>
      <c r="C11" s="181">
        <v>1000000000</v>
      </c>
      <c r="D11" s="97">
        <v>0</v>
      </c>
    </row>
    <row r="12" spans="2:4">
      <c r="B12" s="33" t="s">
        <v>804</v>
      </c>
      <c r="C12" s="181">
        <v>1000000000</v>
      </c>
      <c r="D12" s="97">
        <v>0</v>
      </c>
    </row>
    <row r="13" spans="2:4">
      <c r="B13" s="33" t="s">
        <v>804</v>
      </c>
      <c r="C13" s="181">
        <v>1000000000</v>
      </c>
      <c r="D13" s="97">
        <v>0</v>
      </c>
    </row>
    <row r="14" spans="2:4">
      <c r="B14" s="33" t="s">
        <v>804</v>
      </c>
      <c r="C14" s="181">
        <v>1000000000</v>
      </c>
      <c r="D14" s="97">
        <v>0</v>
      </c>
    </row>
    <row r="15" spans="2:4">
      <c r="B15" s="33" t="s">
        <v>804</v>
      </c>
      <c r="C15" s="181">
        <v>1000000000</v>
      </c>
      <c r="D15" s="97">
        <v>0</v>
      </c>
    </row>
    <row r="16" spans="2:4">
      <c r="B16" s="33" t="s">
        <v>801</v>
      </c>
      <c r="C16" s="181">
        <v>4500000000</v>
      </c>
      <c r="D16" s="97">
        <v>0</v>
      </c>
    </row>
    <row r="17" spans="2:5">
      <c r="B17" s="33" t="s">
        <v>804</v>
      </c>
      <c r="C17" s="181">
        <v>1006000000</v>
      </c>
      <c r="D17" s="97">
        <v>0</v>
      </c>
    </row>
    <row r="18" spans="2:5">
      <c r="B18" s="29" t="s">
        <v>477</v>
      </c>
      <c r="C18" s="481">
        <f>SUM(C19:C28)</f>
        <v>56975311761.049995</v>
      </c>
      <c r="D18" s="97">
        <v>0</v>
      </c>
    </row>
    <row r="19" spans="2:5">
      <c r="B19" s="91" t="s">
        <v>750</v>
      </c>
      <c r="C19" s="181">
        <v>9135369863.0100002</v>
      </c>
      <c r="D19" s="97">
        <v>0</v>
      </c>
    </row>
    <row r="20" spans="2:5">
      <c r="B20" s="91" t="s">
        <v>745</v>
      </c>
      <c r="C20" s="181">
        <v>4594684931.5100002</v>
      </c>
      <c r="D20" s="97">
        <v>0</v>
      </c>
    </row>
    <row r="21" spans="2:5">
      <c r="B21" s="91" t="s">
        <v>745</v>
      </c>
      <c r="C21" s="181">
        <v>4595671232.8699999</v>
      </c>
      <c r="D21" s="97">
        <v>0</v>
      </c>
    </row>
    <row r="22" spans="2:5">
      <c r="B22" s="91" t="s">
        <v>750</v>
      </c>
      <c r="C22" s="181">
        <v>13908365753.43</v>
      </c>
      <c r="D22" s="97">
        <v>0</v>
      </c>
    </row>
    <row r="23" spans="2:5">
      <c r="B23" s="91" t="s">
        <v>745</v>
      </c>
      <c r="C23" s="181">
        <v>1350295890.4100001</v>
      </c>
      <c r="D23" s="97">
        <v>0</v>
      </c>
    </row>
    <row r="24" spans="2:5">
      <c r="B24" s="91" t="s">
        <v>745</v>
      </c>
      <c r="C24" s="181">
        <v>4500875342.4700003</v>
      </c>
      <c r="D24" s="97">
        <v>0</v>
      </c>
    </row>
    <row r="25" spans="2:5">
      <c r="B25" s="91" t="s">
        <v>745</v>
      </c>
      <c r="C25" s="181">
        <v>4500875342.4700003</v>
      </c>
      <c r="D25" s="97">
        <v>0</v>
      </c>
    </row>
    <row r="26" spans="2:5">
      <c r="B26" s="91" t="s">
        <v>745</v>
      </c>
      <c r="C26" s="181">
        <v>5085360410.96</v>
      </c>
      <c r="D26" s="97">
        <v>0</v>
      </c>
    </row>
    <row r="27" spans="2:5">
      <c r="B27" s="91" t="s">
        <v>750</v>
      </c>
      <c r="C27" s="181">
        <v>4566180821.9200001</v>
      </c>
      <c r="D27" s="97">
        <v>0</v>
      </c>
    </row>
    <row r="28" spans="2:5">
      <c r="B28" s="116" t="s">
        <v>805</v>
      </c>
      <c r="C28" s="181">
        <v>4737632172</v>
      </c>
      <c r="D28" s="97">
        <v>0</v>
      </c>
    </row>
    <row r="29" spans="2:5">
      <c r="B29" s="121" t="str">
        <f>+'NOTA J OTROS ACTIVOS CTES y NO '!B12</f>
        <v>Total al 30/09/2021</v>
      </c>
      <c r="C29" s="310">
        <f>+C18+C6</f>
        <v>76481311761.049988</v>
      </c>
      <c r="D29" s="97">
        <v>0</v>
      </c>
      <c r="E29" s="39"/>
    </row>
    <row r="30" spans="2:5">
      <c r="B30" s="121" t="str">
        <f>+'NOTA J OTROS ACTIVOS CTES y NO '!B13</f>
        <v>Total al 31/12/2020</v>
      </c>
      <c r="C30" s="310">
        <v>51531019826</v>
      </c>
      <c r="D30" s="97">
        <v>0</v>
      </c>
      <c r="E30" s="39"/>
    </row>
    <row r="31" spans="2:5">
      <c r="C31" s="39"/>
    </row>
    <row r="32" spans="2:5">
      <c r="C32" s="39">
        <f>+C29-'Balance Gral. Resol. 30'!G19</f>
        <v>4.998779296875E-2</v>
      </c>
      <c r="D32" s="39"/>
    </row>
  </sheetData>
  <sheetProtection algorithmName="SHA-512" hashValue="qv7a+nwbmNPB584o2tSnBw8Rxd28yD69ec7eUifU5hToCwZ+s9HG7cUBxTX9dM6T2apNbp+BC5EsrX9/mTBp3w==" saltValue="UFONEdC1igqTg+xHKmeALQ==" spinCount="100000" sheet="1" objects="1" scenarios="1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7">
    <tabColor rgb="FF002060"/>
  </sheetPr>
  <dimension ref="B1:H16"/>
  <sheetViews>
    <sheetView showGridLines="0" zoomScale="112" zoomScaleNormal="112" workbookViewId="0">
      <selection activeCell="I22" sqref="I22"/>
    </sheetView>
  </sheetViews>
  <sheetFormatPr baseColWidth="10" defaultColWidth="11.44140625" defaultRowHeight="12"/>
  <cols>
    <col min="1" max="1" width="4.77734375" style="25" customWidth="1"/>
    <col min="2" max="2" width="28" style="25" bestFit="1" customWidth="1"/>
    <col min="3" max="3" width="15" style="25" customWidth="1"/>
    <col min="4" max="4" width="15" style="112" customWidth="1"/>
    <col min="5" max="5" width="13.44140625" style="25" customWidth="1"/>
    <col min="6" max="6" width="14" style="25" customWidth="1"/>
    <col min="7" max="7" width="23.33203125" style="25" customWidth="1"/>
    <col min="8" max="9" width="14.33203125" style="25" customWidth="1"/>
    <col min="10" max="16384" width="11.44140625" style="25"/>
  </cols>
  <sheetData>
    <row r="1" spans="2:8" ht="37.200000000000003" customHeight="1">
      <c r="C1" s="207"/>
    </row>
    <row r="2" spans="2:8" ht="14.4">
      <c r="C2" s="387"/>
    </row>
    <row r="3" spans="2:8">
      <c r="B3" s="541" t="s">
        <v>566</v>
      </c>
      <c r="C3" s="541"/>
      <c r="D3" s="541"/>
    </row>
    <row r="4" spans="2:8">
      <c r="B4" s="386"/>
      <c r="C4" s="386"/>
      <c r="D4" s="386"/>
    </row>
    <row r="5" spans="2:8" ht="14.4">
      <c r="B5" s="480" t="s">
        <v>778</v>
      </c>
    </row>
    <row r="6" spans="2:8" ht="34.5" customHeight="1">
      <c r="B6" s="29" t="s">
        <v>360</v>
      </c>
      <c r="C6" s="129" t="s">
        <v>475</v>
      </c>
      <c r="D6" s="129" t="s">
        <v>476</v>
      </c>
    </row>
    <row r="7" spans="2:8">
      <c r="B7" s="33" t="s">
        <v>478</v>
      </c>
      <c r="C7" s="53">
        <v>275693645</v>
      </c>
      <c r="D7" s="53"/>
      <c r="H7" s="130"/>
    </row>
    <row r="8" spans="2:8">
      <c r="B8" s="33" t="s">
        <v>806</v>
      </c>
      <c r="C8" s="53">
        <v>14052361713</v>
      </c>
      <c r="D8" s="53">
        <v>0</v>
      </c>
      <c r="H8" s="130"/>
    </row>
    <row r="9" spans="2:8">
      <c r="B9" s="33" t="s">
        <v>807</v>
      </c>
      <c r="C9" s="53">
        <f>5281552-110000</f>
        <v>5171552</v>
      </c>
      <c r="D9" s="53">
        <v>0</v>
      </c>
      <c r="H9" s="130"/>
    </row>
    <row r="10" spans="2:8">
      <c r="B10" s="33" t="s">
        <v>479</v>
      </c>
      <c r="C10" s="53">
        <v>14151956</v>
      </c>
      <c r="D10" s="53"/>
      <c r="E10" s="115"/>
      <c r="F10" s="115"/>
      <c r="H10" s="130"/>
    </row>
    <row r="11" spans="2:8">
      <c r="B11" s="33" t="s">
        <v>52</v>
      </c>
      <c r="C11" s="53">
        <v>0</v>
      </c>
      <c r="D11" s="53"/>
      <c r="H11" s="130"/>
    </row>
    <row r="12" spans="2:8">
      <c r="B12" s="121" t="str">
        <f>+'NOTA K PRESTAMOS'!B29</f>
        <v>Total al 30/09/2021</v>
      </c>
      <c r="C12" s="118">
        <f>SUM(C7:C11)</f>
        <v>14347378866</v>
      </c>
      <c r="D12" s="53">
        <v>0</v>
      </c>
      <c r="E12" s="39">
        <v>0</v>
      </c>
      <c r="F12" s="131"/>
      <c r="G12" s="55"/>
    </row>
    <row r="13" spans="2:8">
      <c r="B13" s="121" t="str">
        <f>+'NOTA K PRESTAMOS'!B30</f>
        <v>Total al 31/12/2020</v>
      </c>
      <c r="C13" s="118">
        <v>11861121838</v>
      </c>
      <c r="D13" s="118">
        <v>0</v>
      </c>
      <c r="E13" s="39"/>
    </row>
    <row r="14" spans="2:8">
      <c r="C14" s="112"/>
    </row>
    <row r="15" spans="2:8">
      <c r="C15" s="55">
        <f>+C12-'Balance Gral. Resol. 30'!G12</f>
        <v>0</v>
      </c>
    </row>
    <row r="16" spans="2:8">
      <c r="C16" s="55"/>
    </row>
  </sheetData>
  <sheetProtection algorithmName="SHA-512" hashValue="IeMiIumzQGNSuBMKgNn1ECFfUmJxHnExXV3qnu5+91KykmT2MLWRIfuHGjzkvKerqKKuL/Vs7mMYTtaOERFTSg==" saltValue="neRxOD6/X689SMIobMk63A==" spinCount="100000" sheet="1" objects="1" scenarios="1"/>
  <mergeCells count="1">
    <mergeCell ref="B3:D3"/>
  </mergeCells>
  <hyperlinks>
    <hyperlink ref="B5" location="'Balance Gral. Resol. 30'!A1" display="'Balance Gral. Resol. 30'!A1" xr:uid="{9FADE930-F96F-4CF8-946A-5697F40695CB}"/>
  </hyperlink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8">
    <tabColor rgb="FF002060"/>
  </sheetPr>
  <dimension ref="B1:G40"/>
  <sheetViews>
    <sheetView showGridLines="0" zoomScale="125" zoomScaleNormal="85" workbookViewId="0">
      <selection activeCell="I22" sqref="I22"/>
    </sheetView>
  </sheetViews>
  <sheetFormatPr baseColWidth="10" defaultColWidth="11.44140625" defaultRowHeight="12"/>
  <cols>
    <col min="1" max="1" width="4.77734375" style="132" customWidth="1"/>
    <col min="2" max="2" width="47.109375" style="132" customWidth="1"/>
    <col min="3" max="3" width="12.6640625" style="132" bestFit="1" customWidth="1"/>
    <col min="4" max="4" width="16.44140625" style="132" bestFit="1" customWidth="1"/>
    <col min="5" max="5" width="11.44140625" style="132"/>
    <col min="6" max="6" width="10.6640625" style="132" bestFit="1" customWidth="1"/>
    <col min="7" max="7" width="13.33203125" style="132" bestFit="1" customWidth="1"/>
    <col min="8" max="8" width="16.44140625" style="132" bestFit="1" customWidth="1"/>
    <col min="9" max="9" width="11.44140625" style="132"/>
    <col min="10" max="10" width="13.44140625" style="132" customWidth="1"/>
    <col min="11" max="16384" width="11.44140625" style="132"/>
  </cols>
  <sheetData>
    <row r="1" spans="2:7" ht="49.95" customHeight="1">
      <c r="C1" s="207"/>
    </row>
    <row r="2" spans="2:7" ht="14.4">
      <c r="B2" s="483" t="s">
        <v>778</v>
      </c>
      <c r="C2" s="387"/>
    </row>
    <row r="3" spans="2:7" ht="14.4">
      <c r="B3" s="483"/>
      <c r="C3" s="387"/>
    </row>
    <row r="4" spans="2:7">
      <c r="B4" s="133" t="s">
        <v>567</v>
      </c>
    </row>
    <row r="6" spans="2:7">
      <c r="B6" s="122" t="s">
        <v>360</v>
      </c>
      <c r="C6" s="122" t="s">
        <v>480</v>
      </c>
      <c r="D6" s="122" t="s">
        <v>481</v>
      </c>
    </row>
    <row r="7" spans="2:7">
      <c r="B7" s="134" t="s">
        <v>482</v>
      </c>
      <c r="C7" s="135">
        <v>17840253509</v>
      </c>
      <c r="D7" s="136">
        <v>0</v>
      </c>
    </row>
    <row r="8" spans="2:7">
      <c r="B8" s="137" t="str">
        <f>+'NOTA L DOCUM y CTAS A PAG'!B12</f>
        <v>Total al 30/09/2021</v>
      </c>
      <c r="C8" s="138">
        <f>SUM(C7:C7)</f>
        <v>17840253509</v>
      </c>
      <c r="D8" s="136">
        <v>0</v>
      </c>
    </row>
    <row r="9" spans="2:7">
      <c r="B9" s="137" t="str">
        <f>+'NOTA L DOCUM y CTAS A PAG'!B13</f>
        <v>Total al 31/12/2020</v>
      </c>
      <c r="C9" s="139">
        <v>5810989127</v>
      </c>
      <c r="D9" s="136">
        <v>0</v>
      </c>
    </row>
    <row r="11" spans="2:7">
      <c r="B11" s="133" t="s">
        <v>568</v>
      </c>
    </row>
    <row r="12" spans="2:7" ht="24" customHeight="1">
      <c r="B12" s="582" t="s">
        <v>483</v>
      </c>
      <c r="C12" s="582"/>
      <c r="D12" s="582"/>
    </row>
    <row r="13" spans="2:7">
      <c r="B13" s="140"/>
    </row>
    <row r="14" spans="2:7" ht="24" customHeight="1">
      <c r="B14" s="583" t="s">
        <v>569</v>
      </c>
      <c r="C14" s="583"/>
      <c r="D14" s="583"/>
    </row>
    <row r="15" spans="2:7">
      <c r="B15" s="133"/>
    </row>
    <row r="16" spans="2:7" ht="24">
      <c r="B16" s="122" t="s">
        <v>489</v>
      </c>
      <c r="C16" s="122" t="s">
        <v>490</v>
      </c>
      <c r="D16" s="122" t="s">
        <v>491</v>
      </c>
      <c r="E16" s="122" t="s">
        <v>496</v>
      </c>
      <c r="F16" s="122" t="s">
        <v>480</v>
      </c>
      <c r="G16" s="122" t="s">
        <v>481</v>
      </c>
    </row>
    <row r="17" spans="2:7">
      <c r="B17" s="134"/>
      <c r="C17" s="134"/>
      <c r="D17" s="134"/>
      <c r="E17" s="484">
        <v>0</v>
      </c>
      <c r="F17" s="135">
        <v>0</v>
      </c>
      <c r="G17" s="135">
        <v>0</v>
      </c>
    </row>
    <row r="18" spans="2:7">
      <c r="B18" s="134"/>
      <c r="C18" s="134"/>
      <c r="D18" s="134"/>
      <c r="E18" s="484">
        <v>0</v>
      </c>
      <c r="F18" s="135">
        <v>0</v>
      </c>
      <c r="G18" s="135">
        <v>0</v>
      </c>
    </row>
    <row r="19" spans="2:7">
      <c r="B19" s="137" t="str">
        <f>+B8</f>
        <v>Total al 30/09/2021</v>
      </c>
      <c r="C19" s="137"/>
      <c r="D19" s="137"/>
      <c r="E19" s="485"/>
      <c r="F19" s="376">
        <f>SUM(F17:F18)</f>
        <v>0</v>
      </c>
      <c r="G19" s="376">
        <v>0</v>
      </c>
    </row>
    <row r="20" spans="2:7">
      <c r="B20" s="137" t="str">
        <f>+B9</f>
        <v>Total al 31/12/2020</v>
      </c>
      <c r="C20" s="137"/>
      <c r="D20" s="137"/>
      <c r="E20" s="137"/>
      <c r="F20" s="139">
        <v>48353641</v>
      </c>
      <c r="G20" s="139">
        <v>0</v>
      </c>
    </row>
    <row r="21" spans="2:7">
      <c r="F21" s="162">
        <f>+F19-'Balance Gral. Resol. 30'!G13</f>
        <v>0</v>
      </c>
    </row>
    <row r="22" spans="2:7">
      <c r="B22" s="141"/>
      <c r="C22" s="142"/>
      <c r="D22" s="143"/>
    </row>
    <row r="23" spans="2:7" ht="24" customHeight="1">
      <c r="B23" s="583" t="s">
        <v>570</v>
      </c>
      <c r="C23" s="583"/>
      <c r="D23" s="583"/>
      <c r="E23" s="583"/>
      <c r="F23" s="583"/>
      <c r="G23" s="583"/>
    </row>
    <row r="24" spans="2:7">
      <c r="B24" s="582" t="s">
        <v>484</v>
      </c>
      <c r="C24" s="582"/>
      <c r="D24" s="582"/>
      <c r="E24" s="582"/>
      <c r="F24" s="582"/>
      <c r="G24" s="582"/>
    </row>
    <row r="26" spans="2:7">
      <c r="B26" s="133" t="s">
        <v>571</v>
      </c>
    </row>
    <row r="28" spans="2:7">
      <c r="B28" s="35" t="s">
        <v>360</v>
      </c>
      <c r="C28" s="129" t="s">
        <v>485</v>
      </c>
      <c r="D28" s="129" t="s">
        <v>486</v>
      </c>
    </row>
    <row r="29" spans="2:7">
      <c r="B29" s="144" t="s">
        <v>808</v>
      </c>
      <c r="C29" s="145">
        <v>49908898</v>
      </c>
      <c r="D29" s="146">
        <v>0</v>
      </c>
    </row>
    <row r="30" spans="2:7">
      <c r="B30" s="144" t="s">
        <v>589</v>
      </c>
      <c r="C30" s="147">
        <v>0</v>
      </c>
      <c r="D30" s="146">
        <v>0</v>
      </c>
    </row>
    <row r="31" spans="2:7">
      <c r="B31" s="144" t="s">
        <v>354</v>
      </c>
      <c r="C31" s="148">
        <v>0</v>
      </c>
      <c r="D31" s="146">
        <v>0</v>
      </c>
    </row>
    <row r="32" spans="2:7">
      <c r="B32" s="137" t="str">
        <f>+B19</f>
        <v>Total al 30/09/2021</v>
      </c>
      <c r="C32" s="138">
        <f>SUM(C29:C31)</f>
        <v>49908898</v>
      </c>
      <c r="D32" s="146">
        <v>0</v>
      </c>
    </row>
    <row r="33" spans="2:4">
      <c r="B33" s="137" t="str">
        <f>+B20</f>
        <v>Total al 31/12/2020</v>
      </c>
      <c r="C33" s="149">
        <v>35305818</v>
      </c>
      <c r="D33" s="146">
        <v>0</v>
      </c>
    </row>
    <row r="35" spans="2:4">
      <c r="C35" s="151">
        <f>+C32-'Balance Gral. Resol. 30'!G28</f>
        <v>0</v>
      </c>
    </row>
    <row r="37" spans="2:4">
      <c r="B37" s="35" t="s">
        <v>360</v>
      </c>
      <c r="C37" s="129" t="s">
        <v>485</v>
      </c>
      <c r="D37" s="129" t="s">
        <v>486</v>
      </c>
    </row>
    <row r="38" spans="2:4">
      <c r="B38" s="144" t="s">
        <v>830</v>
      </c>
      <c r="C38" s="145">
        <f>+'Balance Gral. Resol. 30'!G37</f>
        <v>63408845</v>
      </c>
      <c r="D38" s="146">
        <v>0</v>
      </c>
    </row>
    <row r="39" spans="2:4">
      <c r="B39" s="137" t="str">
        <f>+B32</f>
        <v>Total al 30/09/2021</v>
      </c>
      <c r="C39" s="138">
        <f>SUM(C38:C38)</f>
        <v>63408845</v>
      </c>
      <c r="D39" s="146">
        <v>0</v>
      </c>
    </row>
    <row r="40" spans="2:4">
      <c r="B40" s="137" t="str">
        <f>+B33</f>
        <v>Total al 31/12/2020</v>
      </c>
      <c r="C40" s="149">
        <v>0</v>
      </c>
      <c r="D40" s="146">
        <v>0</v>
      </c>
    </row>
  </sheetData>
  <sheetProtection algorithmName="SHA-512" hashValue="1TE9y6zXvHz3wgU7lHdCHo3AJXFvGykGEnOkU4topWCSyxir4+xhdTlbriYF5Ar6szgyhN5bo2XQBgUIC1OTFQ==" saltValue="B6UmGD+CRvZGf+Vlc8qsNw==" spinCount="100000" sheet="1" objects="1" scenarios="1"/>
  <mergeCells count="4">
    <mergeCell ref="B12:D12"/>
    <mergeCell ref="B14:D14"/>
    <mergeCell ref="B23:G23"/>
    <mergeCell ref="B24:G24"/>
  </mergeCells>
  <hyperlinks>
    <hyperlink ref="B2" location="'Balance Gral. Resol. 30'!A1" display="'Balance Gral. Resol. 30'!A1" xr:uid="{56D1AB62-AF76-4B2F-9533-7100AAC9D14F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9">
    <tabColor rgb="FF002060"/>
  </sheetPr>
  <dimension ref="B1:K26"/>
  <sheetViews>
    <sheetView showGridLines="0" zoomScale="106" zoomScaleNormal="80" workbookViewId="0">
      <selection activeCell="F4" sqref="F4"/>
    </sheetView>
  </sheetViews>
  <sheetFormatPr baseColWidth="10" defaultColWidth="11.44140625" defaultRowHeight="12"/>
  <cols>
    <col min="1" max="1" width="4.77734375" style="132" customWidth="1"/>
    <col min="2" max="2" width="37.6640625" style="132" customWidth="1"/>
    <col min="3" max="3" width="27" style="132" bestFit="1" customWidth="1"/>
    <col min="4" max="4" width="23.33203125" style="132" bestFit="1" customWidth="1"/>
    <col min="5" max="5" width="13.77734375" style="132" customWidth="1"/>
    <col min="6" max="6" width="12.33203125" style="132" customWidth="1"/>
    <col min="7" max="7" width="18.109375" style="150" customWidth="1"/>
    <col min="8" max="8" width="14.109375" style="150" bestFit="1" customWidth="1"/>
    <col min="9" max="9" width="14.33203125" style="132" bestFit="1" customWidth="1"/>
    <col min="10" max="10" width="14" style="151" bestFit="1" customWidth="1"/>
    <col min="11" max="16384" width="11.44140625" style="132"/>
  </cols>
  <sheetData>
    <row r="1" spans="2:8" ht="44.1" customHeight="1">
      <c r="C1" s="207"/>
    </row>
    <row r="3" spans="2:8" ht="36" customHeight="1">
      <c r="B3" s="586" t="s">
        <v>487</v>
      </c>
      <c r="C3" s="586"/>
      <c r="D3" s="586"/>
      <c r="E3" s="586"/>
      <c r="F3" s="586"/>
      <c r="G3" s="586"/>
      <c r="H3" s="586"/>
    </row>
    <row r="4" spans="2:8" ht="15" thickBot="1">
      <c r="B4" s="483" t="s">
        <v>778</v>
      </c>
    </row>
    <row r="5" spans="2:8" ht="35.25" customHeight="1" thickBot="1">
      <c r="B5" s="152"/>
      <c r="C5" s="153"/>
      <c r="D5" s="154"/>
      <c r="E5" s="153"/>
      <c r="F5" s="153"/>
      <c r="G5" s="584" t="s">
        <v>488</v>
      </c>
      <c r="H5" s="585"/>
    </row>
    <row r="6" spans="2:8" ht="24">
      <c r="B6" s="155" t="s">
        <v>489</v>
      </c>
      <c r="C6" s="155" t="s">
        <v>490</v>
      </c>
      <c r="D6" s="155" t="s">
        <v>491</v>
      </c>
      <c r="E6" s="155" t="s">
        <v>496</v>
      </c>
      <c r="F6" s="155" t="s">
        <v>434</v>
      </c>
      <c r="G6" s="156" t="s">
        <v>798</v>
      </c>
      <c r="H6" s="156" t="s">
        <v>551</v>
      </c>
    </row>
    <row r="7" spans="2:8">
      <c r="B7" s="157" t="s">
        <v>500</v>
      </c>
      <c r="C7" s="157" t="s">
        <v>492</v>
      </c>
      <c r="D7" s="157" t="s">
        <v>493</v>
      </c>
      <c r="E7" s="488">
        <v>44196</v>
      </c>
      <c r="F7" s="488">
        <v>44561</v>
      </c>
      <c r="G7" s="158">
        <v>113350111.62159997</v>
      </c>
      <c r="H7" s="158">
        <v>107025112</v>
      </c>
    </row>
    <row r="8" spans="2:8">
      <c r="B8" s="157" t="s">
        <v>590</v>
      </c>
      <c r="C8" s="157" t="s">
        <v>492</v>
      </c>
      <c r="D8" s="157" t="s">
        <v>493</v>
      </c>
      <c r="E8" s="488">
        <v>44197</v>
      </c>
      <c r="F8" s="488">
        <v>44561</v>
      </c>
      <c r="G8" s="158">
        <v>91817407.964000002</v>
      </c>
      <c r="H8" s="158">
        <v>10905379</v>
      </c>
    </row>
    <row r="9" spans="2:8">
      <c r="B9" s="157" t="s">
        <v>591</v>
      </c>
      <c r="C9" s="157" t="s">
        <v>492</v>
      </c>
      <c r="D9" s="157" t="s">
        <v>493</v>
      </c>
      <c r="E9" s="488">
        <v>44198</v>
      </c>
      <c r="F9" s="488">
        <v>44561</v>
      </c>
      <c r="G9" s="158">
        <v>271425257.926</v>
      </c>
      <c r="H9" s="158">
        <v>268217258</v>
      </c>
    </row>
    <row r="10" spans="2:8">
      <c r="B10" s="157" t="s">
        <v>592</v>
      </c>
      <c r="C10" s="157" t="s">
        <v>494</v>
      </c>
      <c r="D10" s="157" t="s">
        <v>493</v>
      </c>
      <c r="E10" s="488">
        <v>44348</v>
      </c>
      <c r="F10" s="488">
        <v>44682</v>
      </c>
      <c r="G10" s="158">
        <v>3683000000</v>
      </c>
      <c r="H10" s="158">
        <v>534179697</v>
      </c>
    </row>
    <row r="11" spans="2:8">
      <c r="B11" s="157" t="s">
        <v>540</v>
      </c>
      <c r="C11" s="157" t="s">
        <v>494</v>
      </c>
      <c r="D11" s="157" t="s">
        <v>493</v>
      </c>
      <c r="E11" s="500">
        <v>43508</v>
      </c>
      <c r="F11" s="488">
        <v>43830</v>
      </c>
      <c r="G11" s="158">
        <v>5326230</v>
      </c>
      <c r="H11" s="158">
        <v>5326230</v>
      </c>
    </row>
    <row r="12" spans="2:8">
      <c r="B12" s="157" t="s">
        <v>593</v>
      </c>
      <c r="C12" s="157" t="s">
        <v>492</v>
      </c>
      <c r="D12" s="157" t="s">
        <v>493</v>
      </c>
      <c r="E12" s="488">
        <v>43465</v>
      </c>
      <c r="F12" s="488">
        <v>43830</v>
      </c>
      <c r="G12" s="158">
        <v>59860685</v>
      </c>
      <c r="H12" s="158">
        <v>59860685</v>
      </c>
    </row>
    <row r="13" spans="2:8">
      <c r="B13" s="144" t="s">
        <v>501</v>
      </c>
      <c r="C13" s="144" t="s">
        <v>492</v>
      </c>
      <c r="D13" s="157" t="s">
        <v>493</v>
      </c>
      <c r="E13" s="488">
        <v>44196</v>
      </c>
      <c r="F13" s="488">
        <v>44561</v>
      </c>
      <c r="G13" s="158">
        <v>385154838</v>
      </c>
      <c r="H13" s="158">
        <v>404376988</v>
      </c>
    </row>
    <row r="14" spans="2:8">
      <c r="B14" s="157" t="s">
        <v>594</v>
      </c>
      <c r="C14" s="157" t="s">
        <v>494</v>
      </c>
      <c r="D14" s="157" t="s">
        <v>493</v>
      </c>
      <c r="E14" s="596">
        <v>0</v>
      </c>
      <c r="F14" s="596">
        <v>0</v>
      </c>
      <c r="G14" s="158">
        <v>0</v>
      </c>
      <c r="H14" s="158">
        <v>1020000000</v>
      </c>
    </row>
    <row r="15" spans="2:8">
      <c r="B15" s="159" t="s">
        <v>595</v>
      </c>
      <c r="C15" s="157" t="s">
        <v>495</v>
      </c>
      <c r="D15" s="157" t="s">
        <v>493</v>
      </c>
      <c r="E15" s="488">
        <v>43830</v>
      </c>
      <c r="F15" s="157" t="s">
        <v>809</v>
      </c>
      <c r="G15" s="158">
        <v>46185063.769999996</v>
      </c>
      <c r="H15" s="158">
        <v>46185064</v>
      </c>
    </row>
    <row r="16" spans="2:8">
      <c r="B16" s="159" t="s">
        <v>596</v>
      </c>
      <c r="C16" s="157" t="s">
        <v>495</v>
      </c>
      <c r="D16" s="157" t="s">
        <v>493</v>
      </c>
      <c r="E16" s="488">
        <v>43830</v>
      </c>
      <c r="F16" s="157" t="s">
        <v>809</v>
      </c>
      <c r="G16" s="158">
        <v>10939076.34</v>
      </c>
      <c r="H16" s="158">
        <v>10939076</v>
      </c>
    </row>
    <row r="17" spans="2:11">
      <c r="B17" s="159" t="s">
        <v>597</v>
      </c>
      <c r="C17" s="157" t="s">
        <v>494</v>
      </c>
      <c r="D17" s="157" t="s">
        <v>493</v>
      </c>
      <c r="E17" s="596">
        <v>0</v>
      </c>
      <c r="F17" s="596">
        <v>0</v>
      </c>
      <c r="G17" s="158">
        <v>0</v>
      </c>
      <c r="H17" s="158">
        <v>1020000000</v>
      </c>
      <c r="I17" s="151"/>
    </row>
    <row r="18" spans="2:11">
      <c r="B18" s="159" t="s">
        <v>541</v>
      </c>
      <c r="C18" s="157" t="s">
        <v>494</v>
      </c>
      <c r="D18" s="157" t="s">
        <v>493</v>
      </c>
      <c r="E18" s="596">
        <v>0</v>
      </c>
      <c r="F18" s="596">
        <v>0</v>
      </c>
      <c r="G18" s="158">
        <v>0</v>
      </c>
      <c r="H18" s="158">
        <v>266000000</v>
      </c>
      <c r="I18" s="151"/>
    </row>
    <row r="19" spans="2:11">
      <c r="B19" s="159" t="s">
        <v>598</v>
      </c>
      <c r="C19" s="157" t="s">
        <v>492</v>
      </c>
      <c r="D19" s="157" t="s">
        <v>493</v>
      </c>
      <c r="E19" s="596">
        <v>0</v>
      </c>
      <c r="F19" s="596">
        <v>0</v>
      </c>
      <c r="G19" s="158">
        <v>96412929</v>
      </c>
      <c r="H19" s="158">
        <v>0</v>
      </c>
      <c r="I19" s="151"/>
    </row>
    <row r="20" spans="2:11">
      <c r="B20" s="137" t="str">
        <f>+'NOTAS M-Q ACREED y CTAS A PAG'!B32</f>
        <v>Total al 30/09/2021</v>
      </c>
      <c r="C20" s="51"/>
      <c r="D20" s="157"/>
      <c r="E20" s="157"/>
      <c r="F20" s="157"/>
      <c r="G20" s="160">
        <f>SUM(G7:G19)</f>
        <v>4763471599.6216011</v>
      </c>
      <c r="H20" s="161">
        <v>0</v>
      </c>
      <c r="I20" s="162"/>
      <c r="K20" s="162"/>
    </row>
    <row r="21" spans="2:11">
      <c r="B21" s="137" t="str">
        <f>+'NOTAS M-Q ACREED y CTAS A PAG'!B9</f>
        <v>Total al 31/12/2020</v>
      </c>
      <c r="C21" s="51"/>
      <c r="D21" s="51"/>
      <c r="E21" s="51"/>
      <c r="F21" s="51"/>
      <c r="G21" s="160">
        <v>0</v>
      </c>
      <c r="H21" s="160">
        <f>SUM(H7:H20)</f>
        <v>3753015489</v>
      </c>
      <c r="K21" s="162"/>
    </row>
    <row r="22" spans="2:11">
      <c r="G22" s="132"/>
    </row>
    <row r="23" spans="2:11">
      <c r="G23" s="150">
        <f>+G20-'Balance Gral. Resol. 30'!D27</f>
        <v>-0.37839889526367188</v>
      </c>
    </row>
    <row r="26" spans="2:11">
      <c r="E26" s="489"/>
      <c r="F26" s="489"/>
    </row>
  </sheetData>
  <sheetProtection algorithmName="SHA-512" hashValue="oJkaFEn8bhecRksMIJoDVhprY3+vLFp8AZ96jT3nrVD3HSRYgL1i2tXfLFZ58fH3ZJIZP7CX4YzTcmkIvPl6Uw==" saltValue="MVlKU/bH8un65Ds+rNmdSA==" spinCount="100000" sheet="1" objects="1" scenarios="1"/>
  <autoFilter ref="B6:H21" xr:uid="{00000000-0009-0000-0000-000011000000}"/>
  <mergeCells count="2">
    <mergeCell ref="G5:H5"/>
    <mergeCell ref="B3:H3"/>
  </mergeCells>
  <phoneticPr fontId="47" type="noConversion"/>
  <hyperlinks>
    <hyperlink ref="B4" location="'Balance Gral. Resol. 30'!A1" display="'Balance Gral. Resol. 30'!A1" xr:uid="{AA1054E2-2C21-42A9-BC04-A19ECEC770E2}"/>
  </hyperlink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06BF8-57EF-42BC-9BD9-138242237D99}">
  <sheetPr codeName="Hoja2">
    <tabColor rgb="FF002060"/>
  </sheetPr>
  <dimension ref="A1:K281"/>
  <sheetViews>
    <sheetView showGridLines="0" zoomScale="148" zoomScaleNormal="148" workbookViewId="0">
      <selection activeCell="A4" sqref="A4:B12"/>
    </sheetView>
  </sheetViews>
  <sheetFormatPr baseColWidth="10" defaultColWidth="11.5546875" defaultRowHeight="14.4"/>
  <cols>
    <col min="1" max="1" width="29.44140625" style="352" customWidth="1"/>
    <col min="2" max="2" width="24.33203125" style="352" customWidth="1"/>
    <col min="3" max="3" width="23.109375" style="352" bestFit="1" customWidth="1"/>
    <col min="4" max="4" width="20" style="352" bestFit="1" customWidth="1"/>
    <col min="5" max="5" width="16" style="352" customWidth="1"/>
    <col min="6" max="6" width="11.5546875" style="349"/>
    <col min="7" max="7" width="22.109375" style="349" customWidth="1"/>
    <col min="8" max="8" width="11.5546875" style="349"/>
    <col min="9" max="9" width="14.88671875" style="373" bestFit="1" customWidth="1"/>
    <col min="10" max="10" width="12" style="349" bestFit="1" customWidth="1"/>
    <col min="11" max="16384" width="11.5546875" style="349"/>
  </cols>
  <sheetData>
    <row r="1" spans="1:6" ht="70.2" customHeight="1">
      <c r="A1" s="351"/>
    </row>
    <row r="2" spans="1:6" ht="21">
      <c r="A2" s="353" t="s">
        <v>631</v>
      </c>
    </row>
    <row r="3" spans="1:6" ht="15" thickBot="1">
      <c r="A3" s="380"/>
      <c r="B3" s="366"/>
      <c r="C3" s="366"/>
      <c r="D3" s="366"/>
      <c r="E3" s="366"/>
      <c r="F3" s="367"/>
    </row>
    <row r="4" spans="1:6" ht="20.399999999999999" customHeight="1">
      <c r="A4" s="531" t="s">
        <v>603</v>
      </c>
      <c r="B4" s="532"/>
      <c r="C4" s="533" t="s">
        <v>604</v>
      </c>
      <c r="D4" s="533"/>
      <c r="E4" s="533"/>
      <c r="F4" s="365"/>
    </row>
    <row r="5" spans="1:6" ht="20.399999999999999" customHeight="1">
      <c r="A5" s="516"/>
      <c r="B5" s="522"/>
      <c r="C5" s="517" t="s">
        <v>632</v>
      </c>
      <c r="D5" s="517"/>
      <c r="E5" s="517"/>
      <c r="F5" s="368"/>
    </row>
    <row r="6" spans="1:6" ht="20.399999999999999" customHeight="1">
      <c r="A6" s="516"/>
      <c r="B6" s="522"/>
      <c r="C6" s="517" t="s">
        <v>633</v>
      </c>
      <c r="D6" s="517"/>
      <c r="E6" s="517"/>
      <c r="F6" s="368"/>
    </row>
    <row r="7" spans="1:6" ht="20.399999999999999" customHeight="1">
      <c r="A7" s="516"/>
      <c r="B7" s="522"/>
      <c r="C7" s="517" t="s">
        <v>634</v>
      </c>
      <c r="D7" s="517"/>
      <c r="E7" s="517"/>
      <c r="F7" s="368"/>
    </row>
    <row r="8" spans="1:6" ht="20.399999999999999" customHeight="1">
      <c r="A8" s="516"/>
      <c r="B8" s="522"/>
      <c r="C8" s="517" t="s">
        <v>635</v>
      </c>
      <c r="D8" s="517"/>
      <c r="E8" s="517"/>
      <c r="F8" s="368"/>
    </row>
    <row r="9" spans="1:6">
      <c r="A9" s="516"/>
      <c r="B9" s="522"/>
      <c r="C9" s="517" t="s">
        <v>636</v>
      </c>
      <c r="D9" s="517"/>
      <c r="E9" s="517"/>
      <c r="F9" s="368"/>
    </row>
    <row r="10" spans="1:6" ht="14.4" customHeight="1">
      <c r="A10" s="516"/>
      <c r="B10" s="522"/>
      <c r="C10" s="534" t="s">
        <v>605</v>
      </c>
      <c r="D10" s="534"/>
      <c r="E10" s="534"/>
      <c r="F10" s="368"/>
    </row>
    <row r="11" spans="1:6">
      <c r="A11" s="516"/>
      <c r="B11" s="522"/>
      <c r="C11" s="517" t="s">
        <v>637</v>
      </c>
      <c r="D11" s="517"/>
      <c r="E11" s="517"/>
      <c r="F11" s="368"/>
    </row>
    <row r="12" spans="1:6">
      <c r="A12" s="525"/>
      <c r="B12" s="526"/>
      <c r="C12" s="530" t="s">
        <v>638</v>
      </c>
      <c r="D12" s="530"/>
      <c r="E12" s="530"/>
      <c r="F12" s="402"/>
    </row>
    <row r="13" spans="1:6" ht="20.399999999999999" customHeight="1">
      <c r="A13" s="523" t="s">
        <v>606</v>
      </c>
      <c r="B13" s="524"/>
      <c r="C13" s="527" t="s">
        <v>835</v>
      </c>
      <c r="D13" s="527"/>
      <c r="E13" s="527"/>
      <c r="F13" s="403"/>
    </row>
    <row r="14" spans="1:6" ht="20.399999999999999" customHeight="1">
      <c r="A14" s="516"/>
      <c r="B14" s="522"/>
      <c r="C14" s="517" t="s">
        <v>639</v>
      </c>
      <c r="D14" s="517"/>
      <c r="E14" s="517"/>
      <c r="F14" s="368"/>
    </row>
    <row r="15" spans="1:6" ht="40.950000000000003" customHeight="1">
      <c r="A15" s="525"/>
      <c r="B15" s="526"/>
      <c r="C15" s="528" t="s">
        <v>640</v>
      </c>
      <c r="D15" s="528"/>
      <c r="E15" s="528"/>
      <c r="F15" s="402"/>
    </row>
    <row r="16" spans="1:6">
      <c r="A16" s="523" t="s">
        <v>607</v>
      </c>
      <c r="B16" s="524"/>
      <c r="C16" s="527" t="s">
        <v>641</v>
      </c>
      <c r="D16" s="527"/>
      <c r="E16" s="527"/>
      <c r="F16" s="403"/>
    </row>
    <row r="17" spans="1:6">
      <c r="A17" s="516"/>
      <c r="B17" s="522"/>
      <c r="C17" s="517" t="s">
        <v>642</v>
      </c>
      <c r="D17" s="517"/>
      <c r="E17" s="517"/>
      <c r="F17" s="368"/>
    </row>
    <row r="18" spans="1:6">
      <c r="A18" s="516"/>
      <c r="B18" s="522"/>
      <c r="C18" s="517" t="s">
        <v>643</v>
      </c>
      <c r="D18" s="517"/>
      <c r="E18" s="517"/>
      <c r="F18" s="368"/>
    </row>
    <row r="19" spans="1:6">
      <c r="A19" s="516"/>
      <c r="B19" s="522"/>
      <c r="C19" s="517" t="s">
        <v>644</v>
      </c>
      <c r="D19" s="517"/>
      <c r="E19" s="517"/>
      <c r="F19" s="368"/>
    </row>
    <row r="20" spans="1:6">
      <c r="A20" s="516"/>
      <c r="B20" s="522"/>
      <c r="C20" s="517" t="s">
        <v>645</v>
      </c>
      <c r="D20" s="517"/>
      <c r="E20" s="517"/>
      <c r="F20" s="368"/>
    </row>
    <row r="21" spans="1:6">
      <c r="A21" s="516"/>
      <c r="B21" s="522"/>
      <c r="C21" s="517" t="s">
        <v>646</v>
      </c>
      <c r="D21" s="517"/>
      <c r="E21" s="517"/>
      <c r="F21" s="368"/>
    </row>
    <row r="22" spans="1:6">
      <c r="A22" s="525"/>
      <c r="B22" s="526"/>
      <c r="C22" s="529"/>
      <c r="D22" s="529"/>
      <c r="E22" s="529"/>
      <c r="F22" s="402"/>
    </row>
    <row r="23" spans="1:6" ht="20.399999999999999" customHeight="1">
      <c r="A23" s="523" t="s">
        <v>608</v>
      </c>
      <c r="B23" s="524"/>
      <c r="C23" s="527" t="s">
        <v>647</v>
      </c>
      <c r="D23" s="527"/>
      <c r="E23" s="527"/>
      <c r="F23" s="403"/>
    </row>
    <row r="24" spans="1:6" ht="20.399999999999999" customHeight="1">
      <c r="A24" s="525"/>
      <c r="B24" s="526"/>
      <c r="C24" s="530" t="s">
        <v>648</v>
      </c>
      <c r="D24" s="530"/>
      <c r="E24" s="530"/>
      <c r="F24" s="402"/>
    </row>
    <row r="25" spans="1:6">
      <c r="A25" s="516"/>
      <c r="B25" s="522"/>
      <c r="C25" s="518"/>
      <c r="D25" s="518"/>
      <c r="E25" s="518"/>
      <c r="F25" s="368"/>
    </row>
    <row r="26" spans="1:6">
      <c r="A26" s="516" t="s">
        <v>609</v>
      </c>
      <c r="B26" s="522"/>
      <c r="C26" s="395" t="s">
        <v>610</v>
      </c>
      <c r="D26" s="396" t="s">
        <v>611</v>
      </c>
      <c r="E26" s="397" t="s">
        <v>839</v>
      </c>
      <c r="F26" s="368"/>
    </row>
    <row r="27" spans="1:6">
      <c r="A27" s="519"/>
      <c r="B27" s="520"/>
      <c r="C27" s="391" t="s">
        <v>612</v>
      </c>
      <c r="D27" s="393" t="s">
        <v>613</v>
      </c>
      <c r="E27" s="398">
        <v>7173993</v>
      </c>
      <c r="F27" s="368"/>
    </row>
    <row r="28" spans="1:6">
      <c r="A28" s="519"/>
      <c r="B28" s="520"/>
      <c r="C28" s="391" t="s">
        <v>597</v>
      </c>
      <c r="D28" s="393" t="s">
        <v>614</v>
      </c>
      <c r="E28" s="398">
        <v>2034661</v>
      </c>
      <c r="F28" s="368"/>
    </row>
    <row r="29" spans="1:6">
      <c r="A29" s="519"/>
      <c r="B29" s="520"/>
      <c r="C29" s="391" t="s">
        <v>615</v>
      </c>
      <c r="D29" s="393" t="s">
        <v>616</v>
      </c>
      <c r="E29" s="398">
        <v>2040166</v>
      </c>
      <c r="F29" s="368"/>
    </row>
    <row r="30" spans="1:6">
      <c r="A30" s="519"/>
      <c r="B30" s="520"/>
      <c r="C30" s="391" t="s">
        <v>617</v>
      </c>
      <c r="D30" s="393" t="s">
        <v>618</v>
      </c>
      <c r="E30" s="398">
        <v>1488472</v>
      </c>
      <c r="F30" s="368"/>
    </row>
    <row r="31" spans="1:6">
      <c r="A31" s="519"/>
      <c r="B31" s="520"/>
      <c r="C31" s="391" t="s">
        <v>619</v>
      </c>
      <c r="D31" s="393" t="s">
        <v>618</v>
      </c>
      <c r="E31" s="398">
        <v>3357156</v>
      </c>
      <c r="F31" s="368"/>
    </row>
    <row r="32" spans="1:6">
      <c r="A32" s="519"/>
      <c r="B32" s="520"/>
      <c r="C32" s="391" t="s">
        <v>620</v>
      </c>
      <c r="D32" s="393" t="s">
        <v>621</v>
      </c>
      <c r="E32" s="398">
        <v>1246577</v>
      </c>
      <c r="F32" s="368"/>
    </row>
    <row r="33" spans="1:11">
      <c r="A33" s="519"/>
      <c r="B33" s="520"/>
      <c r="C33" s="391" t="s">
        <v>617</v>
      </c>
      <c r="D33" s="393" t="s">
        <v>622</v>
      </c>
      <c r="E33" s="398">
        <v>1488472</v>
      </c>
      <c r="F33" s="368"/>
    </row>
    <row r="34" spans="1:11">
      <c r="A34" s="519"/>
      <c r="B34" s="520"/>
      <c r="C34" s="391" t="s">
        <v>597</v>
      </c>
      <c r="D34" s="393" t="s">
        <v>623</v>
      </c>
      <c r="E34" s="398">
        <v>2034661</v>
      </c>
      <c r="F34" s="368"/>
    </row>
    <row r="35" spans="1:11">
      <c r="A35" s="519"/>
      <c r="B35" s="520"/>
      <c r="C35" s="392" t="s">
        <v>836</v>
      </c>
      <c r="D35" s="394" t="s">
        <v>624</v>
      </c>
      <c r="E35" s="399">
        <v>3830885</v>
      </c>
      <c r="F35" s="368"/>
    </row>
    <row r="36" spans="1:11">
      <c r="A36" s="519"/>
      <c r="B36" s="520"/>
      <c r="C36" s="509"/>
      <c r="D36" s="509"/>
      <c r="E36" s="509"/>
      <c r="F36" s="368"/>
    </row>
    <row r="37" spans="1:11">
      <c r="A37" s="519"/>
      <c r="B37" s="520"/>
      <c r="C37" s="395" t="s">
        <v>625</v>
      </c>
      <c r="D37" s="396" t="s">
        <v>693</v>
      </c>
      <c r="E37" s="396" t="s">
        <v>694</v>
      </c>
      <c r="F37" s="404" t="s">
        <v>626</v>
      </c>
      <c r="H37" s="373"/>
      <c r="I37" s="349"/>
      <c r="K37" s="373"/>
    </row>
    <row r="38" spans="1:11">
      <c r="A38" s="519"/>
      <c r="B38" s="520"/>
      <c r="C38" s="400" t="s">
        <v>627</v>
      </c>
      <c r="D38" s="401" t="s">
        <v>695</v>
      </c>
      <c r="E38" s="401" t="s">
        <v>697</v>
      </c>
      <c r="F38" s="405">
        <v>0.85</v>
      </c>
      <c r="H38" s="373"/>
      <c r="I38" s="349"/>
      <c r="K38" s="373"/>
    </row>
    <row r="39" spans="1:11">
      <c r="A39" s="519"/>
      <c r="B39" s="520"/>
      <c r="C39" s="391" t="s">
        <v>585</v>
      </c>
      <c r="D39" s="393" t="s">
        <v>695</v>
      </c>
      <c r="E39" s="393" t="s">
        <v>698</v>
      </c>
      <c r="F39" s="406">
        <v>0.7</v>
      </c>
      <c r="H39" s="373"/>
      <c r="I39" s="349"/>
      <c r="K39" s="373"/>
    </row>
    <row r="40" spans="1:11">
      <c r="A40" s="378"/>
      <c r="B40" s="390"/>
      <c r="C40" s="391" t="s">
        <v>628</v>
      </c>
      <c r="D40" s="393" t="s">
        <v>695</v>
      </c>
      <c r="E40" s="393" t="s">
        <v>696</v>
      </c>
      <c r="F40" s="406">
        <v>0.998</v>
      </c>
      <c r="H40" s="373"/>
      <c r="I40" s="349"/>
      <c r="K40" s="373"/>
    </row>
    <row r="41" spans="1:11" ht="15" thickBot="1">
      <c r="A41" s="521"/>
      <c r="B41" s="520"/>
      <c r="C41" s="391" t="s">
        <v>651</v>
      </c>
      <c r="D41" s="393" t="s">
        <v>695</v>
      </c>
      <c r="E41" s="393" t="s">
        <v>837</v>
      </c>
      <c r="F41" s="406">
        <v>0.7</v>
      </c>
      <c r="H41" s="373"/>
      <c r="I41" s="349"/>
      <c r="K41" s="373"/>
    </row>
    <row r="42" spans="1:11">
      <c r="A42" s="377"/>
      <c r="B42" s="512"/>
      <c r="C42" s="513"/>
      <c r="D42" s="513"/>
      <c r="E42" s="513"/>
      <c r="F42" s="365"/>
      <c r="H42" s="373"/>
    </row>
    <row r="43" spans="1:11" ht="66" customHeight="1">
      <c r="A43" s="377" t="s">
        <v>629</v>
      </c>
      <c r="B43" s="514" t="s">
        <v>649</v>
      </c>
      <c r="C43" s="515"/>
      <c r="D43" s="515"/>
      <c r="E43" s="515"/>
      <c r="F43" s="368"/>
      <c r="H43" s="373"/>
    </row>
    <row r="44" spans="1:11" ht="26.4" customHeight="1">
      <c r="A44" s="377"/>
      <c r="B44" s="516" t="s">
        <v>652</v>
      </c>
      <c r="C44" s="517"/>
      <c r="D44" s="517"/>
      <c r="E44" s="517"/>
      <c r="F44" s="368"/>
    </row>
    <row r="45" spans="1:11" ht="26.4" customHeight="1">
      <c r="A45" s="378"/>
      <c r="B45" s="516" t="s">
        <v>653</v>
      </c>
      <c r="C45" s="517"/>
      <c r="D45" s="517"/>
      <c r="E45" s="517"/>
      <c r="F45" s="368"/>
    </row>
    <row r="46" spans="1:11" ht="26.4" customHeight="1">
      <c r="A46" s="378"/>
      <c r="B46" s="516" t="s">
        <v>654</v>
      </c>
      <c r="C46" s="517"/>
      <c r="D46" s="517"/>
      <c r="E46" s="517"/>
      <c r="F46" s="368"/>
    </row>
    <row r="47" spans="1:11" ht="26.4" customHeight="1">
      <c r="A47" s="378"/>
      <c r="B47" s="516" t="s">
        <v>650</v>
      </c>
      <c r="C47" s="517"/>
      <c r="D47" s="517"/>
      <c r="E47" s="517"/>
      <c r="F47" s="368"/>
    </row>
    <row r="48" spans="1:11">
      <c r="A48" s="378"/>
      <c r="B48" s="508"/>
      <c r="C48" s="509"/>
      <c r="D48" s="509"/>
      <c r="E48" s="509"/>
      <c r="F48" s="368"/>
    </row>
    <row r="49" spans="1:10" ht="15" thickBot="1">
      <c r="A49" s="379"/>
      <c r="B49" s="510"/>
      <c r="C49" s="511"/>
      <c r="D49" s="511"/>
      <c r="E49" s="511"/>
      <c r="F49" s="407"/>
    </row>
    <row r="50" spans="1:10">
      <c r="A50" s="354"/>
      <c r="B50" s="354"/>
      <c r="C50" s="509"/>
      <c r="D50" s="509"/>
      <c r="E50" s="509"/>
    </row>
    <row r="51" spans="1:10">
      <c r="A51" s="354"/>
      <c r="B51" s="108"/>
      <c r="C51" s="108"/>
      <c r="D51" s="108"/>
      <c r="E51" s="108"/>
    </row>
    <row r="52" spans="1:10">
      <c r="A52" s="350" t="s">
        <v>630</v>
      </c>
      <c r="B52" s="108"/>
      <c r="C52" s="108"/>
      <c r="D52" s="108"/>
      <c r="E52" s="108"/>
    </row>
    <row r="53" spans="1:10" ht="15" thickBot="1">
      <c r="A53" s="108"/>
      <c r="B53" s="108"/>
      <c r="C53" s="108"/>
      <c r="D53" s="108"/>
      <c r="E53" s="108"/>
    </row>
    <row r="54" spans="1:10" s="422" customFormat="1" ht="48.6" thickBot="1">
      <c r="A54" s="420" t="s">
        <v>671</v>
      </c>
      <c r="B54" s="372" t="s">
        <v>672</v>
      </c>
      <c r="C54" s="372" t="s">
        <v>673</v>
      </c>
      <c r="D54" s="372" t="s">
        <v>674</v>
      </c>
      <c r="E54" s="372" t="s">
        <v>675</v>
      </c>
      <c r="F54" s="153" t="s">
        <v>676</v>
      </c>
      <c r="G54" s="153" t="s">
        <v>677</v>
      </c>
      <c r="H54" s="153" t="s">
        <v>678</v>
      </c>
      <c r="I54" s="421" t="s">
        <v>679</v>
      </c>
      <c r="J54" s="154" t="s">
        <v>838</v>
      </c>
    </row>
    <row r="55" spans="1:10" s="348" customFormat="1" ht="12">
      <c r="A55" s="377">
        <v>1</v>
      </c>
      <c r="B55" s="366" t="s">
        <v>680</v>
      </c>
      <c r="C55" s="414">
        <v>1</v>
      </c>
      <c r="D55" s="414">
        <v>1</v>
      </c>
      <c r="E55" s="414">
        <v>126</v>
      </c>
      <c r="F55" s="413">
        <v>126</v>
      </c>
      <c r="G55" s="413" t="s">
        <v>681</v>
      </c>
      <c r="H55" s="414">
        <v>126</v>
      </c>
      <c r="I55" s="414">
        <v>126000000</v>
      </c>
      <c r="J55" s="415">
        <v>0.46652843601895733</v>
      </c>
    </row>
    <row r="56" spans="1:10" s="348" customFormat="1" ht="12">
      <c r="A56" s="377">
        <v>2</v>
      </c>
      <c r="B56" s="366" t="s">
        <v>680</v>
      </c>
      <c r="C56" s="414">
        <v>1</v>
      </c>
      <c r="D56" s="414">
        <v>127</v>
      </c>
      <c r="E56" s="414">
        <v>252</v>
      </c>
      <c r="F56" s="413">
        <v>126</v>
      </c>
      <c r="G56" s="413" t="s">
        <v>681</v>
      </c>
      <c r="H56" s="414">
        <v>126</v>
      </c>
      <c r="I56" s="414">
        <v>126000000</v>
      </c>
      <c r="J56" s="415">
        <v>0.46652843601895733</v>
      </c>
    </row>
    <row r="57" spans="1:10" s="348" customFormat="1" ht="12">
      <c r="A57" s="377">
        <v>3</v>
      </c>
      <c r="B57" s="366" t="s">
        <v>680</v>
      </c>
      <c r="C57" s="414">
        <v>1</v>
      </c>
      <c r="D57" s="414">
        <v>253</v>
      </c>
      <c r="E57" s="414">
        <v>378</v>
      </c>
      <c r="F57" s="413">
        <v>126</v>
      </c>
      <c r="G57" s="413" t="s">
        <v>681</v>
      </c>
      <c r="H57" s="414">
        <v>126</v>
      </c>
      <c r="I57" s="414">
        <v>126000000</v>
      </c>
      <c r="J57" s="415">
        <v>0.46652843601895733</v>
      </c>
    </row>
    <row r="58" spans="1:10" s="348" customFormat="1" ht="12">
      <c r="A58" s="377">
        <v>4</v>
      </c>
      <c r="B58" s="366" t="s">
        <v>680</v>
      </c>
      <c r="C58" s="414">
        <v>1</v>
      </c>
      <c r="D58" s="414">
        <v>379</v>
      </c>
      <c r="E58" s="414">
        <v>441</v>
      </c>
      <c r="F58" s="413">
        <v>63</v>
      </c>
      <c r="G58" s="413" t="s">
        <v>681</v>
      </c>
      <c r="H58" s="414">
        <v>63</v>
      </c>
      <c r="I58" s="414">
        <v>63000000</v>
      </c>
      <c r="J58" s="415">
        <v>0.23326421800947866</v>
      </c>
    </row>
    <row r="59" spans="1:10" s="348" customFormat="1" ht="12">
      <c r="A59" s="377">
        <v>5</v>
      </c>
      <c r="B59" s="366" t="s">
        <v>682</v>
      </c>
      <c r="C59" s="414">
        <v>1</v>
      </c>
      <c r="D59" s="414">
        <v>442</v>
      </c>
      <c r="E59" s="414">
        <v>448</v>
      </c>
      <c r="F59" s="413">
        <v>7</v>
      </c>
      <c r="G59" s="413" t="s">
        <v>681</v>
      </c>
      <c r="H59" s="414">
        <v>7</v>
      </c>
      <c r="I59" s="414">
        <v>7000000</v>
      </c>
      <c r="J59" s="415">
        <v>2.5918246445497631E-2</v>
      </c>
    </row>
    <row r="60" spans="1:10" s="348" customFormat="1" ht="12">
      <c r="A60" s="423">
        <v>6</v>
      </c>
      <c r="B60" s="366" t="s">
        <v>682</v>
      </c>
      <c r="C60" s="414">
        <v>1</v>
      </c>
      <c r="D60" s="414">
        <v>449</v>
      </c>
      <c r="E60" s="414">
        <v>489</v>
      </c>
      <c r="F60" s="413">
        <v>41</v>
      </c>
      <c r="G60" s="413" t="s">
        <v>681</v>
      </c>
      <c r="H60" s="414">
        <v>41</v>
      </c>
      <c r="I60" s="414">
        <v>41000000</v>
      </c>
      <c r="J60" s="415">
        <v>0.15180687203791471</v>
      </c>
    </row>
    <row r="61" spans="1:10" s="348" customFormat="1" ht="12">
      <c r="A61" s="377">
        <v>7</v>
      </c>
      <c r="B61" s="366" t="s">
        <v>683</v>
      </c>
      <c r="C61" s="414">
        <v>1</v>
      </c>
      <c r="D61" s="414">
        <v>490</v>
      </c>
      <c r="E61" s="414">
        <v>504</v>
      </c>
      <c r="F61" s="413">
        <v>15</v>
      </c>
      <c r="G61" s="413" t="s">
        <v>681</v>
      </c>
      <c r="H61" s="414">
        <v>15</v>
      </c>
      <c r="I61" s="414">
        <v>15000000</v>
      </c>
      <c r="J61" s="415">
        <v>5.5539099526066352E-2</v>
      </c>
    </row>
    <row r="62" spans="1:10" s="348" customFormat="1" ht="12">
      <c r="A62" s="423">
        <v>8</v>
      </c>
      <c r="B62" s="366" t="s">
        <v>682</v>
      </c>
      <c r="C62" s="414">
        <v>1</v>
      </c>
      <c r="D62" s="414">
        <v>505</v>
      </c>
      <c r="E62" s="414">
        <v>567</v>
      </c>
      <c r="F62" s="413">
        <v>63</v>
      </c>
      <c r="G62" s="413" t="s">
        <v>681</v>
      </c>
      <c r="H62" s="414">
        <v>63</v>
      </c>
      <c r="I62" s="414">
        <v>63000000</v>
      </c>
      <c r="J62" s="415">
        <v>0.23326421800947866</v>
      </c>
    </row>
    <row r="63" spans="1:10" s="348" customFormat="1" ht="12">
      <c r="A63" s="377">
        <v>9</v>
      </c>
      <c r="B63" s="366" t="s">
        <v>683</v>
      </c>
      <c r="C63" s="414">
        <v>1</v>
      </c>
      <c r="D63" s="414">
        <v>568</v>
      </c>
      <c r="E63" s="414">
        <v>630</v>
      </c>
      <c r="F63" s="413">
        <v>63</v>
      </c>
      <c r="G63" s="413" t="s">
        <v>681</v>
      </c>
      <c r="H63" s="414">
        <v>63</v>
      </c>
      <c r="I63" s="414">
        <v>63000000</v>
      </c>
      <c r="J63" s="415">
        <v>0.23326421800947866</v>
      </c>
    </row>
    <row r="64" spans="1:10" s="348" customFormat="1" ht="12">
      <c r="A64" s="377">
        <v>10</v>
      </c>
      <c r="B64" s="366" t="s">
        <v>680</v>
      </c>
      <c r="C64" s="414">
        <v>1</v>
      </c>
      <c r="D64" s="414">
        <v>631</v>
      </c>
      <c r="E64" s="414">
        <v>670</v>
      </c>
      <c r="F64" s="413">
        <v>40</v>
      </c>
      <c r="G64" s="413" t="s">
        <v>681</v>
      </c>
      <c r="H64" s="414">
        <v>40</v>
      </c>
      <c r="I64" s="414">
        <v>40000000</v>
      </c>
      <c r="J64" s="415">
        <v>0.1481042654028436</v>
      </c>
    </row>
    <row r="65" spans="1:10" s="348" customFormat="1" ht="12">
      <c r="A65" s="377">
        <v>11</v>
      </c>
      <c r="B65" s="366" t="s">
        <v>680</v>
      </c>
      <c r="C65" s="414">
        <v>1</v>
      </c>
      <c r="D65" s="414">
        <v>671</v>
      </c>
      <c r="E65" s="414">
        <v>710</v>
      </c>
      <c r="F65" s="413">
        <v>40</v>
      </c>
      <c r="G65" s="413" t="s">
        <v>681</v>
      </c>
      <c r="H65" s="414">
        <v>40</v>
      </c>
      <c r="I65" s="414">
        <v>40000000</v>
      </c>
      <c r="J65" s="415">
        <v>0.1481042654028436</v>
      </c>
    </row>
    <row r="66" spans="1:10" s="348" customFormat="1" ht="12">
      <c r="A66" s="377">
        <v>12</v>
      </c>
      <c r="B66" s="366" t="s">
        <v>680</v>
      </c>
      <c r="C66" s="414">
        <v>1</v>
      </c>
      <c r="D66" s="414">
        <v>711</v>
      </c>
      <c r="E66" s="414">
        <v>750</v>
      </c>
      <c r="F66" s="413">
        <v>40</v>
      </c>
      <c r="G66" s="413" t="s">
        <v>681</v>
      </c>
      <c r="H66" s="414">
        <v>40</v>
      </c>
      <c r="I66" s="414">
        <v>40000000</v>
      </c>
      <c r="J66" s="415">
        <v>0.1481042654028436</v>
      </c>
    </row>
    <row r="67" spans="1:10" s="348" customFormat="1" ht="12">
      <c r="A67" s="377">
        <v>13</v>
      </c>
      <c r="B67" s="366" t="s">
        <v>680</v>
      </c>
      <c r="C67" s="414">
        <v>1</v>
      </c>
      <c r="D67" s="414">
        <v>751</v>
      </c>
      <c r="E67" s="414">
        <v>770</v>
      </c>
      <c r="F67" s="413">
        <v>20</v>
      </c>
      <c r="G67" s="413" t="s">
        <v>681</v>
      </c>
      <c r="H67" s="414">
        <v>20</v>
      </c>
      <c r="I67" s="414">
        <v>20000000</v>
      </c>
      <c r="J67" s="415">
        <v>7.4052132701421802E-2</v>
      </c>
    </row>
    <row r="68" spans="1:10" s="348" customFormat="1" ht="12">
      <c r="A68" s="377">
        <v>14</v>
      </c>
      <c r="B68" s="366" t="s">
        <v>682</v>
      </c>
      <c r="C68" s="414">
        <v>1</v>
      </c>
      <c r="D68" s="414">
        <v>771</v>
      </c>
      <c r="E68" s="414">
        <v>780</v>
      </c>
      <c r="F68" s="413">
        <v>10</v>
      </c>
      <c r="G68" s="413" t="s">
        <v>681</v>
      </c>
      <c r="H68" s="414">
        <v>10</v>
      </c>
      <c r="I68" s="414">
        <v>10000000</v>
      </c>
      <c r="J68" s="415">
        <v>3.7026066350710901E-2</v>
      </c>
    </row>
    <row r="69" spans="1:10" s="348" customFormat="1" ht="12">
      <c r="A69" s="377">
        <v>15</v>
      </c>
      <c r="B69" s="366" t="s">
        <v>683</v>
      </c>
      <c r="C69" s="414">
        <v>1</v>
      </c>
      <c r="D69" s="414">
        <v>781</v>
      </c>
      <c r="E69" s="414">
        <v>790</v>
      </c>
      <c r="F69" s="413">
        <v>10</v>
      </c>
      <c r="G69" s="413" t="s">
        <v>681</v>
      </c>
      <c r="H69" s="414">
        <v>10</v>
      </c>
      <c r="I69" s="414">
        <v>10000000</v>
      </c>
      <c r="J69" s="415">
        <v>3.7026066350710901E-2</v>
      </c>
    </row>
    <row r="70" spans="1:10" s="348" customFormat="1" ht="12">
      <c r="A70" s="377">
        <v>16</v>
      </c>
      <c r="B70" s="366" t="s">
        <v>682</v>
      </c>
      <c r="C70" s="414">
        <v>1</v>
      </c>
      <c r="D70" s="414">
        <v>791</v>
      </c>
      <c r="E70" s="414">
        <v>810</v>
      </c>
      <c r="F70" s="413">
        <v>20</v>
      </c>
      <c r="G70" s="413" t="s">
        <v>681</v>
      </c>
      <c r="H70" s="414">
        <v>20</v>
      </c>
      <c r="I70" s="414">
        <v>20000000</v>
      </c>
      <c r="J70" s="415">
        <v>7.4052132701421802E-2</v>
      </c>
    </row>
    <row r="71" spans="1:10" s="348" customFormat="1" ht="12">
      <c r="A71" s="377">
        <v>17</v>
      </c>
      <c r="B71" s="366" t="s">
        <v>683</v>
      </c>
      <c r="C71" s="414">
        <v>1</v>
      </c>
      <c r="D71" s="414">
        <v>811</v>
      </c>
      <c r="E71" s="414">
        <v>830</v>
      </c>
      <c r="F71" s="413">
        <v>20</v>
      </c>
      <c r="G71" s="413" t="s">
        <v>681</v>
      </c>
      <c r="H71" s="414">
        <v>20</v>
      </c>
      <c r="I71" s="414">
        <v>20000000</v>
      </c>
      <c r="J71" s="415">
        <v>7.4052132701421802E-2</v>
      </c>
    </row>
    <row r="72" spans="1:10" s="348" customFormat="1" ht="12">
      <c r="A72" s="377">
        <v>18</v>
      </c>
      <c r="B72" s="366" t="s">
        <v>680</v>
      </c>
      <c r="C72" s="414">
        <v>1</v>
      </c>
      <c r="D72" s="414">
        <v>831</v>
      </c>
      <c r="E72" s="414">
        <v>941</v>
      </c>
      <c r="F72" s="413">
        <v>111</v>
      </c>
      <c r="G72" s="413" t="s">
        <v>681</v>
      </c>
      <c r="H72" s="414">
        <v>111</v>
      </c>
      <c r="I72" s="414">
        <v>111000000</v>
      </c>
      <c r="J72" s="415">
        <v>0.41098933649289099</v>
      </c>
    </row>
    <row r="73" spans="1:10" s="348" customFormat="1" ht="12">
      <c r="A73" s="377">
        <v>19</v>
      </c>
      <c r="B73" s="366" t="s">
        <v>680</v>
      </c>
      <c r="C73" s="414">
        <v>1</v>
      </c>
      <c r="D73" s="414">
        <v>942</v>
      </c>
      <c r="E73" s="414">
        <v>1089</v>
      </c>
      <c r="F73" s="413">
        <v>148</v>
      </c>
      <c r="G73" s="413" t="s">
        <v>681</v>
      </c>
      <c r="H73" s="414">
        <v>148</v>
      </c>
      <c r="I73" s="414">
        <v>148000000</v>
      </c>
      <c r="J73" s="415">
        <v>0.54798578199052139</v>
      </c>
    </row>
    <row r="74" spans="1:10" s="348" customFormat="1" ht="12">
      <c r="A74" s="377">
        <v>20</v>
      </c>
      <c r="B74" s="366" t="s">
        <v>682</v>
      </c>
      <c r="C74" s="414">
        <v>1</v>
      </c>
      <c r="D74" s="414">
        <v>1090</v>
      </c>
      <c r="E74" s="414">
        <v>1133</v>
      </c>
      <c r="F74" s="413">
        <v>44</v>
      </c>
      <c r="G74" s="413" t="s">
        <v>681</v>
      </c>
      <c r="H74" s="414">
        <v>44</v>
      </c>
      <c r="I74" s="414">
        <v>44000000</v>
      </c>
      <c r="J74" s="415">
        <v>0.16291469194312796</v>
      </c>
    </row>
    <row r="75" spans="1:10" s="348" customFormat="1" ht="12">
      <c r="A75" s="377">
        <v>21</v>
      </c>
      <c r="B75" s="366" t="s">
        <v>683</v>
      </c>
      <c r="C75" s="414">
        <v>1</v>
      </c>
      <c r="D75" s="414">
        <v>1134</v>
      </c>
      <c r="E75" s="414">
        <v>1181</v>
      </c>
      <c r="F75" s="413">
        <v>48</v>
      </c>
      <c r="G75" s="413" t="s">
        <v>681</v>
      </c>
      <c r="H75" s="414">
        <v>48</v>
      </c>
      <c r="I75" s="414">
        <v>48000000</v>
      </c>
      <c r="J75" s="415">
        <v>0.17772511848341233</v>
      </c>
    </row>
    <row r="76" spans="1:10" s="348" customFormat="1" ht="12">
      <c r="A76" s="377">
        <v>22</v>
      </c>
      <c r="B76" s="366" t="s">
        <v>683</v>
      </c>
      <c r="C76" s="414">
        <v>1</v>
      </c>
      <c r="D76" s="414">
        <v>1182</v>
      </c>
      <c r="E76" s="414">
        <v>1200</v>
      </c>
      <c r="F76" s="413">
        <v>19</v>
      </c>
      <c r="G76" s="413" t="s">
        <v>681</v>
      </c>
      <c r="H76" s="414">
        <v>19</v>
      </c>
      <c r="I76" s="414">
        <v>19000000</v>
      </c>
      <c r="J76" s="415">
        <v>7.0349526066350712E-2</v>
      </c>
    </row>
    <row r="77" spans="1:10" s="348" customFormat="1" ht="12">
      <c r="A77" s="377">
        <v>23</v>
      </c>
      <c r="B77" s="366" t="s">
        <v>680</v>
      </c>
      <c r="C77" s="414">
        <v>1</v>
      </c>
      <c r="D77" s="414">
        <v>1201</v>
      </c>
      <c r="E77" s="414">
        <v>1440</v>
      </c>
      <c r="F77" s="413">
        <v>240</v>
      </c>
      <c r="G77" s="413" t="s">
        <v>681</v>
      </c>
      <c r="H77" s="414">
        <v>240</v>
      </c>
      <c r="I77" s="414">
        <v>240000000</v>
      </c>
      <c r="J77" s="415">
        <v>0.88862559241706163</v>
      </c>
    </row>
    <row r="78" spans="1:10" s="348" customFormat="1" ht="12">
      <c r="A78" s="377">
        <v>24</v>
      </c>
      <c r="B78" s="366" t="s">
        <v>680</v>
      </c>
      <c r="C78" s="414">
        <v>1</v>
      </c>
      <c r="D78" s="414">
        <v>1441</v>
      </c>
      <c r="E78" s="414">
        <v>1620</v>
      </c>
      <c r="F78" s="413">
        <v>180</v>
      </c>
      <c r="G78" s="413" t="s">
        <v>681</v>
      </c>
      <c r="H78" s="414">
        <v>180</v>
      </c>
      <c r="I78" s="414">
        <v>180000000</v>
      </c>
      <c r="J78" s="415">
        <v>0.66646919431279628</v>
      </c>
    </row>
    <row r="79" spans="1:10" s="348" customFormat="1" ht="12">
      <c r="A79" s="377">
        <v>25</v>
      </c>
      <c r="B79" s="366" t="s">
        <v>683</v>
      </c>
      <c r="C79" s="414">
        <v>1</v>
      </c>
      <c r="D79" s="414">
        <v>1621</v>
      </c>
      <c r="E79" s="414">
        <v>1698</v>
      </c>
      <c r="F79" s="413">
        <v>78</v>
      </c>
      <c r="G79" s="413" t="s">
        <v>681</v>
      </c>
      <c r="H79" s="414">
        <v>78</v>
      </c>
      <c r="I79" s="414">
        <v>78000000</v>
      </c>
      <c r="J79" s="415">
        <v>0.288803317535545</v>
      </c>
    </row>
    <row r="80" spans="1:10" s="348" customFormat="1" ht="12">
      <c r="A80" s="377">
        <v>26</v>
      </c>
      <c r="B80" s="366" t="s">
        <v>682</v>
      </c>
      <c r="C80" s="414">
        <v>1</v>
      </c>
      <c r="D80" s="414">
        <v>1699</v>
      </c>
      <c r="E80" s="414">
        <v>1770</v>
      </c>
      <c r="F80" s="413">
        <v>72</v>
      </c>
      <c r="G80" s="413" t="s">
        <v>681</v>
      </c>
      <c r="H80" s="414">
        <v>72</v>
      </c>
      <c r="I80" s="414">
        <v>72000000</v>
      </c>
      <c r="J80" s="415">
        <v>0.26658767772511849</v>
      </c>
    </row>
    <row r="81" spans="1:10" s="348" customFormat="1" ht="12">
      <c r="A81" s="377">
        <v>27</v>
      </c>
      <c r="B81" s="366" t="s">
        <v>683</v>
      </c>
      <c r="C81" s="414">
        <v>1</v>
      </c>
      <c r="D81" s="414">
        <v>1771</v>
      </c>
      <c r="E81" s="414">
        <v>1800</v>
      </c>
      <c r="F81" s="413">
        <v>30</v>
      </c>
      <c r="G81" s="413" t="s">
        <v>681</v>
      </c>
      <c r="H81" s="414">
        <v>30</v>
      </c>
      <c r="I81" s="414">
        <v>30000000</v>
      </c>
      <c r="J81" s="415">
        <v>0.1110781990521327</v>
      </c>
    </row>
    <row r="82" spans="1:10" s="348" customFormat="1" ht="12">
      <c r="A82" s="377">
        <v>28</v>
      </c>
      <c r="B82" s="366" t="s">
        <v>680</v>
      </c>
      <c r="C82" s="414">
        <v>1</v>
      </c>
      <c r="D82" s="414">
        <v>1801</v>
      </c>
      <c r="E82" s="414">
        <v>1898</v>
      </c>
      <c r="F82" s="413">
        <v>98</v>
      </c>
      <c r="G82" s="413" t="s">
        <v>681</v>
      </c>
      <c r="H82" s="414">
        <v>98</v>
      </c>
      <c r="I82" s="414">
        <v>98000000</v>
      </c>
      <c r="J82" s="415">
        <v>0.36285545023696686</v>
      </c>
    </row>
    <row r="83" spans="1:10" s="348" customFormat="1" ht="12">
      <c r="A83" s="377">
        <v>29</v>
      </c>
      <c r="B83" s="366" t="s">
        <v>682</v>
      </c>
      <c r="C83" s="414">
        <v>1</v>
      </c>
      <c r="D83" s="414">
        <v>1899</v>
      </c>
      <c r="E83" s="414">
        <v>2141</v>
      </c>
      <c r="F83" s="413">
        <v>243</v>
      </c>
      <c r="G83" s="413" t="s">
        <v>681</v>
      </c>
      <c r="H83" s="414">
        <v>243</v>
      </c>
      <c r="I83" s="414">
        <v>243000000</v>
      </c>
      <c r="J83" s="415">
        <v>0.89973341232227488</v>
      </c>
    </row>
    <row r="84" spans="1:10" s="348" customFormat="1" ht="12">
      <c r="A84" s="377">
        <v>30</v>
      </c>
      <c r="B84" s="366" t="s">
        <v>683</v>
      </c>
      <c r="C84" s="414">
        <v>1</v>
      </c>
      <c r="D84" s="414">
        <v>2142</v>
      </c>
      <c r="E84" s="414">
        <v>2384</v>
      </c>
      <c r="F84" s="413">
        <v>243</v>
      </c>
      <c r="G84" s="413" t="s">
        <v>681</v>
      </c>
      <c r="H84" s="414">
        <v>243</v>
      </c>
      <c r="I84" s="414">
        <v>243000000</v>
      </c>
      <c r="J84" s="415">
        <v>0.89973341232227488</v>
      </c>
    </row>
    <row r="85" spans="1:10" s="348" customFormat="1" ht="12">
      <c r="A85" s="377">
        <v>31</v>
      </c>
      <c r="B85" s="366" t="s">
        <v>680</v>
      </c>
      <c r="C85" s="414">
        <v>1</v>
      </c>
      <c r="D85" s="414">
        <v>2385</v>
      </c>
      <c r="E85" s="414">
        <v>2480</v>
      </c>
      <c r="F85" s="413">
        <v>96</v>
      </c>
      <c r="G85" s="413" t="s">
        <v>681</v>
      </c>
      <c r="H85" s="414">
        <v>96</v>
      </c>
      <c r="I85" s="414">
        <v>96000000</v>
      </c>
      <c r="J85" s="415">
        <v>0.35545023696682465</v>
      </c>
    </row>
    <row r="86" spans="1:10" s="348" customFormat="1" ht="12">
      <c r="A86" s="377">
        <v>32</v>
      </c>
      <c r="B86" s="366" t="s">
        <v>680</v>
      </c>
      <c r="C86" s="414">
        <v>1</v>
      </c>
      <c r="D86" s="414">
        <v>2481</v>
      </c>
      <c r="E86" s="414">
        <v>2990</v>
      </c>
      <c r="F86" s="413">
        <v>510</v>
      </c>
      <c r="G86" s="413" t="s">
        <v>681</v>
      </c>
      <c r="H86" s="414">
        <v>510</v>
      </c>
      <c r="I86" s="414">
        <v>510000000</v>
      </c>
      <c r="J86" s="415">
        <v>1.8883293838862558</v>
      </c>
    </row>
    <row r="87" spans="1:10" s="348" customFormat="1" ht="12">
      <c r="A87" s="377">
        <v>33</v>
      </c>
      <c r="B87" s="366" t="s">
        <v>683</v>
      </c>
      <c r="C87" s="414">
        <v>1</v>
      </c>
      <c r="D87" s="414">
        <v>2991</v>
      </c>
      <c r="E87" s="414">
        <v>3211</v>
      </c>
      <c r="F87" s="413">
        <v>221</v>
      </c>
      <c r="G87" s="413" t="s">
        <v>681</v>
      </c>
      <c r="H87" s="414">
        <v>221</v>
      </c>
      <c r="I87" s="414">
        <v>221000000</v>
      </c>
      <c r="J87" s="415">
        <v>0.81827606635071093</v>
      </c>
    </row>
    <row r="88" spans="1:10" s="348" customFormat="1" ht="12">
      <c r="A88" s="377">
        <v>34</v>
      </c>
      <c r="B88" s="366" t="s">
        <v>682</v>
      </c>
      <c r="C88" s="414">
        <v>1</v>
      </c>
      <c r="D88" s="414">
        <v>3212</v>
      </c>
      <c r="E88" s="414">
        <v>3415</v>
      </c>
      <c r="F88" s="413">
        <v>204</v>
      </c>
      <c r="G88" s="413" t="s">
        <v>681</v>
      </c>
      <c r="H88" s="414">
        <v>204</v>
      </c>
      <c r="I88" s="414">
        <v>204000000</v>
      </c>
      <c r="J88" s="415">
        <v>0.75533175355450233</v>
      </c>
    </row>
    <row r="89" spans="1:10" s="348" customFormat="1" ht="12">
      <c r="A89" s="377">
        <v>35</v>
      </c>
      <c r="B89" s="366" t="s">
        <v>683</v>
      </c>
      <c r="C89" s="414">
        <v>1</v>
      </c>
      <c r="D89" s="414">
        <v>3416</v>
      </c>
      <c r="E89" s="414">
        <v>3448</v>
      </c>
      <c r="F89" s="413">
        <v>33</v>
      </c>
      <c r="G89" s="413" t="s">
        <v>681</v>
      </c>
      <c r="H89" s="414">
        <v>33</v>
      </c>
      <c r="I89" s="414">
        <v>33000000</v>
      </c>
      <c r="J89" s="415">
        <v>0.12218601895734597</v>
      </c>
    </row>
    <row r="90" spans="1:10" s="348" customFormat="1" ht="12">
      <c r="A90" s="377">
        <v>36</v>
      </c>
      <c r="B90" s="366" t="s">
        <v>682</v>
      </c>
      <c r="C90" s="414">
        <v>1</v>
      </c>
      <c r="D90" s="414">
        <v>3449</v>
      </c>
      <c r="E90" s="414">
        <v>3500</v>
      </c>
      <c r="F90" s="413">
        <v>52</v>
      </c>
      <c r="G90" s="413" t="s">
        <v>681</v>
      </c>
      <c r="H90" s="414">
        <v>52</v>
      </c>
      <c r="I90" s="414">
        <v>52000000</v>
      </c>
      <c r="J90" s="415">
        <v>0.19253554502369669</v>
      </c>
    </row>
    <row r="91" spans="1:10" s="348" customFormat="1" ht="12">
      <c r="A91" s="377">
        <v>37</v>
      </c>
      <c r="B91" s="366" t="s">
        <v>680</v>
      </c>
      <c r="C91" s="414">
        <v>1</v>
      </c>
      <c r="D91" s="414">
        <v>3501</v>
      </c>
      <c r="E91" s="414">
        <v>3558</v>
      </c>
      <c r="F91" s="413">
        <v>58</v>
      </c>
      <c r="G91" s="413" t="s">
        <v>681</v>
      </c>
      <c r="H91" s="414">
        <v>58</v>
      </c>
      <c r="I91" s="414">
        <v>58000000</v>
      </c>
      <c r="J91" s="415">
        <v>0.21475118483412323</v>
      </c>
    </row>
    <row r="92" spans="1:10" s="348" customFormat="1" ht="12">
      <c r="A92" s="377">
        <v>38</v>
      </c>
      <c r="B92" s="366" t="s">
        <v>682</v>
      </c>
      <c r="C92" s="414">
        <v>1</v>
      </c>
      <c r="D92" s="414">
        <v>3559</v>
      </c>
      <c r="E92" s="414">
        <v>3740</v>
      </c>
      <c r="F92" s="413">
        <v>182</v>
      </c>
      <c r="G92" s="413" t="s">
        <v>681</v>
      </c>
      <c r="H92" s="414">
        <v>182</v>
      </c>
      <c r="I92" s="414">
        <v>182000000</v>
      </c>
      <c r="J92" s="415">
        <v>0.67387440758293837</v>
      </c>
    </row>
    <row r="93" spans="1:10" s="348" customFormat="1" ht="12">
      <c r="A93" s="377">
        <v>39</v>
      </c>
      <c r="B93" s="366" t="s">
        <v>680</v>
      </c>
      <c r="C93" s="414">
        <v>1</v>
      </c>
      <c r="D93" s="414">
        <v>3741</v>
      </c>
      <c r="E93" s="414">
        <v>3920</v>
      </c>
      <c r="F93" s="413">
        <v>180</v>
      </c>
      <c r="G93" s="413" t="s">
        <v>681</v>
      </c>
      <c r="H93" s="414">
        <v>180</v>
      </c>
      <c r="I93" s="414">
        <v>180000000</v>
      </c>
      <c r="J93" s="415">
        <v>0.66646919431279628</v>
      </c>
    </row>
    <row r="94" spans="1:10" s="348" customFormat="1" ht="12">
      <c r="A94" s="423">
        <v>40</v>
      </c>
      <c r="B94" s="366" t="s">
        <v>683</v>
      </c>
      <c r="C94" s="414">
        <v>1</v>
      </c>
      <c r="D94" s="414">
        <v>3921</v>
      </c>
      <c r="E94" s="414">
        <v>3998</v>
      </c>
      <c r="F94" s="413">
        <v>78</v>
      </c>
      <c r="G94" s="413" t="s">
        <v>681</v>
      </c>
      <c r="H94" s="414">
        <v>78</v>
      </c>
      <c r="I94" s="414">
        <v>78000000</v>
      </c>
      <c r="J94" s="415">
        <v>0.288803317535545</v>
      </c>
    </row>
    <row r="95" spans="1:10" s="348" customFormat="1" ht="12">
      <c r="A95" s="423">
        <v>41</v>
      </c>
      <c r="B95" s="366" t="s">
        <v>682</v>
      </c>
      <c r="C95" s="414">
        <v>1</v>
      </c>
      <c r="D95" s="414">
        <v>3999</v>
      </c>
      <c r="E95" s="414">
        <v>4070</v>
      </c>
      <c r="F95" s="413">
        <v>72</v>
      </c>
      <c r="G95" s="413" t="s">
        <v>681</v>
      </c>
      <c r="H95" s="414">
        <v>72</v>
      </c>
      <c r="I95" s="414">
        <v>72000000</v>
      </c>
      <c r="J95" s="415">
        <v>0.26658767772511849</v>
      </c>
    </row>
    <row r="96" spans="1:10" s="348" customFormat="1" ht="12">
      <c r="A96" s="423">
        <v>42</v>
      </c>
      <c r="B96" s="366" t="s">
        <v>682</v>
      </c>
      <c r="C96" s="414">
        <v>1</v>
      </c>
      <c r="D96" s="414">
        <v>4071</v>
      </c>
      <c r="E96" s="414">
        <v>4100</v>
      </c>
      <c r="F96" s="413">
        <v>30</v>
      </c>
      <c r="G96" s="413" t="s">
        <v>681</v>
      </c>
      <c r="H96" s="414">
        <v>30</v>
      </c>
      <c r="I96" s="414">
        <v>30000000</v>
      </c>
      <c r="J96" s="415">
        <v>0.1110781990521327</v>
      </c>
    </row>
    <row r="97" spans="1:10" s="348" customFormat="1" ht="12">
      <c r="A97" s="423">
        <v>43</v>
      </c>
      <c r="B97" s="366" t="s">
        <v>682</v>
      </c>
      <c r="C97" s="414">
        <v>1</v>
      </c>
      <c r="D97" s="414">
        <v>4101</v>
      </c>
      <c r="E97" s="414">
        <v>4161</v>
      </c>
      <c r="F97" s="413">
        <v>61</v>
      </c>
      <c r="G97" s="413" t="s">
        <v>681</v>
      </c>
      <c r="H97" s="414">
        <v>61</v>
      </c>
      <c r="I97" s="414">
        <v>61000000</v>
      </c>
      <c r="J97" s="415">
        <v>0.22585900473933648</v>
      </c>
    </row>
    <row r="98" spans="1:10" s="348" customFormat="1" ht="12">
      <c r="A98" s="423">
        <v>44</v>
      </c>
      <c r="B98" s="366" t="s">
        <v>683</v>
      </c>
      <c r="C98" s="414">
        <v>1</v>
      </c>
      <c r="D98" s="414">
        <v>4162</v>
      </c>
      <c r="E98" s="414">
        <v>4404</v>
      </c>
      <c r="F98" s="413">
        <v>243</v>
      </c>
      <c r="G98" s="413" t="s">
        <v>681</v>
      </c>
      <c r="H98" s="414">
        <v>243</v>
      </c>
      <c r="I98" s="414">
        <v>243000000</v>
      </c>
      <c r="J98" s="415">
        <v>0.89973341232227488</v>
      </c>
    </row>
    <row r="99" spans="1:10" s="348" customFormat="1" ht="12">
      <c r="A99" s="423">
        <v>45</v>
      </c>
      <c r="B99" s="366" t="s">
        <v>680</v>
      </c>
      <c r="C99" s="414">
        <v>1</v>
      </c>
      <c r="D99" s="414">
        <v>4405</v>
      </c>
      <c r="E99" s="414">
        <v>4632</v>
      </c>
      <c r="F99" s="413">
        <v>228</v>
      </c>
      <c r="G99" s="413" t="s">
        <v>681</v>
      </c>
      <c r="H99" s="414">
        <v>228</v>
      </c>
      <c r="I99" s="414">
        <v>228000000</v>
      </c>
      <c r="J99" s="415">
        <v>0.8441943127962086</v>
      </c>
    </row>
    <row r="100" spans="1:10" s="348" customFormat="1" ht="12">
      <c r="A100" s="423">
        <v>46</v>
      </c>
      <c r="B100" s="366" t="s">
        <v>683</v>
      </c>
      <c r="C100" s="414">
        <v>1</v>
      </c>
      <c r="D100" s="414">
        <v>4633</v>
      </c>
      <c r="E100" s="414">
        <v>4746</v>
      </c>
      <c r="F100" s="413">
        <v>114</v>
      </c>
      <c r="G100" s="413" t="s">
        <v>681</v>
      </c>
      <c r="H100" s="414">
        <v>114</v>
      </c>
      <c r="I100" s="414">
        <v>114000000</v>
      </c>
      <c r="J100" s="415">
        <v>0.4220971563981043</v>
      </c>
    </row>
    <row r="101" spans="1:10" s="348" customFormat="1" ht="12">
      <c r="A101" s="423">
        <v>47</v>
      </c>
      <c r="B101" s="366" t="s">
        <v>682</v>
      </c>
      <c r="C101" s="414">
        <v>1</v>
      </c>
      <c r="D101" s="414">
        <v>4747</v>
      </c>
      <c r="E101" s="414">
        <v>4860</v>
      </c>
      <c r="F101" s="413">
        <v>114</v>
      </c>
      <c r="G101" s="413" t="s">
        <v>681</v>
      </c>
      <c r="H101" s="414">
        <v>114</v>
      </c>
      <c r="I101" s="414">
        <v>114000000</v>
      </c>
      <c r="J101" s="415">
        <v>0.4220971563981043</v>
      </c>
    </row>
    <row r="102" spans="1:10" s="348" customFormat="1" ht="12">
      <c r="A102" s="423">
        <v>48</v>
      </c>
      <c r="B102" s="366" t="s">
        <v>597</v>
      </c>
      <c r="C102" s="414">
        <v>1</v>
      </c>
      <c r="D102" s="414">
        <v>4861</v>
      </c>
      <c r="E102" s="414">
        <v>5116</v>
      </c>
      <c r="F102" s="413">
        <v>256</v>
      </c>
      <c r="G102" s="413" t="s">
        <v>681</v>
      </c>
      <c r="H102" s="414">
        <v>256</v>
      </c>
      <c r="I102" s="414">
        <v>256000000</v>
      </c>
      <c r="J102" s="415">
        <v>0.94786729857819907</v>
      </c>
    </row>
    <row r="103" spans="1:10" s="348" customFormat="1" ht="12">
      <c r="A103" s="369">
        <v>49</v>
      </c>
      <c r="B103" s="366" t="s">
        <v>680</v>
      </c>
      <c r="C103" s="414">
        <v>1</v>
      </c>
      <c r="D103" s="414">
        <v>5117</v>
      </c>
      <c r="E103" s="414">
        <v>6790</v>
      </c>
      <c r="F103" s="413">
        <v>1674</v>
      </c>
      <c r="G103" s="413" t="s">
        <v>681</v>
      </c>
      <c r="H103" s="414">
        <v>1674</v>
      </c>
      <c r="I103" s="414">
        <v>1674000000</v>
      </c>
      <c r="J103" s="415">
        <v>6.1981635071090047</v>
      </c>
    </row>
    <row r="104" spans="1:10" s="348" customFormat="1" ht="12">
      <c r="A104" s="423">
        <v>50</v>
      </c>
      <c r="B104" s="366" t="s">
        <v>682</v>
      </c>
      <c r="C104" s="414">
        <v>1</v>
      </c>
      <c r="D104" s="414">
        <v>6791</v>
      </c>
      <c r="E104" s="414">
        <v>7627</v>
      </c>
      <c r="F104" s="413">
        <v>837</v>
      </c>
      <c r="G104" s="413" t="s">
        <v>681</v>
      </c>
      <c r="H104" s="414">
        <v>837</v>
      </c>
      <c r="I104" s="414">
        <v>837000000</v>
      </c>
      <c r="J104" s="415">
        <v>3.0990817535545023</v>
      </c>
    </row>
    <row r="105" spans="1:10" s="348" customFormat="1" ht="12">
      <c r="A105" s="423">
        <v>51</v>
      </c>
      <c r="B105" s="366" t="s">
        <v>683</v>
      </c>
      <c r="C105" s="414">
        <v>1</v>
      </c>
      <c r="D105" s="414">
        <v>7628</v>
      </c>
      <c r="E105" s="414">
        <v>8464</v>
      </c>
      <c r="F105" s="413">
        <v>837</v>
      </c>
      <c r="G105" s="413" t="s">
        <v>681</v>
      </c>
      <c r="H105" s="414">
        <v>837</v>
      </c>
      <c r="I105" s="414">
        <v>837000000</v>
      </c>
      <c r="J105" s="415">
        <v>3.0990817535545023</v>
      </c>
    </row>
    <row r="106" spans="1:10" s="348" customFormat="1" ht="12">
      <c r="A106" s="423">
        <v>52</v>
      </c>
      <c r="B106" s="366" t="s">
        <v>597</v>
      </c>
      <c r="C106" s="414">
        <v>1</v>
      </c>
      <c r="D106" s="414">
        <v>8465</v>
      </c>
      <c r="E106" s="414">
        <v>8640</v>
      </c>
      <c r="F106" s="413">
        <v>176</v>
      </c>
      <c r="G106" s="413" t="s">
        <v>681</v>
      </c>
      <c r="H106" s="414">
        <v>176</v>
      </c>
      <c r="I106" s="414">
        <v>176000000</v>
      </c>
      <c r="J106" s="415">
        <v>0.65165876777251186</v>
      </c>
    </row>
    <row r="107" spans="1:10" s="348" customFormat="1" ht="12">
      <c r="A107" s="423">
        <v>53</v>
      </c>
      <c r="B107" s="366" t="s">
        <v>680</v>
      </c>
      <c r="C107" s="414">
        <v>1</v>
      </c>
      <c r="D107" s="414">
        <v>8641</v>
      </c>
      <c r="E107" s="414">
        <v>8666</v>
      </c>
      <c r="F107" s="413">
        <v>26</v>
      </c>
      <c r="G107" s="413" t="s">
        <v>681</v>
      </c>
      <c r="H107" s="414">
        <v>26</v>
      </c>
      <c r="I107" s="414">
        <v>26000000</v>
      </c>
      <c r="J107" s="415">
        <v>9.6267772511848343E-2</v>
      </c>
    </row>
    <row r="108" spans="1:10" s="348" customFormat="1" ht="12">
      <c r="A108" s="423">
        <v>54</v>
      </c>
      <c r="B108" s="366" t="s">
        <v>682</v>
      </c>
      <c r="C108" s="414">
        <v>1</v>
      </c>
      <c r="D108" s="414">
        <v>8667</v>
      </c>
      <c r="E108" s="414">
        <v>8679</v>
      </c>
      <c r="F108" s="413">
        <v>13</v>
      </c>
      <c r="G108" s="413" t="s">
        <v>681</v>
      </c>
      <c r="H108" s="414">
        <v>13</v>
      </c>
      <c r="I108" s="414">
        <v>13000000</v>
      </c>
      <c r="J108" s="415">
        <v>4.8133886255924171E-2</v>
      </c>
    </row>
    <row r="109" spans="1:10" s="348" customFormat="1" ht="12">
      <c r="A109" s="423">
        <v>55</v>
      </c>
      <c r="B109" s="366" t="s">
        <v>683</v>
      </c>
      <c r="C109" s="414">
        <v>1</v>
      </c>
      <c r="D109" s="414">
        <v>8680</v>
      </c>
      <c r="E109" s="414">
        <v>8692</v>
      </c>
      <c r="F109" s="413">
        <v>13</v>
      </c>
      <c r="G109" s="413" t="s">
        <v>681</v>
      </c>
      <c r="H109" s="414">
        <v>13</v>
      </c>
      <c r="I109" s="414">
        <v>13000000</v>
      </c>
      <c r="J109" s="415">
        <v>4.8133886255924171E-2</v>
      </c>
    </row>
    <row r="110" spans="1:10" s="348" customFormat="1" ht="12">
      <c r="A110" s="423">
        <v>56</v>
      </c>
      <c r="B110" s="366" t="s">
        <v>597</v>
      </c>
      <c r="C110" s="414">
        <v>1</v>
      </c>
      <c r="D110" s="414">
        <v>8693</v>
      </c>
      <c r="E110" s="414">
        <v>8732</v>
      </c>
      <c r="F110" s="413">
        <v>40</v>
      </c>
      <c r="G110" s="413" t="s">
        <v>681</v>
      </c>
      <c r="H110" s="414">
        <v>40</v>
      </c>
      <c r="I110" s="414">
        <v>40000000</v>
      </c>
      <c r="J110" s="415">
        <v>0.1481042654028436</v>
      </c>
    </row>
    <row r="111" spans="1:10" s="348" customFormat="1" ht="12">
      <c r="A111" s="423">
        <v>57</v>
      </c>
      <c r="B111" s="366" t="s">
        <v>684</v>
      </c>
      <c r="C111" s="414">
        <v>1</v>
      </c>
      <c r="D111" s="414">
        <v>8733</v>
      </c>
      <c r="E111" s="414">
        <v>9204</v>
      </c>
      <c r="F111" s="413">
        <v>472</v>
      </c>
      <c r="G111" s="413" t="s">
        <v>681</v>
      </c>
      <c r="H111" s="414">
        <v>472</v>
      </c>
      <c r="I111" s="414">
        <v>472000000</v>
      </c>
      <c r="J111" s="415">
        <v>1.7476303317535544</v>
      </c>
    </row>
    <row r="112" spans="1:10" s="348" customFormat="1" ht="12">
      <c r="A112" s="423">
        <v>58</v>
      </c>
      <c r="B112" s="366" t="s">
        <v>597</v>
      </c>
      <c r="C112" s="414">
        <v>1</v>
      </c>
      <c r="D112" s="414">
        <v>9205</v>
      </c>
      <c r="E112" s="414">
        <v>9380</v>
      </c>
      <c r="F112" s="413">
        <v>176</v>
      </c>
      <c r="G112" s="413" t="s">
        <v>681</v>
      </c>
      <c r="H112" s="414">
        <v>176</v>
      </c>
      <c r="I112" s="414">
        <v>176000000</v>
      </c>
      <c r="J112" s="415">
        <v>0.65165876777251186</v>
      </c>
    </row>
    <row r="113" spans="1:10" s="348" customFormat="1" ht="12">
      <c r="A113" s="423">
        <v>59</v>
      </c>
      <c r="B113" s="366" t="s">
        <v>684</v>
      </c>
      <c r="C113" s="414">
        <v>1</v>
      </c>
      <c r="D113" s="414">
        <v>9381</v>
      </c>
      <c r="E113" s="414">
        <v>9440</v>
      </c>
      <c r="F113" s="413">
        <v>60</v>
      </c>
      <c r="G113" s="413" t="s">
        <v>681</v>
      </c>
      <c r="H113" s="414">
        <v>60</v>
      </c>
      <c r="I113" s="414">
        <v>60000000</v>
      </c>
      <c r="J113" s="415">
        <v>0.22215639810426541</v>
      </c>
    </row>
    <row r="114" spans="1:10" s="348" customFormat="1" ht="12">
      <c r="A114" s="423">
        <v>60</v>
      </c>
      <c r="B114" s="366" t="s">
        <v>680</v>
      </c>
      <c r="C114" s="414">
        <v>1</v>
      </c>
      <c r="D114" s="414">
        <v>9441</v>
      </c>
      <c r="E114" s="414">
        <v>11470</v>
      </c>
      <c r="F114" s="413">
        <v>2030</v>
      </c>
      <c r="G114" s="413" t="s">
        <v>681</v>
      </c>
      <c r="H114" s="414">
        <v>2030</v>
      </c>
      <c r="I114" s="414">
        <v>2030000000</v>
      </c>
      <c r="J114" s="415">
        <v>7.5162914691943126</v>
      </c>
    </row>
    <row r="115" spans="1:10" s="348" customFormat="1" ht="12">
      <c r="A115" s="423">
        <v>61</v>
      </c>
      <c r="B115" s="366" t="s">
        <v>682</v>
      </c>
      <c r="C115" s="414">
        <v>1</v>
      </c>
      <c r="D115" s="414">
        <v>11471</v>
      </c>
      <c r="E115" s="414">
        <v>12485</v>
      </c>
      <c r="F115" s="413">
        <v>1015</v>
      </c>
      <c r="G115" s="413" t="s">
        <v>681</v>
      </c>
      <c r="H115" s="414">
        <v>1015</v>
      </c>
      <c r="I115" s="414">
        <v>1015000000</v>
      </c>
      <c r="J115" s="415">
        <v>3.7581457345971563</v>
      </c>
    </row>
    <row r="116" spans="1:10" s="348" customFormat="1" ht="12">
      <c r="A116" s="423">
        <v>62</v>
      </c>
      <c r="B116" s="366" t="s">
        <v>683</v>
      </c>
      <c r="C116" s="414">
        <v>1</v>
      </c>
      <c r="D116" s="414">
        <v>12486</v>
      </c>
      <c r="E116" s="414">
        <v>13500</v>
      </c>
      <c r="F116" s="413">
        <v>1015</v>
      </c>
      <c r="G116" s="413" t="s">
        <v>681</v>
      </c>
      <c r="H116" s="414">
        <v>1015</v>
      </c>
      <c r="I116" s="414">
        <v>1015000000</v>
      </c>
      <c r="J116" s="415">
        <v>3.7581457345971563</v>
      </c>
    </row>
    <row r="117" spans="1:10" s="348" customFormat="1" ht="12">
      <c r="A117" s="423">
        <v>63</v>
      </c>
      <c r="B117" s="366" t="s">
        <v>597</v>
      </c>
      <c r="C117" s="414">
        <v>1</v>
      </c>
      <c r="D117" s="414">
        <v>13501</v>
      </c>
      <c r="E117" s="414">
        <v>13732</v>
      </c>
      <c r="F117" s="413">
        <v>232</v>
      </c>
      <c r="G117" s="413" t="s">
        <v>681</v>
      </c>
      <c r="H117" s="414">
        <v>232</v>
      </c>
      <c r="I117" s="414">
        <v>232000000</v>
      </c>
      <c r="J117" s="415">
        <v>0.85900473933649291</v>
      </c>
    </row>
    <row r="118" spans="1:10" s="348" customFormat="1" ht="12">
      <c r="A118" s="423">
        <v>64</v>
      </c>
      <c r="B118" s="366" t="s">
        <v>684</v>
      </c>
      <c r="C118" s="414">
        <v>1</v>
      </c>
      <c r="D118" s="414">
        <v>13733</v>
      </c>
      <c r="E118" s="414">
        <v>13964</v>
      </c>
      <c r="F118" s="413">
        <v>232</v>
      </c>
      <c r="G118" s="413" t="s">
        <v>681</v>
      </c>
      <c r="H118" s="414">
        <v>232</v>
      </c>
      <c r="I118" s="414">
        <v>232000000</v>
      </c>
      <c r="J118" s="415">
        <v>0.85900473933649291</v>
      </c>
    </row>
    <row r="119" spans="1:10" s="348" customFormat="1" ht="12">
      <c r="A119" s="423">
        <v>65</v>
      </c>
      <c r="B119" s="366" t="s">
        <v>684</v>
      </c>
      <c r="C119" s="414">
        <v>1</v>
      </c>
      <c r="D119" s="414">
        <v>13965</v>
      </c>
      <c r="E119" s="414">
        <v>14080</v>
      </c>
      <c r="F119" s="413">
        <v>116</v>
      </c>
      <c r="G119" s="413" t="s">
        <v>681</v>
      </c>
      <c r="H119" s="414">
        <v>116</v>
      </c>
      <c r="I119" s="414">
        <v>116000000</v>
      </c>
      <c r="J119" s="415">
        <v>0.42950236966824645</v>
      </c>
    </row>
    <row r="120" spans="1:10" s="348" customFormat="1" ht="12">
      <c r="A120" s="423">
        <v>66</v>
      </c>
      <c r="B120" s="366" t="s">
        <v>680</v>
      </c>
      <c r="C120" s="414">
        <v>1</v>
      </c>
      <c r="D120" s="414">
        <v>14081</v>
      </c>
      <c r="E120" s="414">
        <v>15970</v>
      </c>
      <c r="F120" s="413">
        <v>1890</v>
      </c>
      <c r="G120" s="413" t="s">
        <v>681</v>
      </c>
      <c r="H120" s="414">
        <v>1890</v>
      </c>
      <c r="I120" s="414">
        <v>1890000000</v>
      </c>
      <c r="J120" s="415">
        <v>6.9979265402843609</v>
      </c>
    </row>
    <row r="121" spans="1:10" s="348" customFormat="1" ht="12">
      <c r="A121" s="423">
        <v>67</v>
      </c>
      <c r="B121" s="366" t="s">
        <v>682</v>
      </c>
      <c r="C121" s="414">
        <v>1</v>
      </c>
      <c r="D121" s="414">
        <v>15971</v>
      </c>
      <c r="E121" s="414">
        <v>16915</v>
      </c>
      <c r="F121" s="413">
        <v>945</v>
      </c>
      <c r="G121" s="413" t="s">
        <v>681</v>
      </c>
      <c r="H121" s="414">
        <v>945</v>
      </c>
      <c r="I121" s="414">
        <v>945000000</v>
      </c>
      <c r="J121" s="415">
        <v>3.4989632701421804</v>
      </c>
    </row>
    <row r="122" spans="1:10" s="348" customFormat="1" ht="12">
      <c r="A122" s="423">
        <v>68</v>
      </c>
      <c r="B122" s="366" t="s">
        <v>683</v>
      </c>
      <c r="C122" s="414">
        <v>1</v>
      </c>
      <c r="D122" s="414">
        <v>16916</v>
      </c>
      <c r="E122" s="414">
        <v>17860</v>
      </c>
      <c r="F122" s="413">
        <v>945</v>
      </c>
      <c r="G122" s="413" t="s">
        <v>681</v>
      </c>
      <c r="H122" s="414">
        <v>945</v>
      </c>
      <c r="I122" s="414">
        <v>945000000</v>
      </c>
      <c r="J122" s="415">
        <v>3.4989632701421804</v>
      </c>
    </row>
    <row r="123" spans="1:10" s="348" customFormat="1" ht="12">
      <c r="A123" s="423">
        <v>69</v>
      </c>
      <c r="B123" s="366" t="s">
        <v>597</v>
      </c>
      <c r="C123" s="414">
        <v>1</v>
      </c>
      <c r="D123" s="414">
        <v>17861</v>
      </c>
      <c r="E123" s="414">
        <v>18130</v>
      </c>
      <c r="F123" s="413">
        <v>270</v>
      </c>
      <c r="G123" s="413" t="s">
        <v>681</v>
      </c>
      <c r="H123" s="414">
        <v>270</v>
      </c>
      <c r="I123" s="414">
        <v>270000000</v>
      </c>
      <c r="J123" s="415">
        <v>0.99970379146919419</v>
      </c>
    </row>
    <row r="124" spans="1:10" s="348" customFormat="1" ht="12">
      <c r="A124" s="423">
        <v>70</v>
      </c>
      <c r="B124" s="366" t="s">
        <v>684</v>
      </c>
      <c r="C124" s="414">
        <v>1</v>
      </c>
      <c r="D124" s="414">
        <v>18131</v>
      </c>
      <c r="E124" s="414">
        <v>18400</v>
      </c>
      <c r="F124" s="413">
        <v>270</v>
      </c>
      <c r="G124" s="413" t="s">
        <v>681</v>
      </c>
      <c r="H124" s="414">
        <v>270</v>
      </c>
      <c r="I124" s="414">
        <v>270000000</v>
      </c>
      <c r="J124" s="415">
        <v>0.99970379146919419</v>
      </c>
    </row>
    <row r="125" spans="1:10" s="348" customFormat="1" ht="12">
      <c r="A125" s="423">
        <v>71</v>
      </c>
      <c r="B125" s="366" t="s">
        <v>680</v>
      </c>
      <c r="C125" s="414">
        <v>1</v>
      </c>
      <c r="D125" s="414">
        <v>18401</v>
      </c>
      <c r="E125" s="414">
        <v>20976</v>
      </c>
      <c r="F125" s="413">
        <v>2576</v>
      </c>
      <c r="G125" s="413" t="s">
        <v>681</v>
      </c>
      <c r="H125" s="414">
        <v>2576</v>
      </c>
      <c r="I125" s="414">
        <v>2576000000</v>
      </c>
      <c r="J125" s="415">
        <v>9.5379146919431275</v>
      </c>
    </row>
    <row r="126" spans="1:10" s="348" customFormat="1" ht="12">
      <c r="A126" s="423">
        <v>72</v>
      </c>
      <c r="B126" s="366" t="s">
        <v>682</v>
      </c>
      <c r="C126" s="414">
        <v>1</v>
      </c>
      <c r="D126" s="414">
        <v>20977</v>
      </c>
      <c r="E126" s="414">
        <v>22264</v>
      </c>
      <c r="F126" s="413">
        <v>1288</v>
      </c>
      <c r="G126" s="413" t="s">
        <v>681</v>
      </c>
      <c r="H126" s="414">
        <v>1288</v>
      </c>
      <c r="I126" s="414">
        <v>1288000000</v>
      </c>
      <c r="J126" s="415">
        <v>4.7689573459715637</v>
      </c>
    </row>
    <row r="127" spans="1:10" s="348" customFormat="1" ht="12">
      <c r="A127" s="423">
        <v>73</v>
      </c>
      <c r="B127" s="366" t="s">
        <v>683</v>
      </c>
      <c r="C127" s="414">
        <v>1</v>
      </c>
      <c r="D127" s="414">
        <v>22265</v>
      </c>
      <c r="E127" s="414">
        <v>23552</v>
      </c>
      <c r="F127" s="413">
        <v>1288</v>
      </c>
      <c r="G127" s="413" t="s">
        <v>681</v>
      </c>
      <c r="H127" s="414">
        <v>1288</v>
      </c>
      <c r="I127" s="414">
        <v>1288000000</v>
      </c>
      <c r="J127" s="415">
        <v>4.7689573459715637</v>
      </c>
    </row>
    <row r="128" spans="1:10" s="348" customFormat="1" ht="12">
      <c r="A128" s="423">
        <v>74</v>
      </c>
      <c r="B128" s="366" t="s">
        <v>597</v>
      </c>
      <c r="C128" s="414">
        <v>1</v>
      </c>
      <c r="D128" s="414">
        <v>23553</v>
      </c>
      <c r="E128" s="414">
        <v>23920</v>
      </c>
      <c r="F128" s="413">
        <v>368</v>
      </c>
      <c r="G128" s="413" t="s">
        <v>681</v>
      </c>
      <c r="H128" s="414">
        <v>368</v>
      </c>
      <c r="I128" s="414">
        <v>368000000</v>
      </c>
      <c r="J128" s="415">
        <v>1.3625592417061612</v>
      </c>
    </row>
    <row r="129" spans="1:10" s="348" customFormat="1" ht="12">
      <c r="A129" s="423">
        <v>75</v>
      </c>
      <c r="B129" s="366" t="s">
        <v>684</v>
      </c>
      <c r="C129" s="414">
        <v>1</v>
      </c>
      <c r="D129" s="414">
        <v>23921</v>
      </c>
      <c r="E129" s="414">
        <v>24288</v>
      </c>
      <c r="F129" s="413">
        <v>368</v>
      </c>
      <c r="G129" s="413" t="s">
        <v>681</v>
      </c>
      <c r="H129" s="414">
        <v>368</v>
      </c>
      <c r="I129" s="414">
        <v>368000000</v>
      </c>
      <c r="J129" s="415">
        <v>1.3625592417061612</v>
      </c>
    </row>
    <row r="130" spans="1:10" s="348" customFormat="1" ht="12">
      <c r="A130" s="423">
        <v>76</v>
      </c>
      <c r="B130" s="366" t="s">
        <v>680</v>
      </c>
      <c r="C130" s="414">
        <v>1</v>
      </c>
      <c r="D130" s="414">
        <v>24289</v>
      </c>
      <c r="E130" s="414">
        <v>25478</v>
      </c>
      <c r="F130" s="413">
        <v>1190</v>
      </c>
      <c r="G130" s="413" t="s">
        <v>681</v>
      </c>
      <c r="H130" s="414">
        <v>1190</v>
      </c>
      <c r="I130" s="414">
        <v>1190000000</v>
      </c>
      <c r="J130" s="415">
        <v>4.4061018957345972</v>
      </c>
    </row>
    <row r="131" spans="1:10" s="348" customFormat="1" ht="12">
      <c r="A131" s="423">
        <v>77</v>
      </c>
      <c r="B131" s="366" t="s">
        <v>682</v>
      </c>
      <c r="C131" s="414">
        <v>1</v>
      </c>
      <c r="D131" s="414">
        <v>25479</v>
      </c>
      <c r="E131" s="414">
        <v>26073</v>
      </c>
      <c r="F131" s="413">
        <v>595</v>
      </c>
      <c r="G131" s="413" t="s">
        <v>681</v>
      </c>
      <c r="H131" s="414">
        <v>595</v>
      </c>
      <c r="I131" s="414">
        <v>595000000</v>
      </c>
      <c r="J131" s="415">
        <v>2.2030509478672986</v>
      </c>
    </row>
    <row r="132" spans="1:10" s="348" customFormat="1" ht="12">
      <c r="A132" s="423">
        <v>78</v>
      </c>
      <c r="B132" s="366" t="s">
        <v>683</v>
      </c>
      <c r="C132" s="414">
        <v>1</v>
      </c>
      <c r="D132" s="414">
        <v>26074</v>
      </c>
      <c r="E132" s="414">
        <v>26668</v>
      </c>
      <c r="F132" s="413">
        <v>595</v>
      </c>
      <c r="G132" s="413" t="s">
        <v>681</v>
      </c>
      <c r="H132" s="414">
        <v>595</v>
      </c>
      <c r="I132" s="414">
        <v>595000000</v>
      </c>
      <c r="J132" s="415">
        <v>2.2030509478672986</v>
      </c>
    </row>
    <row r="133" spans="1:10" s="348" customFormat="1" ht="12">
      <c r="A133" s="423">
        <v>79</v>
      </c>
      <c r="B133" s="366" t="s">
        <v>597</v>
      </c>
      <c r="C133" s="414">
        <v>1</v>
      </c>
      <c r="D133" s="414">
        <v>26669</v>
      </c>
      <c r="E133" s="414">
        <v>26838</v>
      </c>
      <c r="F133" s="413">
        <v>170</v>
      </c>
      <c r="G133" s="413" t="s">
        <v>681</v>
      </c>
      <c r="H133" s="414">
        <v>170</v>
      </c>
      <c r="I133" s="414">
        <v>170000000</v>
      </c>
      <c r="J133" s="415">
        <v>0.62944312796208535</v>
      </c>
    </row>
    <row r="134" spans="1:10" s="348" customFormat="1" ht="12">
      <c r="A134" s="423">
        <v>80</v>
      </c>
      <c r="B134" s="366" t="s">
        <v>684</v>
      </c>
      <c r="C134" s="414">
        <v>1</v>
      </c>
      <c r="D134" s="414">
        <v>26839</v>
      </c>
      <c r="E134" s="414">
        <v>27008</v>
      </c>
      <c r="F134" s="413">
        <v>170</v>
      </c>
      <c r="G134" s="413" t="s">
        <v>681</v>
      </c>
      <c r="H134" s="414">
        <v>170</v>
      </c>
      <c r="I134" s="414">
        <v>170000000</v>
      </c>
      <c r="J134" s="415">
        <v>0.62944312796208535</v>
      </c>
    </row>
    <row r="135" spans="1:10" s="412" customFormat="1" ht="12.6" thickBot="1">
      <c r="A135" s="408"/>
      <c r="B135" s="409" t="s">
        <v>519</v>
      </c>
      <c r="C135" s="409"/>
      <c r="D135" s="409"/>
      <c r="E135" s="409"/>
      <c r="F135" s="410">
        <v>27008</v>
      </c>
      <c r="G135" s="410"/>
      <c r="H135" s="410">
        <v>27008</v>
      </c>
      <c r="I135" s="410">
        <v>27008000000</v>
      </c>
      <c r="J135" s="411">
        <v>100</v>
      </c>
    </row>
    <row r="136" spans="1:10" ht="15" thickTop="1">
      <c r="A136" s="108"/>
      <c r="B136" s="108"/>
      <c r="C136" s="108"/>
      <c r="D136" s="108"/>
      <c r="E136" s="108"/>
    </row>
    <row r="137" spans="1:10" ht="15" thickBot="1">
      <c r="A137" s="108"/>
      <c r="B137" s="108"/>
      <c r="C137" s="108"/>
      <c r="D137" s="108"/>
      <c r="E137" s="108"/>
    </row>
    <row r="138" spans="1:10" ht="15" thickBot="1">
      <c r="A138" s="370" t="s">
        <v>699</v>
      </c>
      <c r="B138" s="363"/>
      <c r="C138" s="363"/>
      <c r="D138" s="363"/>
      <c r="E138" s="363"/>
      <c r="F138" s="364"/>
      <c r="G138" s="364"/>
      <c r="H138" s="365"/>
    </row>
    <row r="139" spans="1:10" s="348" customFormat="1" ht="48.6" thickBot="1">
      <c r="A139" s="371" t="s">
        <v>671</v>
      </c>
      <c r="B139" s="372" t="s">
        <v>672</v>
      </c>
      <c r="C139" s="372" t="s">
        <v>673</v>
      </c>
      <c r="D139" s="372" t="s">
        <v>676</v>
      </c>
      <c r="E139" s="372" t="s">
        <v>677</v>
      </c>
      <c r="F139" s="153" t="s">
        <v>685</v>
      </c>
      <c r="G139" s="153" t="s">
        <v>679</v>
      </c>
      <c r="H139" s="154" t="s">
        <v>838</v>
      </c>
      <c r="I139" s="416"/>
    </row>
    <row r="140" spans="1:10" s="348" customFormat="1" ht="12">
      <c r="A140" s="423">
        <v>1</v>
      </c>
      <c r="B140" s="366" t="s">
        <v>680</v>
      </c>
      <c r="C140" s="366">
        <v>1</v>
      </c>
      <c r="D140" s="419">
        <v>11816</v>
      </c>
      <c r="E140" s="366" t="s">
        <v>681</v>
      </c>
      <c r="F140" s="414">
        <v>11816</v>
      </c>
      <c r="G140" s="414">
        <v>11816000000</v>
      </c>
      <c r="H140" s="415">
        <v>43.75</v>
      </c>
      <c r="I140" s="416"/>
    </row>
    <row r="141" spans="1:10" s="348" customFormat="1" ht="12">
      <c r="A141" s="423">
        <v>2</v>
      </c>
      <c r="B141" s="366" t="s">
        <v>682</v>
      </c>
      <c r="C141" s="366">
        <v>1</v>
      </c>
      <c r="D141" s="419">
        <v>5908</v>
      </c>
      <c r="E141" s="366" t="s">
        <v>681</v>
      </c>
      <c r="F141" s="414">
        <v>5908</v>
      </c>
      <c r="G141" s="414">
        <v>5908000000</v>
      </c>
      <c r="H141" s="415">
        <v>21.875</v>
      </c>
      <c r="I141" s="416"/>
    </row>
    <row r="142" spans="1:10" s="348" customFormat="1" ht="12">
      <c r="A142" s="423">
        <v>3</v>
      </c>
      <c r="B142" s="366" t="s">
        <v>683</v>
      </c>
      <c r="C142" s="366">
        <v>1</v>
      </c>
      <c r="D142" s="419">
        <v>5908</v>
      </c>
      <c r="E142" s="366" t="s">
        <v>681</v>
      </c>
      <c r="F142" s="414">
        <v>5908</v>
      </c>
      <c r="G142" s="414">
        <v>5908000000</v>
      </c>
      <c r="H142" s="415">
        <v>21.875</v>
      </c>
      <c r="I142" s="416"/>
    </row>
    <row r="143" spans="1:10" s="348" customFormat="1" ht="12">
      <c r="A143" s="423">
        <v>4</v>
      </c>
      <c r="B143" s="366" t="s">
        <v>597</v>
      </c>
      <c r="C143" s="366">
        <v>1</v>
      </c>
      <c r="D143" s="419">
        <v>1688</v>
      </c>
      <c r="E143" s="366" t="s">
        <v>681</v>
      </c>
      <c r="F143" s="414">
        <v>1688</v>
      </c>
      <c r="G143" s="414">
        <v>1688000000</v>
      </c>
      <c r="H143" s="415">
        <v>6.25</v>
      </c>
      <c r="I143" s="416"/>
    </row>
    <row r="144" spans="1:10" s="348" customFormat="1" ht="12">
      <c r="A144" s="423">
        <v>5</v>
      </c>
      <c r="B144" s="366" t="s">
        <v>684</v>
      </c>
      <c r="C144" s="366">
        <v>1</v>
      </c>
      <c r="D144" s="419">
        <v>1688</v>
      </c>
      <c r="E144" s="366" t="s">
        <v>681</v>
      </c>
      <c r="F144" s="414">
        <v>1688</v>
      </c>
      <c r="G144" s="414">
        <v>1688000000</v>
      </c>
      <c r="H144" s="415">
        <v>6.25</v>
      </c>
      <c r="I144" s="416"/>
    </row>
    <row r="145" spans="1:9" s="418" customFormat="1" ht="12.6" thickBot="1">
      <c r="A145" s="374"/>
      <c r="B145" s="375" t="s">
        <v>519</v>
      </c>
      <c r="C145" s="375"/>
      <c r="D145" s="409">
        <v>27008</v>
      </c>
      <c r="E145" s="375"/>
      <c r="F145" s="410"/>
      <c r="G145" s="410">
        <v>27008000000</v>
      </c>
      <c r="H145" s="417">
        <v>100</v>
      </c>
      <c r="I145" s="412"/>
    </row>
    <row r="146" spans="1:9" ht="15" thickTop="1">
      <c r="A146" s="108"/>
      <c r="B146" s="108"/>
      <c r="C146" s="108"/>
      <c r="D146" s="108"/>
      <c r="E146" s="108"/>
    </row>
    <row r="147" spans="1:9">
      <c r="A147" s="108"/>
      <c r="B147" s="108"/>
      <c r="C147" s="108"/>
      <c r="D147" s="108"/>
      <c r="E147" s="108"/>
    </row>
    <row r="148" spans="1:9">
      <c r="A148" s="108"/>
      <c r="B148" s="108"/>
      <c r="C148" s="108"/>
      <c r="D148" s="108"/>
      <c r="E148" s="108"/>
    </row>
    <row r="149" spans="1:9">
      <c r="A149" s="108"/>
      <c r="B149" s="108"/>
      <c r="C149" s="108"/>
      <c r="D149" s="108"/>
      <c r="E149" s="108"/>
    </row>
    <row r="150" spans="1:9">
      <c r="A150" s="108"/>
      <c r="B150" s="108"/>
      <c r="C150" s="108"/>
      <c r="D150" s="108"/>
      <c r="E150" s="108"/>
    </row>
    <row r="151" spans="1:9">
      <c r="A151" s="108"/>
      <c r="B151" s="108"/>
      <c r="C151" s="108"/>
      <c r="D151" s="108"/>
      <c r="E151" s="108"/>
    </row>
    <row r="152" spans="1:9">
      <c r="A152" s="108"/>
      <c r="B152" s="108"/>
      <c r="C152" s="108"/>
      <c r="D152" s="108"/>
      <c r="E152" s="108"/>
    </row>
    <row r="153" spans="1:9">
      <c r="A153" s="108"/>
      <c r="B153" s="108"/>
      <c r="C153" s="108"/>
      <c r="D153" s="108"/>
      <c r="E153" s="108"/>
    </row>
    <row r="154" spans="1:9">
      <c r="A154" s="108"/>
      <c r="B154" s="108"/>
      <c r="C154" s="108"/>
      <c r="D154" s="108"/>
      <c r="E154" s="108"/>
    </row>
    <row r="155" spans="1:9">
      <c r="A155" s="108"/>
      <c r="B155" s="108"/>
      <c r="C155" s="108"/>
      <c r="D155" s="108"/>
      <c r="E155" s="108"/>
    </row>
    <row r="156" spans="1:9">
      <c r="A156" s="108"/>
      <c r="B156" s="108"/>
      <c r="C156" s="108"/>
      <c r="D156" s="108"/>
      <c r="E156" s="108"/>
    </row>
    <row r="157" spans="1:9">
      <c r="A157" s="108"/>
      <c r="B157" s="108"/>
      <c r="C157" s="108"/>
      <c r="D157" s="108"/>
      <c r="E157" s="108"/>
    </row>
    <row r="158" spans="1:9">
      <c r="A158" s="108"/>
      <c r="B158" s="108"/>
      <c r="C158" s="108"/>
      <c r="D158" s="108"/>
      <c r="E158" s="108"/>
    </row>
    <row r="159" spans="1:9">
      <c r="A159" s="108"/>
      <c r="B159" s="108"/>
      <c r="C159" s="108"/>
      <c r="D159" s="108"/>
      <c r="E159" s="108"/>
    </row>
    <row r="160" spans="1:9">
      <c r="A160" s="108"/>
      <c r="B160" s="108"/>
      <c r="C160" s="108"/>
      <c r="D160" s="108"/>
      <c r="E160" s="108"/>
    </row>
    <row r="161" spans="1:5">
      <c r="A161" s="108"/>
      <c r="B161" s="108"/>
      <c r="C161" s="108"/>
      <c r="D161" s="108"/>
      <c r="E161" s="108"/>
    </row>
    <row r="162" spans="1:5">
      <c r="A162" s="108"/>
      <c r="B162" s="108"/>
      <c r="C162" s="108"/>
      <c r="D162" s="108"/>
      <c r="E162" s="108"/>
    </row>
    <row r="163" spans="1:5">
      <c r="A163" s="108"/>
      <c r="B163" s="108"/>
      <c r="C163" s="108"/>
      <c r="D163" s="108"/>
      <c r="E163" s="108"/>
    </row>
    <row r="164" spans="1:5">
      <c r="A164" s="108"/>
      <c r="B164" s="108"/>
      <c r="C164" s="108"/>
      <c r="D164" s="108"/>
      <c r="E164" s="108"/>
    </row>
    <row r="165" spans="1:5">
      <c r="A165" s="108"/>
      <c r="B165" s="108"/>
      <c r="C165" s="108"/>
      <c r="D165" s="108"/>
      <c r="E165" s="108"/>
    </row>
    <row r="166" spans="1:5">
      <c r="A166" s="108"/>
      <c r="B166" s="108"/>
      <c r="C166" s="108"/>
      <c r="D166" s="108"/>
      <c r="E166" s="108"/>
    </row>
    <row r="167" spans="1:5">
      <c r="A167" s="108"/>
      <c r="B167" s="108"/>
      <c r="C167" s="108"/>
      <c r="D167" s="108"/>
      <c r="E167" s="108"/>
    </row>
    <row r="168" spans="1:5">
      <c r="A168" s="108"/>
      <c r="B168" s="108"/>
      <c r="C168" s="108"/>
      <c r="D168" s="108"/>
      <c r="E168" s="108"/>
    </row>
    <row r="169" spans="1:5">
      <c r="A169" s="108"/>
      <c r="B169" s="108"/>
      <c r="C169" s="108"/>
      <c r="D169" s="108"/>
      <c r="E169" s="108"/>
    </row>
    <row r="170" spans="1:5">
      <c r="A170" s="108"/>
      <c r="B170" s="108"/>
      <c r="C170" s="108"/>
      <c r="D170" s="108"/>
      <c r="E170" s="108"/>
    </row>
    <row r="171" spans="1:5">
      <c r="A171" s="108"/>
      <c r="B171" s="108"/>
      <c r="C171" s="108"/>
      <c r="D171" s="108"/>
      <c r="E171" s="108"/>
    </row>
    <row r="172" spans="1:5">
      <c r="A172" s="108"/>
      <c r="B172" s="108"/>
      <c r="C172" s="108"/>
      <c r="D172" s="108"/>
      <c r="E172" s="108"/>
    </row>
    <row r="173" spans="1:5">
      <c r="A173" s="108"/>
      <c r="B173" s="108"/>
      <c r="C173" s="108"/>
      <c r="D173" s="108"/>
      <c r="E173" s="108"/>
    </row>
    <row r="174" spans="1:5">
      <c r="A174" s="108"/>
      <c r="B174" s="108"/>
      <c r="C174" s="108"/>
      <c r="D174" s="108"/>
      <c r="E174" s="108"/>
    </row>
    <row r="175" spans="1:5">
      <c r="A175" s="108"/>
      <c r="B175" s="108"/>
      <c r="C175" s="108"/>
      <c r="D175" s="108"/>
      <c r="E175" s="108"/>
    </row>
    <row r="176" spans="1:5">
      <c r="A176" s="108"/>
      <c r="B176" s="108"/>
      <c r="C176" s="108"/>
      <c r="D176" s="108"/>
      <c r="E176" s="108"/>
    </row>
    <row r="177" spans="1:5">
      <c r="A177" s="108"/>
      <c r="B177" s="108"/>
      <c r="C177" s="108"/>
      <c r="D177" s="108"/>
      <c r="E177" s="108"/>
    </row>
    <row r="178" spans="1:5">
      <c r="A178" s="108"/>
      <c r="B178" s="108"/>
      <c r="C178" s="108"/>
      <c r="D178" s="108"/>
      <c r="E178" s="108"/>
    </row>
    <row r="179" spans="1:5">
      <c r="A179" s="108"/>
      <c r="B179" s="108"/>
      <c r="C179" s="108"/>
      <c r="D179" s="108"/>
      <c r="E179" s="108"/>
    </row>
    <row r="180" spans="1:5">
      <c r="A180" s="108"/>
      <c r="B180" s="108"/>
      <c r="C180" s="108"/>
      <c r="D180" s="108"/>
      <c r="E180" s="108"/>
    </row>
    <row r="181" spans="1:5">
      <c r="A181" s="108"/>
      <c r="B181" s="108"/>
      <c r="C181" s="108"/>
      <c r="D181" s="108"/>
      <c r="E181" s="108"/>
    </row>
    <row r="182" spans="1:5">
      <c r="A182" s="108"/>
      <c r="B182" s="108"/>
      <c r="C182" s="108"/>
      <c r="D182" s="108"/>
      <c r="E182" s="108"/>
    </row>
    <row r="183" spans="1:5">
      <c r="A183" s="108"/>
      <c r="B183" s="108"/>
      <c r="C183" s="108"/>
      <c r="D183" s="108"/>
      <c r="E183" s="108"/>
    </row>
    <row r="184" spans="1:5">
      <c r="A184" s="108"/>
      <c r="B184" s="108"/>
      <c r="C184" s="108"/>
      <c r="D184" s="108"/>
      <c r="E184" s="108"/>
    </row>
    <row r="185" spans="1:5">
      <c r="A185" s="108"/>
      <c r="B185" s="108"/>
      <c r="C185" s="108"/>
      <c r="D185" s="108"/>
      <c r="E185" s="108"/>
    </row>
    <row r="186" spans="1:5">
      <c r="A186" s="108"/>
      <c r="B186" s="108"/>
      <c r="C186" s="108"/>
      <c r="D186" s="108"/>
      <c r="E186" s="108"/>
    </row>
    <row r="187" spans="1:5">
      <c r="A187" s="108"/>
      <c r="B187" s="108"/>
      <c r="C187" s="108"/>
      <c r="D187" s="108"/>
      <c r="E187" s="108"/>
    </row>
    <row r="188" spans="1:5">
      <c r="A188" s="108"/>
      <c r="B188" s="108"/>
      <c r="C188" s="108"/>
      <c r="D188" s="108"/>
      <c r="E188" s="108"/>
    </row>
    <row r="189" spans="1:5">
      <c r="A189" s="108"/>
      <c r="B189" s="108"/>
      <c r="C189" s="108"/>
      <c r="D189" s="108"/>
      <c r="E189" s="108"/>
    </row>
    <row r="190" spans="1:5">
      <c r="A190" s="108"/>
      <c r="B190" s="108"/>
      <c r="C190" s="108"/>
      <c r="D190" s="108"/>
      <c r="E190" s="108"/>
    </row>
    <row r="191" spans="1:5">
      <c r="A191" s="108"/>
      <c r="B191" s="108"/>
      <c r="C191" s="108"/>
      <c r="D191" s="108"/>
      <c r="E191" s="108"/>
    </row>
    <row r="192" spans="1:5">
      <c r="A192" s="108"/>
      <c r="B192" s="108"/>
      <c r="C192" s="108"/>
      <c r="D192" s="108"/>
      <c r="E192" s="108"/>
    </row>
    <row r="193" spans="1:5">
      <c r="A193" s="108"/>
      <c r="B193" s="108"/>
      <c r="C193" s="108"/>
      <c r="D193" s="108"/>
      <c r="E193" s="108"/>
    </row>
    <row r="194" spans="1:5">
      <c r="A194" s="108"/>
      <c r="B194" s="108"/>
      <c r="C194" s="108"/>
      <c r="D194" s="108"/>
      <c r="E194" s="108"/>
    </row>
    <row r="195" spans="1:5">
      <c r="A195" s="108"/>
      <c r="B195" s="108"/>
      <c r="C195" s="108"/>
      <c r="D195" s="108"/>
      <c r="E195" s="108"/>
    </row>
    <row r="196" spans="1:5">
      <c r="A196" s="108"/>
      <c r="B196" s="108"/>
      <c r="C196" s="108"/>
      <c r="D196" s="108"/>
      <c r="E196" s="108"/>
    </row>
    <row r="197" spans="1:5">
      <c r="A197" s="108"/>
      <c r="B197" s="108"/>
      <c r="C197" s="108"/>
      <c r="D197" s="108"/>
      <c r="E197" s="108"/>
    </row>
    <row r="198" spans="1:5">
      <c r="A198" s="108"/>
      <c r="B198" s="108"/>
      <c r="C198" s="108"/>
      <c r="D198" s="108"/>
      <c r="E198" s="108"/>
    </row>
    <row r="199" spans="1:5">
      <c r="A199" s="108"/>
      <c r="B199" s="108"/>
      <c r="C199" s="108"/>
      <c r="D199" s="108"/>
      <c r="E199" s="108"/>
    </row>
    <row r="200" spans="1:5">
      <c r="A200" s="108"/>
      <c r="B200" s="108"/>
      <c r="C200" s="108"/>
      <c r="D200" s="108"/>
      <c r="E200" s="108"/>
    </row>
    <row r="201" spans="1:5">
      <c r="A201" s="108"/>
      <c r="B201" s="108"/>
      <c r="C201" s="108"/>
      <c r="D201" s="108"/>
      <c r="E201" s="108"/>
    </row>
    <row r="202" spans="1:5">
      <c r="A202" s="108"/>
      <c r="B202" s="108"/>
      <c r="C202" s="108"/>
      <c r="D202" s="108"/>
      <c r="E202" s="108"/>
    </row>
    <row r="203" spans="1:5">
      <c r="A203" s="108"/>
      <c r="B203" s="108"/>
      <c r="C203" s="108"/>
      <c r="D203" s="108"/>
      <c r="E203" s="108"/>
    </row>
    <row r="204" spans="1:5">
      <c r="A204" s="108"/>
      <c r="B204" s="108"/>
      <c r="C204" s="108"/>
      <c r="D204" s="108"/>
      <c r="E204" s="108"/>
    </row>
    <row r="205" spans="1:5">
      <c r="A205" s="108"/>
      <c r="B205" s="108"/>
      <c r="C205" s="108"/>
      <c r="D205" s="108"/>
      <c r="E205" s="108"/>
    </row>
    <row r="206" spans="1:5">
      <c r="A206" s="108"/>
      <c r="B206" s="108"/>
      <c r="C206" s="108"/>
      <c r="D206" s="108"/>
      <c r="E206" s="108"/>
    </row>
    <row r="207" spans="1:5">
      <c r="A207" s="108"/>
      <c r="B207" s="108"/>
      <c r="C207" s="108"/>
      <c r="D207" s="108"/>
      <c r="E207" s="108"/>
    </row>
    <row r="208" spans="1:5">
      <c r="A208" s="108"/>
      <c r="B208" s="108"/>
      <c r="C208" s="108"/>
      <c r="D208" s="108"/>
      <c r="E208" s="108"/>
    </row>
    <row r="209" spans="1:5">
      <c r="A209" s="108"/>
      <c r="B209" s="108"/>
      <c r="C209" s="108"/>
      <c r="D209" s="108"/>
      <c r="E209" s="108"/>
    </row>
    <row r="210" spans="1:5">
      <c r="A210" s="108"/>
      <c r="B210" s="108"/>
      <c r="C210" s="108"/>
      <c r="D210" s="108"/>
      <c r="E210" s="108"/>
    </row>
    <row r="211" spans="1:5">
      <c r="A211" s="108"/>
      <c r="B211" s="108"/>
      <c r="C211" s="108"/>
      <c r="D211" s="108"/>
      <c r="E211" s="108"/>
    </row>
    <row r="212" spans="1:5">
      <c r="A212" s="108"/>
      <c r="B212" s="108"/>
      <c r="C212" s="108"/>
      <c r="D212" s="108"/>
      <c r="E212" s="108"/>
    </row>
    <row r="213" spans="1:5">
      <c r="A213" s="108"/>
      <c r="B213" s="108"/>
      <c r="C213" s="108"/>
      <c r="D213" s="108"/>
      <c r="E213" s="108"/>
    </row>
    <row r="214" spans="1:5">
      <c r="A214" s="108"/>
      <c r="B214" s="108"/>
      <c r="C214" s="108"/>
      <c r="D214" s="108"/>
      <c r="E214" s="108"/>
    </row>
    <row r="215" spans="1:5">
      <c r="A215" s="108"/>
      <c r="B215" s="108"/>
      <c r="C215" s="108"/>
      <c r="D215" s="108"/>
      <c r="E215" s="108"/>
    </row>
    <row r="216" spans="1:5">
      <c r="A216" s="108"/>
      <c r="B216" s="108"/>
      <c r="C216" s="108"/>
      <c r="D216" s="108"/>
      <c r="E216" s="108"/>
    </row>
    <row r="217" spans="1:5">
      <c r="A217" s="108"/>
      <c r="B217" s="108"/>
      <c r="C217" s="108"/>
      <c r="D217" s="108"/>
      <c r="E217" s="108"/>
    </row>
    <row r="218" spans="1:5">
      <c r="A218" s="108"/>
      <c r="B218" s="108"/>
      <c r="C218" s="108"/>
      <c r="D218" s="108"/>
      <c r="E218" s="108"/>
    </row>
    <row r="219" spans="1:5">
      <c r="A219" s="108"/>
      <c r="B219" s="108"/>
      <c r="C219" s="108"/>
      <c r="D219" s="108"/>
      <c r="E219" s="108"/>
    </row>
    <row r="220" spans="1:5">
      <c r="A220" s="108"/>
      <c r="B220" s="108"/>
      <c r="C220" s="108"/>
      <c r="D220" s="108"/>
      <c r="E220" s="108"/>
    </row>
    <row r="221" spans="1:5">
      <c r="A221" s="108"/>
      <c r="B221" s="108"/>
      <c r="C221" s="108"/>
      <c r="D221" s="108"/>
      <c r="E221" s="108"/>
    </row>
    <row r="222" spans="1:5">
      <c r="A222" s="108"/>
      <c r="B222" s="108"/>
      <c r="C222" s="108"/>
      <c r="D222" s="108"/>
      <c r="E222" s="108"/>
    </row>
    <row r="223" spans="1:5">
      <c r="A223" s="108"/>
      <c r="B223" s="108"/>
      <c r="C223" s="108"/>
      <c r="D223" s="108"/>
      <c r="E223" s="108"/>
    </row>
    <row r="224" spans="1:5">
      <c r="A224" s="108"/>
      <c r="B224" s="108"/>
      <c r="C224" s="108"/>
      <c r="D224" s="108"/>
      <c r="E224" s="108"/>
    </row>
    <row r="225" spans="1:5">
      <c r="A225" s="108"/>
      <c r="B225" s="108"/>
      <c r="C225" s="108"/>
      <c r="D225" s="108"/>
      <c r="E225" s="108"/>
    </row>
    <row r="226" spans="1:5">
      <c r="A226" s="108"/>
      <c r="B226" s="108"/>
      <c r="C226" s="108"/>
      <c r="D226" s="108"/>
      <c r="E226" s="108"/>
    </row>
    <row r="227" spans="1:5">
      <c r="A227" s="108"/>
      <c r="B227" s="108"/>
      <c r="C227" s="108"/>
      <c r="D227" s="108"/>
      <c r="E227" s="108"/>
    </row>
    <row r="228" spans="1:5">
      <c r="A228" s="108"/>
      <c r="B228" s="108"/>
      <c r="C228" s="108"/>
      <c r="D228" s="108"/>
      <c r="E228" s="108"/>
    </row>
    <row r="229" spans="1:5">
      <c r="A229" s="108"/>
      <c r="B229" s="108"/>
      <c r="C229" s="108"/>
      <c r="D229" s="108"/>
      <c r="E229" s="108"/>
    </row>
    <row r="230" spans="1:5">
      <c r="A230" s="108"/>
      <c r="B230" s="108"/>
      <c r="C230" s="108"/>
      <c r="D230" s="108"/>
      <c r="E230" s="108"/>
    </row>
    <row r="231" spans="1:5">
      <c r="A231" s="108"/>
      <c r="B231" s="108"/>
      <c r="C231" s="108"/>
      <c r="D231" s="108"/>
      <c r="E231" s="108"/>
    </row>
    <row r="232" spans="1:5">
      <c r="A232" s="108"/>
      <c r="B232" s="108"/>
      <c r="C232" s="108"/>
      <c r="D232" s="108"/>
      <c r="E232" s="108"/>
    </row>
    <row r="233" spans="1:5">
      <c r="A233" s="108"/>
      <c r="B233" s="108"/>
      <c r="C233" s="108"/>
      <c r="D233" s="108"/>
      <c r="E233" s="108"/>
    </row>
    <row r="234" spans="1:5">
      <c r="A234" s="108"/>
      <c r="B234" s="108"/>
      <c r="C234" s="108"/>
      <c r="D234" s="108"/>
      <c r="E234" s="108"/>
    </row>
    <row r="235" spans="1:5">
      <c r="A235" s="108"/>
      <c r="B235" s="108"/>
      <c r="C235" s="108"/>
      <c r="D235" s="108"/>
      <c r="E235" s="108"/>
    </row>
    <row r="236" spans="1:5">
      <c r="A236" s="108"/>
      <c r="B236" s="108"/>
      <c r="C236" s="108"/>
      <c r="D236" s="108"/>
      <c r="E236" s="108"/>
    </row>
    <row r="237" spans="1:5">
      <c r="A237" s="108"/>
      <c r="B237" s="108"/>
      <c r="C237" s="108"/>
      <c r="D237" s="108"/>
      <c r="E237" s="108"/>
    </row>
    <row r="238" spans="1:5">
      <c r="A238" s="108"/>
      <c r="B238" s="108"/>
      <c r="C238" s="108"/>
      <c r="D238" s="108"/>
      <c r="E238" s="108"/>
    </row>
    <row r="239" spans="1:5">
      <c r="A239" s="108"/>
      <c r="B239" s="108"/>
      <c r="C239" s="108"/>
      <c r="D239" s="108"/>
      <c r="E239" s="108"/>
    </row>
    <row r="240" spans="1:5">
      <c r="A240" s="108"/>
      <c r="B240" s="108"/>
      <c r="C240" s="108"/>
      <c r="D240" s="108"/>
      <c r="E240" s="108"/>
    </row>
    <row r="241" spans="1:5">
      <c r="A241" s="108"/>
      <c r="B241" s="108"/>
      <c r="C241" s="108"/>
      <c r="D241" s="108"/>
      <c r="E241" s="108"/>
    </row>
    <row r="242" spans="1:5">
      <c r="A242" s="108"/>
      <c r="B242" s="108"/>
      <c r="C242" s="108"/>
      <c r="D242" s="108"/>
      <c r="E242" s="108"/>
    </row>
    <row r="243" spans="1:5">
      <c r="A243" s="108"/>
      <c r="B243" s="108"/>
      <c r="C243" s="108"/>
      <c r="D243" s="108"/>
      <c r="E243" s="108"/>
    </row>
    <row r="244" spans="1:5">
      <c r="A244" s="108"/>
      <c r="B244" s="108"/>
      <c r="C244" s="108"/>
      <c r="D244" s="108"/>
      <c r="E244" s="108"/>
    </row>
    <row r="245" spans="1:5">
      <c r="A245" s="108"/>
      <c r="B245" s="108"/>
      <c r="C245" s="108"/>
      <c r="D245" s="108"/>
      <c r="E245" s="108"/>
    </row>
    <row r="246" spans="1:5">
      <c r="A246" s="108"/>
      <c r="B246" s="108"/>
      <c r="C246" s="108"/>
      <c r="D246" s="108"/>
      <c r="E246" s="108"/>
    </row>
    <row r="247" spans="1:5">
      <c r="A247" s="108"/>
      <c r="B247" s="108"/>
      <c r="C247" s="108"/>
      <c r="D247" s="108"/>
      <c r="E247" s="108"/>
    </row>
    <row r="248" spans="1:5">
      <c r="A248" s="108"/>
      <c r="B248" s="108"/>
      <c r="C248" s="108"/>
      <c r="D248" s="108"/>
      <c r="E248" s="108"/>
    </row>
    <row r="249" spans="1:5">
      <c r="A249" s="108"/>
      <c r="B249" s="108"/>
      <c r="C249" s="108"/>
      <c r="D249" s="108"/>
      <c r="E249" s="108"/>
    </row>
    <row r="250" spans="1:5">
      <c r="A250" s="108"/>
      <c r="B250" s="108"/>
      <c r="C250" s="108"/>
      <c r="D250" s="108"/>
      <c r="E250" s="108"/>
    </row>
    <row r="251" spans="1:5">
      <c r="A251" s="108"/>
      <c r="B251" s="108"/>
      <c r="C251" s="108"/>
      <c r="D251" s="108"/>
      <c r="E251" s="108"/>
    </row>
    <row r="252" spans="1:5">
      <c r="A252" s="108"/>
      <c r="B252" s="108"/>
      <c r="C252" s="108"/>
      <c r="D252" s="108"/>
      <c r="E252" s="108"/>
    </row>
    <row r="253" spans="1:5">
      <c r="A253" s="108"/>
      <c r="B253" s="108"/>
      <c r="C253" s="108"/>
      <c r="D253" s="108"/>
      <c r="E253" s="108"/>
    </row>
    <row r="254" spans="1:5">
      <c r="A254" s="108"/>
      <c r="B254" s="108"/>
      <c r="C254" s="108"/>
      <c r="D254" s="108"/>
      <c r="E254" s="108"/>
    </row>
    <row r="255" spans="1:5">
      <c r="A255" s="108"/>
      <c r="B255" s="108"/>
      <c r="C255" s="108"/>
      <c r="D255" s="108"/>
      <c r="E255" s="108"/>
    </row>
    <row r="256" spans="1:5">
      <c r="A256" s="108"/>
      <c r="B256" s="108"/>
      <c r="C256" s="108"/>
      <c r="D256" s="108"/>
      <c r="E256" s="108"/>
    </row>
    <row r="257" spans="1:5">
      <c r="A257" s="108"/>
      <c r="B257" s="108"/>
      <c r="C257" s="108"/>
      <c r="D257" s="108"/>
      <c r="E257" s="108"/>
    </row>
    <row r="258" spans="1:5">
      <c r="A258" s="108"/>
      <c r="B258" s="108"/>
      <c r="C258" s="108"/>
      <c r="D258" s="108"/>
      <c r="E258" s="108"/>
    </row>
    <row r="259" spans="1:5">
      <c r="A259" s="108"/>
      <c r="B259" s="108"/>
      <c r="C259" s="108"/>
      <c r="D259" s="108"/>
      <c r="E259" s="108"/>
    </row>
    <row r="260" spans="1:5">
      <c r="A260" s="108"/>
      <c r="B260" s="108"/>
      <c r="C260" s="108"/>
      <c r="D260" s="108"/>
      <c r="E260" s="108"/>
    </row>
    <row r="261" spans="1:5">
      <c r="A261" s="108"/>
      <c r="B261" s="108"/>
      <c r="C261" s="108"/>
      <c r="D261" s="108"/>
      <c r="E261" s="108"/>
    </row>
    <row r="262" spans="1:5">
      <c r="A262" s="108"/>
      <c r="B262" s="108"/>
      <c r="C262" s="108"/>
      <c r="D262" s="108"/>
      <c r="E262" s="108"/>
    </row>
    <row r="263" spans="1:5">
      <c r="A263" s="108"/>
      <c r="B263" s="108"/>
      <c r="C263" s="108"/>
      <c r="D263" s="108"/>
      <c r="E263" s="108"/>
    </row>
    <row r="264" spans="1:5">
      <c r="A264" s="108"/>
      <c r="B264" s="108"/>
      <c r="C264" s="108"/>
      <c r="D264" s="108"/>
      <c r="E264" s="108"/>
    </row>
    <row r="265" spans="1:5">
      <c r="A265" s="108"/>
      <c r="B265" s="108"/>
      <c r="C265" s="108"/>
      <c r="D265" s="108"/>
      <c r="E265" s="108"/>
    </row>
    <row r="266" spans="1:5">
      <c r="A266" s="108"/>
      <c r="B266" s="108"/>
      <c r="C266" s="108"/>
      <c r="D266" s="108"/>
      <c r="E266" s="108"/>
    </row>
    <row r="267" spans="1:5">
      <c r="A267" s="108"/>
      <c r="B267" s="108"/>
      <c r="C267" s="108"/>
      <c r="D267" s="108"/>
      <c r="E267" s="108"/>
    </row>
    <row r="268" spans="1:5">
      <c r="A268" s="108"/>
      <c r="B268" s="108"/>
      <c r="C268" s="108"/>
      <c r="D268" s="108"/>
      <c r="E268" s="108"/>
    </row>
    <row r="269" spans="1:5">
      <c r="A269" s="108"/>
      <c r="B269" s="108"/>
      <c r="C269" s="108"/>
      <c r="D269" s="108"/>
      <c r="E269" s="108"/>
    </row>
    <row r="270" spans="1:5">
      <c r="A270" s="108"/>
      <c r="B270" s="108"/>
      <c r="C270" s="108"/>
      <c r="D270" s="108"/>
      <c r="E270" s="108"/>
    </row>
    <row r="271" spans="1:5">
      <c r="A271" s="108"/>
      <c r="B271" s="108"/>
      <c r="C271" s="108"/>
      <c r="D271" s="108"/>
      <c r="E271" s="108"/>
    </row>
    <row r="272" spans="1:5">
      <c r="A272" s="108"/>
      <c r="B272" s="108"/>
      <c r="C272" s="108"/>
      <c r="D272" s="108"/>
      <c r="E272" s="108"/>
    </row>
    <row r="273" spans="1:5">
      <c r="A273" s="108"/>
      <c r="B273" s="108"/>
      <c r="C273" s="108"/>
      <c r="D273" s="108"/>
      <c r="E273" s="108"/>
    </row>
    <row r="274" spans="1:5">
      <c r="A274" s="108"/>
      <c r="B274" s="108"/>
      <c r="C274" s="108"/>
      <c r="D274" s="108"/>
      <c r="E274" s="108"/>
    </row>
    <row r="275" spans="1:5">
      <c r="A275" s="108"/>
      <c r="B275" s="108"/>
      <c r="C275" s="108"/>
      <c r="D275" s="108"/>
      <c r="E275" s="108"/>
    </row>
    <row r="276" spans="1:5">
      <c r="A276" s="108"/>
      <c r="B276" s="108"/>
      <c r="C276" s="108"/>
      <c r="D276" s="108"/>
      <c r="E276" s="108"/>
    </row>
    <row r="277" spans="1:5">
      <c r="A277" s="108"/>
      <c r="B277" s="108"/>
      <c r="C277" s="108"/>
      <c r="D277" s="108"/>
      <c r="E277" s="108"/>
    </row>
    <row r="278" spans="1:5">
      <c r="A278" s="108"/>
      <c r="B278" s="108"/>
      <c r="C278" s="108"/>
      <c r="D278" s="108"/>
      <c r="E278" s="108"/>
    </row>
    <row r="279" spans="1:5">
      <c r="A279" s="108"/>
      <c r="B279" s="108"/>
      <c r="C279" s="108"/>
      <c r="D279" s="108"/>
      <c r="E279" s="108"/>
    </row>
    <row r="280" spans="1:5">
      <c r="A280" s="108"/>
      <c r="B280" s="108"/>
      <c r="C280" s="108"/>
      <c r="D280" s="108"/>
      <c r="E280" s="108"/>
    </row>
    <row r="281" spans="1:5">
      <c r="A281" s="108"/>
      <c r="B281" s="108"/>
      <c r="C281" s="108"/>
      <c r="D281" s="108"/>
      <c r="E281" s="108"/>
    </row>
  </sheetData>
  <sheetProtection algorithmName="SHA-512" hashValue="jn6irFWCS/9JmPgZ6rYRuu6c84o/qvZRtdTXc34vtSezG4c1CPU35hPkzI3lYPesKJNyBrjTwGMLsawb9065ug==" saltValue="UO+m820fk5wrdZ1uVF1E7Q==" spinCount="100000" sheet="1" objects="1" scenarios="1"/>
  <mergeCells count="52">
    <mergeCell ref="C24:E24"/>
    <mergeCell ref="A4:B12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31:B31"/>
    <mergeCell ref="A25:B25"/>
    <mergeCell ref="A13:B15"/>
    <mergeCell ref="C13:E13"/>
    <mergeCell ref="C14:E14"/>
    <mergeCell ref="C15:E15"/>
    <mergeCell ref="A16:B22"/>
    <mergeCell ref="C16:E16"/>
    <mergeCell ref="C17:E17"/>
    <mergeCell ref="C18:E18"/>
    <mergeCell ref="C19:E19"/>
    <mergeCell ref="C20:E20"/>
    <mergeCell ref="C21:E21"/>
    <mergeCell ref="C22:E22"/>
    <mergeCell ref="A23:B24"/>
    <mergeCell ref="C23:E23"/>
    <mergeCell ref="C25:E25"/>
    <mergeCell ref="C36:E36"/>
    <mergeCell ref="A38:B38"/>
    <mergeCell ref="A39:B39"/>
    <mergeCell ref="A41:B41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B48:E48"/>
    <mergeCell ref="B49:E49"/>
    <mergeCell ref="C50:E50"/>
    <mergeCell ref="B42:E42"/>
    <mergeCell ref="B43:E43"/>
    <mergeCell ref="B44:E44"/>
    <mergeCell ref="B45:E45"/>
    <mergeCell ref="B46:E46"/>
    <mergeCell ref="B47:E47"/>
  </mergeCells>
  <hyperlinks>
    <hyperlink ref="C10" r:id="rId1" display="mailto:aacosta@investor.com.py" xr:uid="{A93F1D3C-0B89-444B-9580-31AD9B179C4D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0">
    <tabColor rgb="FF002060"/>
  </sheetPr>
  <dimension ref="B1:O30"/>
  <sheetViews>
    <sheetView showGridLines="0" workbookViewId="0">
      <selection activeCell="I22" sqref="I22"/>
    </sheetView>
  </sheetViews>
  <sheetFormatPr baseColWidth="10" defaultColWidth="11.44140625" defaultRowHeight="12"/>
  <cols>
    <col min="1" max="1" width="4.77734375" style="25" customWidth="1"/>
    <col min="2" max="2" width="50.88671875" style="25" bestFit="1" customWidth="1"/>
    <col min="3" max="3" width="13" style="39" bestFit="1" customWidth="1"/>
    <col min="4" max="4" width="13" style="25" bestFit="1" customWidth="1"/>
    <col min="5" max="5" width="11.44140625" style="25"/>
    <col min="6" max="6" width="12" style="25" bestFit="1" customWidth="1"/>
    <col min="7" max="8" width="11.44140625" style="25"/>
    <col min="9" max="9" width="12.44140625" style="25" bestFit="1" customWidth="1"/>
    <col min="10" max="16384" width="11.44140625" style="25"/>
  </cols>
  <sheetData>
    <row r="1" spans="2:8" ht="40.200000000000003" customHeight="1">
      <c r="B1" s="207"/>
    </row>
    <row r="2" spans="2:8" ht="30.6" customHeight="1">
      <c r="B2" s="560" t="s">
        <v>828</v>
      </c>
      <c r="C2" s="560"/>
      <c r="D2" s="560"/>
    </row>
    <row r="3" spans="2:8">
      <c r="B3" s="109"/>
    </row>
    <row r="4" spans="2:8">
      <c r="B4" s="88" t="s">
        <v>497</v>
      </c>
      <c r="C4" s="163" t="s">
        <v>498</v>
      </c>
      <c r="D4" s="88" t="s">
        <v>499</v>
      </c>
    </row>
    <row r="5" spans="2:8">
      <c r="B5" s="164" t="s">
        <v>663</v>
      </c>
      <c r="C5" s="165">
        <v>2427556021</v>
      </c>
      <c r="D5" s="166">
        <v>702394322</v>
      </c>
      <c r="F5" s="39"/>
      <c r="G5" s="39"/>
    </row>
    <row r="6" spans="2:8">
      <c r="B6" s="164" t="s">
        <v>665</v>
      </c>
      <c r="C6" s="166">
        <v>369949497.26999998</v>
      </c>
      <c r="D6" s="166">
        <v>499121078</v>
      </c>
      <c r="F6" s="39"/>
      <c r="G6" s="39"/>
    </row>
    <row r="7" spans="2:8">
      <c r="B7" s="164" t="s">
        <v>664</v>
      </c>
      <c r="C7" s="166">
        <v>368335338</v>
      </c>
      <c r="D7" s="97">
        <v>577955513</v>
      </c>
      <c r="F7" s="39"/>
      <c r="G7" s="39"/>
    </row>
    <row r="8" spans="2:8">
      <c r="B8" s="164" t="s">
        <v>540</v>
      </c>
      <c r="C8" s="166">
        <v>1204161000</v>
      </c>
      <c r="D8" s="97">
        <v>0</v>
      </c>
      <c r="F8" s="39"/>
      <c r="G8" s="39"/>
      <c r="H8" s="55"/>
    </row>
    <row r="9" spans="2:8">
      <c r="B9" s="164" t="s">
        <v>541</v>
      </c>
      <c r="C9" s="166">
        <v>1208200233</v>
      </c>
      <c r="D9" s="97">
        <v>0</v>
      </c>
      <c r="F9" s="39"/>
      <c r="G9" s="39"/>
    </row>
    <row r="10" spans="2:8">
      <c r="B10" s="164" t="s">
        <v>500</v>
      </c>
      <c r="C10" s="97">
        <v>172878451.29999998</v>
      </c>
      <c r="D10" s="166">
        <v>58349255</v>
      </c>
      <c r="E10" s="115"/>
      <c r="F10" s="39"/>
      <c r="G10" s="39"/>
    </row>
    <row r="11" spans="2:8">
      <c r="B11" s="164" t="s">
        <v>501</v>
      </c>
      <c r="C11" s="97">
        <v>154274623.3267</v>
      </c>
      <c r="D11" s="166">
        <v>0</v>
      </c>
      <c r="E11" s="115"/>
      <c r="F11" s="39"/>
      <c r="G11" s="39"/>
    </row>
    <row r="12" spans="2:8">
      <c r="B12" s="164" t="s">
        <v>502</v>
      </c>
      <c r="C12" s="97">
        <v>3662529832.4702001</v>
      </c>
      <c r="D12" s="166">
        <v>0</v>
      </c>
      <c r="F12" s="39"/>
      <c r="G12" s="39"/>
    </row>
    <row r="13" spans="2:8">
      <c r="B13" s="164" t="s">
        <v>554</v>
      </c>
      <c r="C13" s="97">
        <v>30845254.539999999</v>
      </c>
      <c r="D13" s="166">
        <v>497938936</v>
      </c>
      <c r="F13" s="39"/>
      <c r="G13" s="39"/>
    </row>
    <row r="14" spans="2:8">
      <c r="B14" s="164" t="s">
        <v>666</v>
      </c>
      <c r="C14" s="97">
        <v>0</v>
      </c>
      <c r="D14" s="166">
        <v>0</v>
      </c>
      <c r="F14" s="39"/>
      <c r="G14" s="39"/>
    </row>
    <row r="15" spans="2:8">
      <c r="B15" s="164" t="s">
        <v>667</v>
      </c>
      <c r="C15" s="97">
        <v>0</v>
      </c>
      <c r="D15" s="166">
        <v>178947766</v>
      </c>
      <c r="F15" s="39"/>
      <c r="G15" s="39"/>
    </row>
    <row r="16" spans="2:8">
      <c r="B16" s="164" t="s">
        <v>668</v>
      </c>
      <c r="C16" s="97">
        <v>98181.82</v>
      </c>
      <c r="D16" s="166">
        <v>0</v>
      </c>
      <c r="F16" s="39"/>
      <c r="G16" s="39"/>
    </row>
    <row r="17" spans="2:15">
      <c r="B17" s="164" t="s">
        <v>810</v>
      </c>
      <c r="C17" s="97">
        <v>104601865.20999999</v>
      </c>
      <c r="D17" s="166"/>
      <c r="F17" s="39"/>
      <c r="G17" s="39"/>
    </row>
    <row r="18" spans="2:15">
      <c r="B18" s="164" t="s">
        <v>811</v>
      </c>
      <c r="C18" s="97">
        <v>3051006.37</v>
      </c>
      <c r="D18" s="166"/>
      <c r="F18" s="39"/>
      <c r="G18" s="39"/>
    </row>
    <row r="19" spans="2:15">
      <c r="B19" s="121" t="str">
        <f>+'NOTA R SALDOS Y TRANSACC'!B20</f>
        <v>Total al 30/09/2021</v>
      </c>
      <c r="C19" s="167">
        <f>SUM(C5:C18)</f>
        <v>9706481304.3069019</v>
      </c>
      <c r="D19" s="167">
        <f>SUM(D5:D18)</f>
        <v>2514706870</v>
      </c>
    </row>
    <row r="20" spans="2:15">
      <c r="B20" s="121" t="str">
        <f>+'NOTA R SALDOS Y TRANSACC'!B21</f>
        <v>Total al 31/12/2020</v>
      </c>
      <c r="C20" s="168">
        <v>711902317</v>
      </c>
      <c r="D20" s="167">
        <v>1665966928</v>
      </c>
    </row>
    <row r="23" spans="2:15">
      <c r="K23" s="169"/>
      <c r="M23" s="170"/>
      <c r="O23" s="170"/>
    </row>
    <row r="24" spans="2:15">
      <c r="K24" s="169"/>
      <c r="M24" s="170"/>
      <c r="O24" s="170"/>
    </row>
    <row r="25" spans="2:15">
      <c r="K25" s="169"/>
      <c r="M25" s="170"/>
      <c r="O25" s="171"/>
    </row>
    <row r="30" spans="2:15">
      <c r="G30" s="170"/>
    </row>
  </sheetData>
  <sheetProtection algorithmName="SHA-512" hashValue="8P+1nJlDpukyNYkJcZh/+O+IegEfQ3w3owvfTaukSwaM+d/sUs0v4FzU9IuiJHQnzMHXJ7XhxhpyuXliRf0FCA==" saltValue="rsqM5aE5Cv34QuG4nm595Q==" spinCount="100000" sheet="1" objects="1" scenarios="1"/>
  <mergeCells count="1">
    <mergeCell ref="B2:D2"/>
  </mergeCells>
  <pageMargins left="0.7" right="0.7" top="0.75" bottom="0.75" header="0.3" footer="0.3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1">
    <tabColor rgb="FF002060"/>
  </sheetPr>
  <dimension ref="B1:H17"/>
  <sheetViews>
    <sheetView showGridLines="0" zoomScale="113" zoomScaleNormal="85" workbookViewId="0">
      <selection activeCell="I22" sqref="I22"/>
    </sheetView>
  </sheetViews>
  <sheetFormatPr baseColWidth="10" defaultColWidth="11.44140625" defaultRowHeight="12"/>
  <cols>
    <col min="1" max="1" width="4.77734375" style="84" customWidth="1"/>
    <col min="2" max="2" width="32.44140625" style="84" customWidth="1"/>
    <col min="3" max="3" width="22.109375" style="84" bestFit="1" customWidth="1"/>
    <col min="4" max="4" width="14.44140625" style="84" bestFit="1" customWidth="1"/>
    <col min="5" max="5" width="14.109375" style="84" bestFit="1" customWidth="1"/>
    <col min="6" max="6" width="14.44140625" style="84" bestFit="1" customWidth="1"/>
    <col min="7" max="7" width="14.109375" style="84" bestFit="1" customWidth="1"/>
    <col min="8" max="9" width="12.109375" style="84" bestFit="1" customWidth="1"/>
    <col min="10" max="16384" width="11.44140625" style="84"/>
  </cols>
  <sheetData>
    <row r="1" spans="2:8" ht="37.950000000000003" customHeight="1">
      <c r="C1" s="207"/>
    </row>
    <row r="2" spans="2:8" ht="14.4">
      <c r="C2" s="387"/>
    </row>
    <row r="3" spans="2:8" ht="15.6">
      <c r="B3" s="587" t="s">
        <v>503</v>
      </c>
      <c r="C3" s="587"/>
      <c r="D3" s="587"/>
      <c r="E3" s="587"/>
      <c r="F3" s="587"/>
    </row>
    <row r="4" spans="2:8" ht="15.6">
      <c r="B4" s="490"/>
      <c r="C4" s="490"/>
      <c r="D4" s="490"/>
      <c r="E4" s="490"/>
      <c r="F4" s="490"/>
    </row>
    <row r="5" spans="2:8" ht="14.4">
      <c r="B5" s="491" t="s">
        <v>778</v>
      </c>
    </row>
    <row r="6" spans="2:8" ht="24">
      <c r="B6" s="35" t="s">
        <v>360</v>
      </c>
      <c r="C6" s="35" t="s">
        <v>504</v>
      </c>
      <c r="D6" s="35" t="s">
        <v>459</v>
      </c>
      <c r="E6" s="35" t="s">
        <v>505</v>
      </c>
      <c r="F6" s="35" t="s">
        <v>812</v>
      </c>
    </row>
    <row r="7" spans="2:8">
      <c r="B7" s="91" t="s">
        <v>506</v>
      </c>
      <c r="C7" s="172">
        <v>24288000001</v>
      </c>
      <c r="D7" s="173">
        <f>+F7-C7</f>
        <v>2720000000</v>
      </c>
      <c r="E7" s="173">
        <v>0</v>
      </c>
      <c r="F7" s="172">
        <f>+'Balance Gral. Resol. 30'!$G$64</f>
        <v>27008000001</v>
      </c>
      <c r="G7" s="174"/>
      <c r="H7" s="176"/>
    </row>
    <row r="8" spans="2:8">
      <c r="B8" s="91" t="s">
        <v>507</v>
      </c>
      <c r="C8" s="173">
        <v>0</v>
      </c>
      <c r="D8" s="173">
        <v>0</v>
      </c>
      <c r="E8" s="173">
        <f>+C8</f>
        <v>0</v>
      </c>
      <c r="F8" s="172">
        <v>0</v>
      </c>
      <c r="G8" s="174"/>
      <c r="H8" s="176"/>
    </row>
    <row r="9" spans="2:8">
      <c r="B9" s="91" t="s">
        <v>112</v>
      </c>
      <c r="C9" s="172">
        <v>1648520013</v>
      </c>
      <c r="D9" s="175">
        <v>0</v>
      </c>
      <c r="E9" s="173">
        <v>52946670</v>
      </c>
      <c r="F9" s="172">
        <f>+'Balance Gral. Resol. 30'!$G$71</f>
        <v>1595573343</v>
      </c>
      <c r="G9" s="174"/>
      <c r="H9" s="176"/>
    </row>
    <row r="10" spans="2:8">
      <c r="B10" s="91" t="s">
        <v>123</v>
      </c>
      <c r="C10" s="173">
        <v>8062247026</v>
      </c>
      <c r="D10" s="173">
        <v>0</v>
      </c>
      <c r="E10" s="173">
        <f>+C10-F10</f>
        <v>8052835939</v>
      </c>
      <c r="F10" s="173">
        <f>+'Balance Gral. Resol. 30'!$G$74</f>
        <v>9411087</v>
      </c>
      <c r="G10" s="174"/>
      <c r="H10" s="176"/>
    </row>
    <row r="11" spans="2:8">
      <c r="B11" s="91" t="s">
        <v>125</v>
      </c>
      <c r="C11" s="172">
        <v>0</v>
      </c>
      <c r="D11" s="173">
        <f>+'Balance Gral. Resol. 30'!$G$75</f>
        <v>8284459467</v>
      </c>
      <c r="E11" s="173">
        <f>+C11</f>
        <v>0</v>
      </c>
      <c r="F11" s="172">
        <f>+'Balance Gral. Resol. 30'!$G$75</f>
        <v>8284459467</v>
      </c>
      <c r="G11" s="174"/>
      <c r="H11" s="176"/>
    </row>
    <row r="12" spans="2:8">
      <c r="B12" s="121" t="str">
        <f>+'NOTA S RESULTADOS CON PERS'!B19</f>
        <v>Total al 30/09/2021</v>
      </c>
      <c r="C12" s="177">
        <f>SUM(C7:C11)</f>
        <v>33998767040</v>
      </c>
      <c r="D12" s="177">
        <f>SUM(D7:D11)</f>
        <v>11004459467</v>
      </c>
      <c r="E12" s="177">
        <f>SUM(E7:E11)</f>
        <v>8105782609</v>
      </c>
      <c r="F12" s="177">
        <f>SUM(F7:F11)</f>
        <v>36897443898</v>
      </c>
      <c r="G12" s="174"/>
      <c r="H12" s="176"/>
    </row>
    <row r="13" spans="2:8">
      <c r="B13" s="121" t="str">
        <f>+'NOTA S RESULTADOS CON PERS'!B20</f>
        <v>Total al 31/12/2020</v>
      </c>
      <c r="C13" s="177">
        <v>26371191313</v>
      </c>
      <c r="D13" s="177">
        <v>14475575818</v>
      </c>
      <c r="E13" s="178">
        <v>6848000091</v>
      </c>
      <c r="F13" s="177">
        <v>33998767040</v>
      </c>
    </row>
    <row r="14" spans="2:8">
      <c r="D14" s="176"/>
      <c r="F14" s="174"/>
    </row>
    <row r="15" spans="2:8">
      <c r="D15" s="176"/>
      <c r="E15" s="85"/>
      <c r="F15" s="179">
        <f>+F12-'Balance Gral. Resol. 30'!G77</f>
        <v>0</v>
      </c>
    </row>
    <row r="16" spans="2:8" ht="15.6">
      <c r="B16" s="587" t="s">
        <v>572</v>
      </c>
      <c r="C16" s="587"/>
      <c r="D16" s="587"/>
      <c r="E16" s="587"/>
      <c r="F16" s="587"/>
    </row>
    <row r="17" spans="2:5">
      <c r="B17" s="180" t="s">
        <v>508</v>
      </c>
      <c r="E17" s="85"/>
    </row>
  </sheetData>
  <sheetProtection algorithmName="SHA-512" hashValue="Dn4LwJEfxgyFoMviwntmn4+tomhAQnfnY7K7DBYiJajL5GTiGnLmrTkM8o1n0OOQ+JNn1S8P0vtfQej8RBdH6A==" saltValue="Vm1nANTKPejn995qN9Ar/Q==" spinCount="100000" sheet="1" objects="1" scenarios="1"/>
  <mergeCells count="2">
    <mergeCell ref="B3:F3"/>
    <mergeCell ref="B16:F16"/>
  </mergeCells>
  <hyperlinks>
    <hyperlink ref="B5" location="'Balance Gral. Resol. 30'!A1" display="'Balance Gral. Resol. 30'!A1" xr:uid="{FA80B25E-16E3-4E5B-A107-987BDEBA2B9B}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tabColor rgb="FF002060"/>
  </sheetPr>
  <dimension ref="B1:E25"/>
  <sheetViews>
    <sheetView showGridLines="0" zoomScale="119" zoomScaleNormal="85" workbookViewId="0">
      <selection activeCell="I22" sqref="I22"/>
    </sheetView>
  </sheetViews>
  <sheetFormatPr baseColWidth="10" defaultColWidth="20.33203125" defaultRowHeight="12"/>
  <cols>
    <col min="1" max="1" width="4.77734375" style="25" customWidth="1"/>
    <col min="2" max="2" width="35" style="25" bestFit="1" customWidth="1"/>
    <col min="3" max="16384" width="20.33203125" style="25"/>
  </cols>
  <sheetData>
    <row r="1" spans="2:4" ht="28.2" customHeight="1">
      <c r="B1" s="207"/>
    </row>
    <row r="4" spans="2:4" ht="15.6">
      <c r="B4" s="560" t="s">
        <v>815</v>
      </c>
      <c r="C4" s="560"/>
      <c r="D4" s="560"/>
    </row>
    <row r="6" spans="2:4" ht="14.4">
      <c r="B6" s="480" t="s">
        <v>816</v>
      </c>
    </row>
    <row r="7" spans="2:4" ht="15.6">
      <c r="B7" s="588" t="s">
        <v>509</v>
      </c>
      <c r="C7" s="588"/>
      <c r="D7" s="588"/>
    </row>
    <row r="8" spans="2:4">
      <c r="B8" s="119" t="s">
        <v>360</v>
      </c>
      <c r="C8" s="194" t="s">
        <v>813</v>
      </c>
      <c r="D8" s="119" t="s">
        <v>814</v>
      </c>
    </row>
    <row r="9" spans="2:4">
      <c r="B9" s="33" t="s">
        <v>510</v>
      </c>
      <c r="C9" s="181"/>
      <c r="D9" s="181">
        <v>30698389</v>
      </c>
    </row>
    <row r="10" spans="2:4">
      <c r="B10" s="33" t="s">
        <v>511</v>
      </c>
      <c r="C10" s="126">
        <f>+'Estado de Resultado Resol. 30'!D14</f>
        <v>507637023</v>
      </c>
      <c r="D10" s="126">
        <v>121922993</v>
      </c>
    </row>
    <row r="11" spans="2:4">
      <c r="B11" s="33" t="s">
        <v>512</v>
      </c>
      <c r="C11" s="126">
        <f>+'Estado de Resultado Resol. 30'!D26</f>
        <v>6605954379</v>
      </c>
      <c r="D11" s="126">
        <v>1796856356</v>
      </c>
    </row>
    <row r="12" spans="2:4">
      <c r="B12" s="33" t="s">
        <v>513</v>
      </c>
      <c r="C12" s="126">
        <f>+'Estado de Resultado Resol. 30'!D28</f>
        <v>5137799147</v>
      </c>
      <c r="D12" s="181">
        <v>6310383839</v>
      </c>
    </row>
    <row r="13" spans="2:4">
      <c r="B13" s="33" t="s">
        <v>514</v>
      </c>
      <c r="C13" s="126">
        <f>+'Estado de Resultado Resol. 30'!D27</f>
        <v>1901112877</v>
      </c>
      <c r="D13" s="181">
        <v>1062238869</v>
      </c>
    </row>
    <row r="14" spans="2:4" ht="24">
      <c r="B14" s="51" t="s">
        <v>669</v>
      </c>
      <c r="C14" s="126">
        <f>+'Estado de Resultado Resol. 30'!D29</f>
        <v>198595000</v>
      </c>
      <c r="D14" s="181"/>
    </row>
    <row r="15" spans="2:4">
      <c r="B15" s="49" t="s">
        <v>515</v>
      </c>
      <c r="C15" s="127">
        <f>SUM(C10:C14)</f>
        <v>14351098426</v>
      </c>
      <c r="D15" s="127">
        <f>SUM(D9:D14)</f>
        <v>9322100446</v>
      </c>
    </row>
    <row r="17" spans="2:5" ht="15.6">
      <c r="B17" s="588" t="s">
        <v>192</v>
      </c>
      <c r="C17" s="588"/>
      <c r="D17" s="588"/>
    </row>
    <row r="18" spans="2:5">
      <c r="B18" s="119" t="s">
        <v>360</v>
      </c>
      <c r="C18" s="119" t="str">
        <f>+C8</f>
        <v>AL 30/09/2021</v>
      </c>
      <c r="D18" s="119" t="str">
        <f>+D8</f>
        <v>AL 30/09/2020</v>
      </c>
    </row>
    <row r="19" spans="2:5">
      <c r="B19" s="33" t="s">
        <v>516</v>
      </c>
      <c r="C19" s="97">
        <f>+'Estado de Resultado Resol. 30'!D35</f>
        <v>0</v>
      </c>
      <c r="D19" s="53">
        <v>0</v>
      </c>
    </row>
    <row r="20" spans="2:5">
      <c r="B20" s="33" t="s">
        <v>517</v>
      </c>
      <c r="C20" s="97">
        <f>+'Estado de Resultado Resol. 30'!D36</f>
        <v>0</v>
      </c>
      <c r="D20" s="97">
        <v>150385000</v>
      </c>
    </row>
    <row r="21" spans="2:5">
      <c r="B21" s="33" t="s">
        <v>518</v>
      </c>
      <c r="C21" s="97">
        <f>+'Estado de Resultado Resol. 30'!D37</f>
        <v>798650740</v>
      </c>
      <c r="D21" s="97">
        <f>1046956149-'NOTA X OTROS INGRESOS Y EGR'!D10</f>
        <v>198743483</v>
      </c>
    </row>
    <row r="22" spans="2:5">
      <c r="B22" s="49" t="s">
        <v>515</v>
      </c>
      <c r="C22" s="118">
        <f>SUM(C19:C21)</f>
        <v>798650740</v>
      </c>
      <c r="D22" s="118">
        <f>SUM(D19:D21)</f>
        <v>349128483</v>
      </c>
    </row>
    <row r="24" spans="2:5">
      <c r="C24" s="39">
        <f>+C22-'Estado de Resultado Resol. 30'!D34</f>
        <v>0</v>
      </c>
      <c r="D24" s="39">
        <f>+D22-'Estado de Resultado Resol. 30'!E34</f>
        <v>0</v>
      </c>
      <c r="E24" s="39"/>
    </row>
    <row r="25" spans="2:5">
      <c r="C25" s="39"/>
      <c r="D25" s="39"/>
      <c r="E25" s="39"/>
    </row>
  </sheetData>
  <sheetProtection algorithmName="SHA-512" hashValue="c54snV7SSd/7TtHpqVN6utGzyD/pf2ghninLQY1tmDuhm8lMRtl84IuV8vUKmeYuE5WrFGvtJ5fgq9IaLEpL8w==" saltValue="n91KYaCByK4aEH4EPS8jPQ==" spinCount="100000" sheet="1" objects="1" scenarios="1"/>
  <mergeCells count="3">
    <mergeCell ref="B4:D4"/>
    <mergeCell ref="B7:D7"/>
    <mergeCell ref="B17:D17"/>
  </mergeCells>
  <hyperlinks>
    <hyperlink ref="B6" location="'Estado de Resultado Resol. 30'!A1" display="'Estado de Resultado Resol. 30'!A1" xr:uid="{DA776F78-BA3E-4CBB-8DFD-766F93640C7A}"/>
  </hyperlink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3">
    <tabColor rgb="FF002060"/>
  </sheetPr>
  <dimension ref="B1:E44"/>
  <sheetViews>
    <sheetView showGridLines="0" zoomScale="133" zoomScaleNormal="100" workbookViewId="0">
      <selection activeCell="I22" sqref="I22"/>
    </sheetView>
  </sheetViews>
  <sheetFormatPr baseColWidth="10" defaultColWidth="11.44140625" defaultRowHeight="12"/>
  <cols>
    <col min="1" max="1" width="4.77734375" style="25" customWidth="1"/>
    <col min="2" max="2" width="37.44140625" style="25" customWidth="1"/>
    <col min="3" max="3" width="13.44140625" style="25" bestFit="1" customWidth="1"/>
    <col min="4" max="4" width="14.21875" style="25" customWidth="1"/>
    <col min="5" max="5" width="15.109375" style="25" bestFit="1" customWidth="1"/>
    <col min="6" max="16384" width="11.44140625" style="25"/>
  </cols>
  <sheetData>
    <row r="1" spans="2:5" s="59" customFormat="1" ht="14.4">
      <c r="B1" s="589"/>
      <c r="C1" s="580"/>
      <c r="D1" s="580"/>
    </row>
    <row r="2" spans="2:5" s="59" customFormat="1">
      <c r="B2" s="182"/>
      <c r="C2" s="182"/>
      <c r="D2" s="182"/>
    </row>
    <row r="3" spans="2:5" s="59" customFormat="1">
      <c r="B3" s="182"/>
      <c r="C3" s="182"/>
      <c r="D3" s="182"/>
    </row>
    <row r="4" spans="2:5" s="59" customFormat="1">
      <c r="B4" s="182"/>
      <c r="C4" s="182"/>
      <c r="D4" s="182"/>
    </row>
    <row r="5" spans="2:5" s="59" customFormat="1" ht="15.6">
      <c r="B5" s="587" t="s">
        <v>520</v>
      </c>
      <c r="C5" s="587"/>
      <c r="D5" s="587"/>
    </row>
    <row r="6" spans="2:5" s="59" customFormat="1">
      <c r="B6" s="182"/>
      <c r="C6" s="182"/>
      <c r="D6" s="182"/>
    </row>
    <row r="7" spans="2:5" ht="14.4">
      <c r="B7" s="494" t="s">
        <v>816</v>
      </c>
      <c r="C7" s="183"/>
      <c r="D7" s="183"/>
    </row>
    <row r="8" spans="2:5">
      <c r="B8" s="200" t="s">
        <v>360</v>
      </c>
      <c r="C8" s="200" t="str">
        <f>+'NOTA V INGRESOS OPERATIVOS'!C8</f>
        <v>AL 30/09/2021</v>
      </c>
      <c r="D8" s="200" t="s">
        <v>814</v>
      </c>
    </row>
    <row r="9" spans="2:5">
      <c r="B9" s="49" t="s">
        <v>521</v>
      </c>
      <c r="C9" s="1">
        <f>+'Estado de Resultado Resol. 30'!D39</f>
        <v>1206903448</v>
      </c>
      <c r="D9" s="1">
        <v>984254211</v>
      </c>
      <c r="E9" s="55"/>
    </row>
    <row r="10" spans="2:5">
      <c r="B10" s="33" t="s">
        <v>194</v>
      </c>
      <c r="C10" s="361">
        <f>+'Estado de Resultado Resol. 30'!D40</f>
        <v>869572122</v>
      </c>
      <c r="D10" s="184">
        <v>597671553</v>
      </c>
    </row>
    <row r="11" spans="2:5">
      <c r="B11" s="33" t="s">
        <v>195</v>
      </c>
      <c r="C11" s="361">
        <f>+'Estado de Resultado Resol. 30'!D41</f>
        <v>289850313</v>
      </c>
      <c r="D11" s="184">
        <v>386582658</v>
      </c>
    </row>
    <row r="12" spans="2:5">
      <c r="B12" s="33" t="s">
        <v>522</v>
      </c>
      <c r="C12" s="39">
        <v>0</v>
      </c>
      <c r="D12" s="184">
        <v>0</v>
      </c>
    </row>
    <row r="13" spans="2:5">
      <c r="B13" s="185" t="s">
        <v>521</v>
      </c>
      <c r="C13" s="361">
        <f>+'Estado de Resultado Resol. 30'!D42</f>
        <v>47481013</v>
      </c>
      <c r="D13" s="186">
        <v>0</v>
      </c>
    </row>
    <row r="14" spans="2:5">
      <c r="B14" s="49"/>
      <c r="C14" s="187"/>
      <c r="D14" s="187"/>
    </row>
    <row r="15" spans="2:5">
      <c r="B15" s="49" t="s">
        <v>197</v>
      </c>
      <c r="C15" s="1">
        <f>+'Estado de Resultado Resol. 30'!D45</f>
        <v>1139957399</v>
      </c>
      <c r="D15" s="1">
        <v>7728345</v>
      </c>
    </row>
    <row r="16" spans="2:5">
      <c r="B16" s="33" t="s">
        <v>198</v>
      </c>
      <c r="C16" s="184">
        <f>+'Estado de Resultado Resol. 30'!D46</f>
        <v>550493093</v>
      </c>
      <c r="D16" s="184">
        <v>7728345</v>
      </c>
    </row>
    <row r="17" spans="2:4">
      <c r="B17" s="33" t="s">
        <v>199</v>
      </c>
      <c r="C17" s="184">
        <f>+'Estado de Resultado Resol. 30'!D47</f>
        <v>0</v>
      </c>
      <c r="D17" s="184">
        <v>0</v>
      </c>
    </row>
    <row r="18" spans="2:4">
      <c r="B18" s="33" t="s">
        <v>200</v>
      </c>
      <c r="C18" s="184">
        <f>+'Estado de Resultado Resol. 30'!D48</f>
        <v>589464306</v>
      </c>
      <c r="D18" s="184">
        <v>0</v>
      </c>
    </row>
    <row r="19" spans="2:4">
      <c r="B19" s="49"/>
      <c r="C19" s="187"/>
      <c r="D19" s="187"/>
    </row>
    <row r="20" spans="2:4">
      <c r="B20" s="49" t="s">
        <v>201</v>
      </c>
      <c r="C20" s="1">
        <f>+'Estado de Resultado Resol. 30'!D50</f>
        <v>5347206832</v>
      </c>
      <c r="D20" s="1">
        <v>3577348252</v>
      </c>
    </row>
    <row r="21" spans="2:4">
      <c r="B21" s="33" t="s">
        <v>202</v>
      </c>
      <c r="C21" s="184">
        <f>+'Estado de Resultado Resol. 30'!D51</f>
        <v>1642245506</v>
      </c>
      <c r="D21" s="184">
        <v>1388915877</v>
      </c>
    </row>
    <row r="22" spans="2:4">
      <c r="B22" s="33" t="s">
        <v>203</v>
      </c>
      <c r="C22" s="184">
        <f>+'Estado de Resultado Resol. 30'!D52</f>
        <v>277895011</v>
      </c>
      <c r="D22" s="184">
        <v>229171120</v>
      </c>
    </row>
    <row r="23" spans="2:4">
      <c r="B23" s="33" t="s">
        <v>204</v>
      </c>
      <c r="C23" s="184">
        <f>+'Estado de Resultado Resol. 30'!D53</f>
        <v>8363889</v>
      </c>
      <c r="D23" s="184">
        <v>1648730</v>
      </c>
    </row>
    <row r="24" spans="2:4">
      <c r="B24" s="33" t="s">
        <v>205</v>
      </c>
      <c r="C24" s="184">
        <f>+'Estado de Resultado Resol. 30'!D54</f>
        <v>6007503</v>
      </c>
      <c r="D24" s="184">
        <v>6359236</v>
      </c>
    </row>
    <row r="25" spans="2:4">
      <c r="B25" s="33" t="s">
        <v>206</v>
      </c>
      <c r="C25" s="184">
        <f>+'Estado de Resultado Resol. 30'!D55</f>
        <v>0</v>
      </c>
      <c r="D25" s="184">
        <v>0</v>
      </c>
    </row>
    <row r="26" spans="2:4">
      <c r="B26" s="33" t="s">
        <v>207</v>
      </c>
      <c r="C26" s="184">
        <f>+'Estado de Resultado Resol. 30'!D56</f>
        <v>0</v>
      </c>
      <c r="D26" s="184">
        <v>0</v>
      </c>
    </row>
    <row r="27" spans="2:4">
      <c r="B27" s="33" t="s">
        <v>208</v>
      </c>
      <c r="C27" s="184">
        <f>+'Estado de Resultado Resol. 30'!D57</f>
        <v>37043587</v>
      </c>
      <c r="D27" s="184">
        <v>33362978</v>
      </c>
    </row>
    <row r="28" spans="2:4">
      <c r="B28" s="33" t="s">
        <v>209</v>
      </c>
      <c r="C28" s="184">
        <f>+'Estado de Resultado Resol. 30'!D58</f>
        <v>0</v>
      </c>
      <c r="D28" s="184">
        <v>0</v>
      </c>
    </row>
    <row r="29" spans="2:4">
      <c r="B29" s="33" t="s">
        <v>210</v>
      </c>
      <c r="C29" s="184">
        <f>+'Estado de Resultado Resol. 30'!D59</f>
        <v>1342000</v>
      </c>
      <c r="D29" s="188">
        <v>0</v>
      </c>
    </row>
    <row r="30" spans="2:4">
      <c r="B30" s="33" t="s">
        <v>211</v>
      </c>
      <c r="C30" s="184">
        <f>+'Estado de Resultado Resol. 30'!D60</f>
        <v>21096545</v>
      </c>
      <c r="D30" s="184">
        <v>28696029</v>
      </c>
    </row>
    <row r="31" spans="2:4">
      <c r="B31" s="33" t="s">
        <v>212</v>
      </c>
      <c r="C31" s="184">
        <f>+'Estado de Resultado Resol. 30'!D61</f>
        <v>487989721</v>
      </c>
      <c r="D31" s="184">
        <v>45267585</v>
      </c>
    </row>
    <row r="32" spans="2:4">
      <c r="B32" s="33" t="s">
        <v>213</v>
      </c>
      <c r="C32" s="184">
        <f>+'Estado de Resultado Resol. 30'!D62</f>
        <v>644051662</v>
      </c>
      <c r="D32" s="188">
        <v>361499758</v>
      </c>
    </row>
    <row r="33" spans="2:4">
      <c r="B33" s="33" t="s">
        <v>214</v>
      </c>
      <c r="C33" s="184">
        <f>+'Estado de Resultado Resol. 30'!D63</f>
        <v>403740238</v>
      </c>
      <c r="D33" s="184">
        <v>55575817</v>
      </c>
    </row>
    <row r="34" spans="2:4">
      <c r="B34" s="33" t="s">
        <v>215</v>
      </c>
      <c r="C34" s="184">
        <f>+'Estado de Resultado Resol. 30'!D64</f>
        <v>889566592</v>
      </c>
      <c r="D34" s="184">
        <v>544818181</v>
      </c>
    </row>
    <row r="35" spans="2:4">
      <c r="B35" s="33" t="s">
        <v>216</v>
      </c>
      <c r="C35" s="184">
        <f>+'Estado de Resultado Resol. 30'!D65</f>
        <v>547757674</v>
      </c>
      <c r="D35" s="184">
        <v>476980295</v>
      </c>
    </row>
    <row r="36" spans="2:4">
      <c r="B36" s="33" t="s">
        <v>217</v>
      </c>
      <c r="C36" s="184">
        <f>+'Estado de Resultado Resol. 30'!D66</f>
        <v>9415454</v>
      </c>
      <c r="D36" s="184">
        <v>863636</v>
      </c>
    </row>
    <row r="37" spans="2:4">
      <c r="B37" s="33" t="s">
        <v>218</v>
      </c>
      <c r="C37" s="184">
        <f>+'Estado de Resultado Resol. 30'!D67</f>
        <v>370691450</v>
      </c>
      <c r="D37" s="184">
        <v>404189010</v>
      </c>
    </row>
    <row r="38" spans="2:4">
      <c r="B38" s="33" t="s">
        <v>219</v>
      </c>
      <c r="C38" s="184">
        <f>+'Estado de Resultado Resol. 30'!D68</f>
        <v>0</v>
      </c>
      <c r="D38" s="184">
        <v>0</v>
      </c>
    </row>
    <row r="39" spans="2:4">
      <c r="B39" s="33" t="s">
        <v>220</v>
      </c>
      <c r="C39" s="184">
        <f>+'Estado de Resultado Resol. 30'!D69</f>
        <v>0</v>
      </c>
      <c r="D39" s="184">
        <v>0</v>
      </c>
    </row>
    <row r="40" spans="2:4">
      <c r="B40" s="33" t="s">
        <v>221</v>
      </c>
      <c r="C40" s="184">
        <f>+'Estado de Resultado Resol. 30'!D70</f>
        <v>0</v>
      </c>
      <c r="D40" s="184">
        <v>0</v>
      </c>
    </row>
    <row r="41" spans="2:4">
      <c r="B41" s="33" t="s">
        <v>222</v>
      </c>
      <c r="C41" s="184">
        <f>+'Estado de Resultado Resol. 30'!D71</f>
        <v>0</v>
      </c>
      <c r="D41" s="184">
        <v>0</v>
      </c>
    </row>
    <row r="42" spans="2:4">
      <c r="C42" s="55"/>
    </row>
    <row r="43" spans="2:4">
      <c r="C43" s="189"/>
    </row>
    <row r="44" spans="2:4">
      <c r="C44" s="55"/>
    </row>
  </sheetData>
  <sheetProtection algorithmName="SHA-512" hashValue="S2uIfvUIDdtAifEacG2h6TxNycOImgy2BrHyfigBvWt9izW1bq3lSc7lWeuwARtqN/ryMwEmqEuuz4XhB6q66A==" saltValue="pV2m1W5PmmXMR3r8/tqMBQ==" spinCount="100000" sheet="1" objects="1" scenarios="1"/>
  <mergeCells count="2">
    <mergeCell ref="B1:D1"/>
    <mergeCell ref="B5:D5"/>
  </mergeCells>
  <hyperlinks>
    <hyperlink ref="B7" location="'Estado de Resultado Resol. 30'!A1" display="'Estado de Resultado Resol. 30'!A1" xr:uid="{1E3DBD14-B4B1-40E3-9630-349FCFAD2EC6}"/>
  </hyperlinks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4">
    <tabColor rgb="FF002060"/>
  </sheetPr>
  <dimension ref="B1:D11"/>
  <sheetViews>
    <sheetView showGridLines="0" zoomScaleNormal="100" workbookViewId="0">
      <selection activeCell="I22" sqref="I22"/>
    </sheetView>
  </sheetViews>
  <sheetFormatPr baseColWidth="10" defaultColWidth="11.44140625" defaultRowHeight="12"/>
  <cols>
    <col min="1" max="1" width="4.7773437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16384" width="11.44140625" style="25"/>
  </cols>
  <sheetData>
    <row r="1" spans="2:4" ht="48" customHeight="1">
      <c r="B1" s="207"/>
    </row>
    <row r="2" spans="2:4" ht="14.4">
      <c r="B2" s="387"/>
    </row>
    <row r="3" spans="2:4" ht="15.6">
      <c r="B3" s="560" t="s">
        <v>822</v>
      </c>
      <c r="C3" s="560"/>
      <c r="D3" s="560"/>
    </row>
    <row r="5" spans="2:4" ht="14.4">
      <c r="B5" s="480" t="s">
        <v>816</v>
      </c>
    </row>
    <row r="6" spans="2:4">
      <c r="B6" s="200" t="s">
        <v>360</v>
      </c>
      <c r="C6" s="200" t="str">
        <f>+'NOTA W OTROS GASTOS OPER'!C8</f>
        <v>AL 30/09/2021</v>
      </c>
      <c r="D6" s="200" t="s">
        <v>814</v>
      </c>
    </row>
    <row r="7" spans="2:4">
      <c r="B7" s="49" t="s">
        <v>225</v>
      </c>
      <c r="C7" s="190">
        <f>+'Estado de Resultado Resol. 30'!D74</f>
        <v>0</v>
      </c>
      <c r="D7" s="118">
        <v>0</v>
      </c>
    </row>
    <row r="8" spans="2:4">
      <c r="B8" s="33" t="s">
        <v>225</v>
      </c>
      <c r="C8" s="191"/>
      <c r="D8" s="53">
        <v>0</v>
      </c>
    </row>
    <row r="9" spans="2:4">
      <c r="B9" s="49" t="s">
        <v>224</v>
      </c>
      <c r="C9" s="190">
        <v>0</v>
      </c>
      <c r="D9" s="118">
        <v>848212666</v>
      </c>
    </row>
    <row r="10" spans="2:4">
      <c r="B10" s="33" t="s">
        <v>224</v>
      </c>
      <c r="C10" s="191">
        <v>0</v>
      </c>
      <c r="D10" s="53">
        <v>848212666</v>
      </c>
    </row>
    <row r="11" spans="2:4">
      <c r="B11" s="49" t="s">
        <v>515</v>
      </c>
      <c r="C11" s="190">
        <v>0</v>
      </c>
      <c r="D11" s="118">
        <v>848212666</v>
      </c>
    </row>
  </sheetData>
  <sheetProtection algorithmName="SHA-512" hashValue="90amZsGldSMJfR9peJlGBn3SktInj/MtjRtTdiDX2zqdcGepLj5RHixGrCuRhprKxdtl1oIa5w+Iu/pIcovERQ==" saltValue="4UPSF6+13TH65bttPZRqWg==" spinCount="100000" sheet="1" objects="1" scenarios="1"/>
  <mergeCells count="1">
    <mergeCell ref="B3:D3"/>
  </mergeCells>
  <hyperlinks>
    <hyperlink ref="B5" location="'Estado de Resultado Resol. 30'!A1" display="'Estado de Resultado Resol. 30'!A1" xr:uid="{1DE1265E-1B71-4495-964A-66B0E27CE4CF}"/>
  </hyperlinks>
  <pageMargins left="0.7" right="0.7" top="0.75" bottom="0.75" header="0.3" footer="0.3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5">
    <tabColor rgb="FF002060"/>
  </sheetPr>
  <dimension ref="B1:D16"/>
  <sheetViews>
    <sheetView showGridLines="0" zoomScale="115" zoomScaleNormal="115" workbookViewId="0">
      <selection activeCell="I22" sqref="I22"/>
    </sheetView>
  </sheetViews>
  <sheetFormatPr baseColWidth="10" defaultColWidth="11.44140625" defaultRowHeight="12"/>
  <cols>
    <col min="1" max="1" width="4.77734375" style="25" customWidth="1"/>
    <col min="2" max="2" width="37.6640625" style="25" bestFit="1" customWidth="1"/>
    <col min="3" max="4" width="14.33203125" style="25" bestFit="1" customWidth="1"/>
    <col min="5" max="16384" width="11.44140625" style="25"/>
  </cols>
  <sheetData>
    <row r="1" spans="2:4" ht="30" customHeight="1">
      <c r="B1" s="207"/>
    </row>
    <row r="2" spans="2:4" ht="17.399999999999999" customHeight="1"/>
    <row r="3" spans="2:4" ht="15.6">
      <c r="B3" s="560" t="s">
        <v>825</v>
      </c>
      <c r="C3" s="560"/>
      <c r="D3" s="560"/>
    </row>
    <row r="4" spans="2:4" ht="15.6">
      <c r="B4" s="424"/>
      <c r="C4" s="424"/>
      <c r="D4" s="424"/>
    </row>
    <row r="5" spans="2:4" ht="14.4">
      <c r="B5" s="480" t="s">
        <v>816</v>
      </c>
    </row>
    <row r="6" spans="2:4">
      <c r="B6" s="119" t="s">
        <v>360</v>
      </c>
      <c r="C6" s="119" t="str">
        <f>+'NOTA W OTROS GASTOS OPER'!C8</f>
        <v>AL 30/09/2021</v>
      </c>
      <c r="D6" s="119" t="s">
        <v>814</v>
      </c>
    </row>
    <row r="7" spans="2:4">
      <c r="B7" s="49" t="s">
        <v>523</v>
      </c>
      <c r="C7" s="53"/>
      <c r="D7" s="53"/>
    </row>
    <row r="8" spans="2:4">
      <c r="B8" s="33" t="s">
        <v>524</v>
      </c>
      <c r="C8" s="53">
        <f>+'Estado de Resultado Resol. 30'!D81</f>
        <v>160132404</v>
      </c>
      <c r="D8" s="53">
        <v>1062238869</v>
      </c>
    </row>
    <row r="9" spans="2:4">
      <c r="B9" s="33" t="s">
        <v>228</v>
      </c>
      <c r="C9" s="53">
        <f>+'Estado de Resultado Resol. 30'!D82</f>
        <v>3002351618</v>
      </c>
      <c r="D9" s="53">
        <v>1783262992</v>
      </c>
    </row>
    <row r="10" spans="2:4">
      <c r="B10" s="49" t="s">
        <v>515</v>
      </c>
      <c r="C10" s="118">
        <f>SUM(C8:C9)</f>
        <v>3162484022</v>
      </c>
      <c r="D10" s="118">
        <v>2845501861</v>
      </c>
    </row>
    <row r="11" spans="2:4">
      <c r="B11" s="49" t="s">
        <v>525</v>
      </c>
      <c r="C11" s="53"/>
      <c r="D11" s="53"/>
    </row>
    <row r="12" spans="2:4">
      <c r="B12" s="33" t="s">
        <v>526</v>
      </c>
      <c r="C12" s="97">
        <f>-'Estado de Resultado Resol. 30'!D84</f>
        <v>-1189983783</v>
      </c>
      <c r="D12" s="97">
        <v>484504018</v>
      </c>
    </row>
    <row r="13" spans="2:4">
      <c r="B13" s="33" t="s">
        <v>228</v>
      </c>
      <c r="C13" s="97">
        <f>-'Estado de Resultado Resol. 30'!D85</f>
        <v>-1143722259</v>
      </c>
      <c r="D13" s="97">
        <v>417006509</v>
      </c>
    </row>
    <row r="14" spans="2:4">
      <c r="B14" s="49" t="s">
        <v>515</v>
      </c>
      <c r="C14" s="187">
        <f>SUM(C12:C13)</f>
        <v>-2333706042</v>
      </c>
      <c r="D14" s="118">
        <v>-901510527</v>
      </c>
    </row>
    <row r="16" spans="2:4">
      <c r="C16" s="55">
        <f>+C10+C14-'Estado de Resultado Resol. 30'!D78</f>
        <v>0</v>
      </c>
      <c r="D16" s="55">
        <f>+D10+D14-'Estado de Resultado Resol. 30'!E78</f>
        <v>0</v>
      </c>
    </row>
  </sheetData>
  <sheetProtection algorithmName="SHA-512" hashValue="xqvAowhNyEzcoW3Nnl2VXtd3392tOn5p6KGbX56EgEaxxqV1RbbxObCUh3y26Re5IOrxhsTWVCfbY8aBcyI1jA==" saltValue="Bu2SHVwpehOXVmget+rOUQ==" spinCount="100000" sheet="1" objects="1" scenarios="1"/>
  <mergeCells count="1">
    <mergeCell ref="B3:D3"/>
  </mergeCells>
  <hyperlinks>
    <hyperlink ref="B5" location="'Estado de Resultado Resol. 30'!A1" display="'Estado de Resultado Resol. 30'!A1" xr:uid="{26560F6C-8025-482F-BEC5-0BF3EB2DF50D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>
    <tabColor rgb="FF002060"/>
  </sheetPr>
  <dimension ref="B1:D13"/>
  <sheetViews>
    <sheetView showGridLines="0" zoomScaleNormal="100" workbookViewId="0">
      <selection activeCell="I22" sqref="I22"/>
    </sheetView>
  </sheetViews>
  <sheetFormatPr baseColWidth="10" defaultColWidth="11.44140625" defaultRowHeight="12"/>
  <cols>
    <col min="1" max="1" width="4.7773437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16384" width="11.44140625" style="25"/>
  </cols>
  <sheetData>
    <row r="1" spans="2:4" ht="34.200000000000003" customHeight="1">
      <c r="B1" s="207"/>
    </row>
    <row r="4" spans="2:4" ht="15.6">
      <c r="B4" s="550" t="s">
        <v>826</v>
      </c>
      <c r="C4" s="550"/>
      <c r="D4" s="550"/>
    </row>
    <row r="5" spans="2:4" ht="15.6">
      <c r="B5" s="466"/>
      <c r="C5" s="466"/>
      <c r="D5" s="466"/>
    </row>
    <row r="6" spans="2:4" ht="14.4">
      <c r="B6" s="480" t="s">
        <v>816</v>
      </c>
    </row>
    <row r="7" spans="2:4">
      <c r="B7" s="200" t="s">
        <v>360</v>
      </c>
      <c r="C7" s="200" t="str">
        <f>+'NOTA Y RESULTADOS FINANC'!C6</f>
        <v>AL 30/09/2021</v>
      </c>
      <c r="D7" s="200" t="s">
        <v>814</v>
      </c>
    </row>
    <row r="8" spans="2:4">
      <c r="B8" s="49" t="s">
        <v>527</v>
      </c>
      <c r="C8" s="49"/>
      <c r="D8" s="49"/>
    </row>
    <row r="9" spans="2:4">
      <c r="B9" s="33" t="s">
        <v>528</v>
      </c>
      <c r="C9" s="192">
        <v>0</v>
      </c>
      <c r="D9" s="191">
        <v>0</v>
      </c>
    </row>
    <row r="10" spans="2:4">
      <c r="B10" s="49" t="s">
        <v>515</v>
      </c>
      <c r="C10" s="193">
        <f>SUM(C9)</f>
        <v>0</v>
      </c>
      <c r="D10" s="193">
        <v>0</v>
      </c>
    </row>
    <row r="11" spans="2:4">
      <c r="B11" s="49" t="s">
        <v>529</v>
      </c>
      <c r="C11" s="49"/>
      <c r="D11" s="49"/>
    </row>
    <row r="12" spans="2:4">
      <c r="B12" s="33" t="s">
        <v>530</v>
      </c>
      <c r="C12" s="192">
        <v>0</v>
      </c>
      <c r="D12" s="192">
        <v>0</v>
      </c>
    </row>
    <row r="13" spans="2:4">
      <c r="B13" s="49" t="s">
        <v>515</v>
      </c>
      <c r="C13" s="193">
        <f>SUM(C12)</f>
        <v>0</v>
      </c>
      <c r="D13" s="193">
        <v>0</v>
      </c>
    </row>
  </sheetData>
  <sheetProtection algorithmName="SHA-512" hashValue="epMTT6U6kxMOs1rg7vGxvmPZEWksNZiTCAuplCFlOjvpYWOgyKhmg6viW5YcS/amsn1QcXwe7E4tpjhbkTH3lg==" saltValue="m+VC+0LTDHDnCNhLTCQS+g==" spinCount="100000" sheet="1" objects="1" scenarios="1"/>
  <mergeCells count="1">
    <mergeCell ref="B4:D4"/>
  </mergeCells>
  <hyperlinks>
    <hyperlink ref="B6" location="'Estado de Resultado Resol. 30'!A1" display="'Estado de Resultado Resol. 30'!A1" xr:uid="{27177368-0E60-4E82-99CC-282FBB40AB3A}"/>
  </hyperlinks>
  <pageMargins left="0.7" right="0.7" top="0.75" bottom="0.75" header="0.3" footer="0.3"/>
  <pageSetup paperSize="9"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7">
    <tabColor rgb="FF002060"/>
  </sheetPr>
  <dimension ref="B1:B19"/>
  <sheetViews>
    <sheetView showGridLines="0" zoomScaleNormal="100" workbookViewId="0">
      <selection activeCell="G17" sqref="G17"/>
    </sheetView>
  </sheetViews>
  <sheetFormatPr baseColWidth="10" defaultColWidth="9.109375" defaultRowHeight="12"/>
  <cols>
    <col min="1" max="1" width="4.77734375" style="25" customWidth="1"/>
    <col min="2" max="2" width="93.109375" style="348" customWidth="1"/>
    <col min="3" max="255" width="11.44140625" style="25" customWidth="1"/>
    <col min="256" max="16384" width="9.109375" style="25"/>
  </cols>
  <sheetData>
    <row r="1" spans="2:2" ht="42" customHeight="1">
      <c r="B1" s="207"/>
    </row>
    <row r="3" spans="2:2" ht="15.6">
      <c r="B3" s="497" t="s">
        <v>531</v>
      </c>
    </row>
    <row r="4" spans="2:2">
      <c r="B4" s="26" t="s">
        <v>599</v>
      </c>
    </row>
    <row r="5" spans="2:2">
      <c r="B5" s="84" t="s">
        <v>532</v>
      </c>
    </row>
    <row r="6" spans="2:2">
      <c r="B6" s="26" t="s">
        <v>600</v>
      </c>
    </row>
    <row r="7" spans="2:2">
      <c r="B7" s="84" t="s">
        <v>532</v>
      </c>
    </row>
    <row r="8" spans="2:2">
      <c r="B8" s="26" t="s">
        <v>601</v>
      </c>
    </row>
    <row r="9" spans="2:2" ht="54.75" customHeight="1">
      <c r="B9" s="499" t="s">
        <v>555</v>
      </c>
    </row>
    <row r="10" spans="2:2" ht="15.6">
      <c r="B10" s="497" t="s">
        <v>533</v>
      </c>
    </row>
    <row r="11" spans="2:2">
      <c r="B11" s="84" t="s">
        <v>534</v>
      </c>
    </row>
    <row r="12" spans="2:2" ht="28.2" customHeight="1">
      <c r="B12" s="498" t="s">
        <v>602</v>
      </c>
    </row>
    <row r="13" spans="2:2">
      <c r="B13" s="84" t="s">
        <v>535</v>
      </c>
    </row>
    <row r="14" spans="2:2" ht="15.6">
      <c r="B14" s="498" t="s">
        <v>536</v>
      </c>
    </row>
    <row r="15" spans="2:2">
      <c r="B15" s="84" t="s">
        <v>535</v>
      </c>
    </row>
    <row r="16" spans="2:2" ht="15.6">
      <c r="B16" s="498" t="s">
        <v>537</v>
      </c>
    </row>
    <row r="17" spans="2:2">
      <c r="B17" s="84" t="s">
        <v>535</v>
      </c>
    </row>
    <row r="18" spans="2:2" ht="15.6">
      <c r="B18" s="498" t="s">
        <v>538</v>
      </c>
    </row>
    <row r="19" spans="2:2">
      <c r="B19" s="84" t="s">
        <v>539</v>
      </c>
    </row>
  </sheetData>
  <sheetProtection algorithmName="SHA-512" hashValue="UBMiWwPchO+9WsugDwX6AE2EIXNuzh+4xOlQ+q88e2OSiss+cKKECpsZFW4limeNvMTPJy/GV0jFr2x51G73WQ==" saltValue="Hykrv6O9vFNu38wssmLcyw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  <pageSetUpPr fitToPage="1"/>
  </sheetPr>
  <dimension ref="B2:L147"/>
  <sheetViews>
    <sheetView showGridLines="0" tabSelected="1" topLeftCell="A59" zoomScale="115" zoomScaleNormal="115" workbookViewId="0">
      <selection activeCell="J18" sqref="J18"/>
    </sheetView>
  </sheetViews>
  <sheetFormatPr baseColWidth="10" defaultColWidth="11.44140625" defaultRowHeight="12"/>
  <cols>
    <col min="1" max="1" width="5.77734375" style="208" customWidth="1"/>
    <col min="2" max="2" width="20.88671875" style="208" hidden="1" customWidth="1"/>
    <col min="3" max="3" width="42.77734375" style="208" customWidth="1"/>
    <col min="4" max="5" width="13.6640625" style="208" customWidth="1"/>
    <col min="6" max="6" width="42.77734375" style="208" customWidth="1"/>
    <col min="7" max="8" width="13.6640625" style="208" customWidth="1"/>
    <col min="9" max="9" width="24.44140625" style="208" bestFit="1" customWidth="1"/>
    <col min="10" max="10" width="23.88671875" style="208" customWidth="1"/>
    <col min="11" max="16384" width="11.44140625" style="208"/>
  </cols>
  <sheetData>
    <row r="2" spans="2:8">
      <c r="E2" s="198"/>
    </row>
    <row r="3" spans="2:8" ht="21.9" customHeight="1">
      <c r="E3" s="198"/>
    </row>
    <row r="4" spans="2:8" s="210" customFormat="1" ht="18">
      <c r="B4" s="209">
        <v>1</v>
      </c>
      <c r="C4" s="535" t="s">
        <v>0</v>
      </c>
      <c r="D4" s="535"/>
      <c r="E4" s="535"/>
      <c r="F4" s="535"/>
      <c r="G4" s="535"/>
      <c r="H4" s="535"/>
    </row>
    <row r="5" spans="2:8" s="210" customFormat="1" ht="11.25" customHeight="1">
      <c r="C5" s="535" t="s">
        <v>543</v>
      </c>
      <c r="D5" s="535"/>
      <c r="E5" s="535"/>
      <c r="F5" s="535"/>
      <c r="G5" s="535"/>
      <c r="H5" s="535"/>
    </row>
    <row r="6" spans="2:8" s="210" customFormat="1" ht="27" customHeight="1">
      <c r="B6" s="211" t="s">
        <v>29</v>
      </c>
      <c r="C6" s="536" t="s">
        <v>703</v>
      </c>
      <c r="D6" s="536"/>
      <c r="E6" s="536"/>
      <c r="F6" s="536"/>
      <c r="G6" s="536"/>
      <c r="H6" s="536"/>
    </row>
    <row r="7" spans="2:8" s="210" customFormat="1" ht="12" customHeight="1">
      <c r="B7" s="212" t="s">
        <v>30</v>
      </c>
      <c r="C7" s="537" t="s">
        <v>31</v>
      </c>
      <c r="D7" s="537"/>
      <c r="E7" s="537"/>
      <c r="F7" s="537"/>
      <c r="G7" s="537"/>
      <c r="H7" s="537"/>
    </row>
    <row r="8" spans="2:8" s="210" customFormat="1" ht="32.4" customHeight="1">
      <c r="B8" s="212"/>
      <c r="C8" s="425" t="s">
        <v>32</v>
      </c>
      <c r="D8" s="213" t="s">
        <v>689</v>
      </c>
      <c r="E8" s="213" t="s">
        <v>670</v>
      </c>
      <c r="F8" s="425" t="s">
        <v>33</v>
      </c>
      <c r="G8" s="213" t="str">
        <f>+D8</f>
        <v>PERIODO ACTUAL 30/09/ 2021</v>
      </c>
      <c r="H8" s="213" t="s">
        <v>670</v>
      </c>
    </row>
    <row r="9" spans="2:8" s="210" customFormat="1" ht="11.25" customHeight="1">
      <c r="B9" s="212" t="s">
        <v>34</v>
      </c>
      <c r="C9" s="472" t="s">
        <v>35</v>
      </c>
      <c r="D9" s="215"/>
      <c r="E9" s="216"/>
      <c r="F9" s="217" t="s">
        <v>36</v>
      </c>
      <c r="G9" s="218"/>
      <c r="H9" s="219"/>
    </row>
    <row r="10" spans="2:8" s="210" customFormat="1" ht="11.25" customHeight="1">
      <c r="B10" s="212" t="s">
        <v>37</v>
      </c>
      <c r="C10" s="472" t="s">
        <v>38</v>
      </c>
      <c r="D10" s="220"/>
      <c r="E10" s="219"/>
      <c r="F10" s="217" t="s">
        <v>700</v>
      </c>
      <c r="G10" s="218"/>
      <c r="H10" s="219"/>
    </row>
    <row r="11" spans="2:8" s="210" customFormat="1" ht="11.25" customHeight="1">
      <c r="B11" s="212"/>
      <c r="C11" s="221" t="s">
        <v>39</v>
      </c>
      <c r="D11" s="220">
        <f>570693+522476</f>
        <v>1093169</v>
      </c>
      <c r="E11" s="219">
        <v>0</v>
      </c>
      <c r="F11" s="486" t="s">
        <v>586</v>
      </c>
      <c r="G11" s="218">
        <v>17840253509</v>
      </c>
      <c r="H11" s="219">
        <v>5810989127</v>
      </c>
    </row>
    <row r="12" spans="2:8" s="210" customFormat="1" ht="11.25" customHeight="1">
      <c r="B12" s="212"/>
      <c r="C12" s="221" t="s">
        <v>40</v>
      </c>
      <c r="D12" s="220">
        <v>0</v>
      </c>
      <c r="E12" s="219">
        <v>0</v>
      </c>
      <c r="F12" s="486" t="s">
        <v>41</v>
      </c>
      <c r="G12" s="218">
        <f>13165108023+887253690+5281551+289845602-110000</f>
        <v>14347378866</v>
      </c>
      <c r="H12" s="219">
        <v>11861121838</v>
      </c>
    </row>
    <row r="13" spans="2:8" s="210" customFormat="1" ht="11.25" customHeight="1">
      <c r="B13" s="212"/>
      <c r="C13" s="221" t="s">
        <v>42</v>
      </c>
      <c r="D13" s="220">
        <f>16429384619+3575134+30243117</f>
        <v>16463202870</v>
      </c>
      <c r="E13" s="219">
        <v>3899258412</v>
      </c>
      <c r="F13" s="486" t="s">
        <v>587</v>
      </c>
      <c r="G13" s="219">
        <v>0</v>
      </c>
      <c r="H13" s="223">
        <v>48353641</v>
      </c>
    </row>
    <row r="14" spans="2:8" s="210" customFormat="1" ht="11.25" customHeight="1">
      <c r="B14" s="212"/>
      <c r="C14" s="224"/>
      <c r="D14" s="225">
        <f>SUM(D11:D13)</f>
        <v>16464296039</v>
      </c>
      <c r="E14" s="225">
        <v>3899258412</v>
      </c>
      <c r="F14" s="222" t="s">
        <v>575</v>
      </c>
      <c r="G14" s="218">
        <v>0</v>
      </c>
      <c r="H14" s="219">
        <v>0</v>
      </c>
    </row>
    <row r="15" spans="2:8" s="210" customFormat="1" ht="11.25" customHeight="1">
      <c r="B15" s="212"/>
      <c r="C15" s="224"/>
      <c r="D15" s="220"/>
      <c r="E15" s="219"/>
      <c r="F15" s="222" t="s">
        <v>43</v>
      </c>
      <c r="G15" s="218">
        <v>0</v>
      </c>
      <c r="H15" s="219">
        <v>0</v>
      </c>
    </row>
    <row r="16" spans="2:8" s="210" customFormat="1" ht="11.25" customHeight="1">
      <c r="B16" s="212"/>
      <c r="C16" s="224"/>
      <c r="D16" s="220"/>
      <c r="E16" s="219"/>
      <c r="F16" s="217"/>
      <c r="G16" s="225">
        <f>SUM(G11:G15)</f>
        <v>32187632375</v>
      </c>
      <c r="H16" s="225">
        <v>17720464606</v>
      </c>
    </row>
    <row r="17" spans="2:12" s="210" customFormat="1" ht="11.25" customHeight="1">
      <c r="B17" s="212" t="s">
        <v>44</v>
      </c>
      <c r="C17" s="472" t="s">
        <v>701</v>
      </c>
      <c r="D17" s="220">
        <v>0</v>
      </c>
      <c r="E17" s="219">
        <v>0</v>
      </c>
      <c r="F17" s="487" t="s">
        <v>45</v>
      </c>
      <c r="G17" s="218"/>
      <c r="H17" s="219"/>
    </row>
    <row r="18" spans="2:12" s="210" customFormat="1" ht="11.25" customHeight="1">
      <c r="B18" s="212" t="s">
        <v>46</v>
      </c>
      <c r="C18" s="224" t="s">
        <v>47</v>
      </c>
      <c r="D18" s="220">
        <v>9686370000</v>
      </c>
      <c r="E18" s="219">
        <v>4674585000</v>
      </c>
      <c r="F18" s="222" t="s">
        <v>48</v>
      </c>
      <c r="G18" s="218">
        <v>0</v>
      </c>
      <c r="H18" s="219">
        <v>0</v>
      </c>
    </row>
    <row r="19" spans="2:12" s="210" customFormat="1" ht="11.25" customHeight="1">
      <c r="B19" s="212"/>
      <c r="C19" s="224" t="s">
        <v>49</v>
      </c>
      <c r="D19" s="220">
        <f>76574498469-D18-491472295</f>
        <v>66396656174</v>
      </c>
      <c r="E19" s="219">
        <v>25632660840</v>
      </c>
      <c r="F19" s="222" t="s">
        <v>50</v>
      </c>
      <c r="G19" s="218">
        <f>76787221700-G20</f>
        <v>76481311761</v>
      </c>
      <c r="H19" s="219">
        <v>50651839120</v>
      </c>
    </row>
    <row r="20" spans="2:12" s="210" customFormat="1" ht="11.25" customHeight="1">
      <c r="B20" s="212"/>
      <c r="C20" s="226" t="s">
        <v>51</v>
      </c>
      <c r="D20" s="220">
        <v>0</v>
      </c>
      <c r="E20" s="219">
        <v>0</v>
      </c>
      <c r="F20" s="222" t="s">
        <v>52</v>
      </c>
      <c r="G20" s="227">
        <f>305909939</f>
        <v>305909939</v>
      </c>
      <c r="H20" s="228">
        <v>879180706</v>
      </c>
    </row>
    <row r="21" spans="2:12" s="210" customFormat="1" ht="11.25" customHeight="1">
      <c r="B21" s="212"/>
      <c r="C21" s="224"/>
      <c r="D21" s="229">
        <f>+D19+D18</f>
        <v>76083026174</v>
      </c>
      <c r="E21" s="229">
        <v>30307245840</v>
      </c>
      <c r="F21" s="230"/>
      <c r="G21" s="231">
        <f>SUM(G18:G20)</f>
        <v>76787221700</v>
      </c>
      <c r="H21" s="231">
        <v>51531019826</v>
      </c>
    </row>
    <row r="22" spans="2:12" s="210" customFormat="1" ht="11.25" customHeight="1">
      <c r="B22" s="212"/>
      <c r="C22" s="472" t="s">
        <v>53</v>
      </c>
      <c r="D22" s="220"/>
      <c r="E22" s="219"/>
      <c r="F22" s="487" t="s">
        <v>588</v>
      </c>
      <c r="G22" s="218"/>
      <c r="H22" s="219"/>
    </row>
    <row r="23" spans="2:12" s="210" customFormat="1" ht="11.25" customHeight="1">
      <c r="B23" s="212"/>
      <c r="C23" s="221" t="s">
        <v>55</v>
      </c>
      <c r="D23" s="220">
        <f>18975146138</f>
        <v>18975146138</v>
      </c>
      <c r="E23" s="223">
        <v>7820553857</v>
      </c>
      <c r="F23" s="222" t="s">
        <v>56</v>
      </c>
      <c r="G23" s="218"/>
      <c r="H23" s="219"/>
    </row>
    <row r="24" spans="2:12" s="210" customFormat="1" ht="11.25" customHeight="1">
      <c r="B24" s="212"/>
      <c r="C24" s="221" t="s">
        <v>57</v>
      </c>
      <c r="D24" s="220">
        <f>1224140798+491472295</f>
        <v>1715613093</v>
      </c>
      <c r="E24" s="219">
        <v>2286612140</v>
      </c>
      <c r="F24" s="222" t="s">
        <v>58</v>
      </c>
      <c r="G24" s="218">
        <v>0</v>
      </c>
      <c r="H24" s="219">
        <v>0</v>
      </c>
    </row>
    <row r="25" spans="2:12" s="210" customFormat="1" ht="14.1" customHeight="1">
      <c r="B25" s="212"/>
      <c r="C25" s="221" t="s">
        <v>59</v>
      </c>
      <c r="D25" s="220">
        <v>3200000</v>
      </c>
      <c r="E25" s="219">
        <v>0</v>
      </c>
      <c r="F25" s="222" t="s">
        <v>60</v>
      </c>
      <c r="G25" s="218">
        <v>0</v>
      </c>
      <c r="H25" s="219">
        <v>0</v>
      </c>
    </row>
    <row r="26" spans="2:12" s="210" customFormat="1" ht="11.25" customHeight="1">
      <c r="B26" s="212"/>
      <c r="C26" s="226" t="s">
        <v>61</v>
      </c>
      <c r="D26" s="220">
        <v>0</v>
      </c>
      <c r="E26" s="219">
        <v>0</v>
      </c>
      <c r="F26" s="222" t="s">
        <v>62</v>
      </c>
      <c r="G26" s="218">
        <v>49908898</v>
      </c>
      <c r="H26" s="219">
        <v>35305818</v>
      </c>
    </row>
    <row r="27" spans="2:12" s="210" customFormat="1" ht="11.25" customHeight="1">
      <c r="B27" s="212"/>
      <c r="C27" s="221" t="s">
        <v>63</v>
      </c>
      <c r="D27" s="220">
        <f>4727569573+35902027</f>
        <v>4763471600</v>
      </c>
      <c r="E27" s="219">
        <v>3753015489</v>
      </c>
      <c r="F27" s="222" t="s">
        <v>64</v>
      </c>
      <c r="G27" s="227">
        <v>0</v>
      </c>
      <c r="H27" s="228">
        <v>0</v>
      </c>
    </row>
    <row r="28" spans="2:12" s="210" customFormat="1" ht="11.25" customHeight="1">
      <c r="B28" s="212" t="s">
        <v>65</v>
      </c>
      <c r="C28" s="226" t="s">
        <v>66</v>
      </c>
      <c r="D28" s="220">
        <v>0</v>
      </c>
      <c r="E28" s="219">
        <v>0</v>
      </c>
      <c r="F28" s="222"/>
      <c r="G28" s="231">
        <f>SUM(G24:G27)</f>
        <v>49908898</v>
      </c>
      <c r="H28" s="231">
        <v>35305818</v>
      </c>
    </row>
    <row r="29" spans="2:12" s="210" customFormat="1" ht="11.25" customHeight="1">
      <c r="B29" s="212" t="s">
        <v>67</v>
      </c>
      <c r="C29" s="221" t="s">
        <v>68</v>
      </c>
      <c r="D29" s="220">
        <v>0</v>
      </c>
      <c r="E29" s="219">
        <v>0</v>
      </c>
      <c r="F29" s="222"/>
      <c r="G29" s="218"/>
      <c r="H29" s="219"/>
      <c r="J29" s="232"/>
      <c r="K29" s="232"/>
      <c r="L29" s="232"/>
    </row>
    <row r="30" spans="2:12" s="210" customFormat="1" ht="11.25" customHeight="1">
      <c r="B30" s="212" t="s">
        <v>69</v>
      </c>
      <c r="C30" s="221"/>
      <c r="D30" s="225">
        <f>SUM(D23:D29)</f>
        <v>25457430831</v>
      </c>
      <c r="E30" s="225">
        <v>13860181486</v>
      </c>
      <c r="F30" s="222"/>
      <c r="G30" s="218"/>
      <c r="H30" s="219"/>
      <c r="I30" s="232"/>
      <c r="J30" s="232"/>
      <c r="K30" s="232"/>
      <c r="L30" s="232"/>
    </row>
    <row r="31" spans="2:12" s="210" customFormat="1" ht="11.25" customHeight="1">
      <c r="B31" s="212"/>
      <c r="C31" s="214" t="s">
        <v>70</v>
      </c>
      <c r="D31" s="220"/>
      <c r="E31" s="219"/>
      <c r="F31" s="487" t="s">
        <v>831</v>
      </c>
      <c r="G31" s="218"/>
      <c r="H31" s="219"/>
      <c r="I31" s="233"/>
      <c r="J31" s="233"/>
    </row>
    <row r="32" spans="2:12" s="210" customFormat="1" ht="11.25" customHeight="1">
      <c r="B32" s="212" t="s">
        <v>72</v>
      </c>
      <c r="C32" s="473" t="s">
        <v>780</v>
      </c>
      <c r="D32" s="215"/>
      <c r="E32" s="216"/>
      <c r="F32" s="234"/>
      <c r="G32" s="235"/>
      <c r="H32" s="216"/>
    </row>
    <row r="33" spans="2:9" s="210" customFormat="1" ht="11.25" customHeight="1">
      <c r="B33" s="212" t="s">
        <v>73</v>
      </c>
      <c r="C33" s="221" t="s">
        <v>779</v>
      </c>
      <c r="D33" s="220">
        <f>186603915</f>
        <v>186603915</v>
      </c>
      <c r="E33" s="219">
        <v>748414347</v>
      </c>
      <c r="F33" s="222" t="s">
        <v>829</v>
      </c>
      <c r="G33" s="218">
        <v>63408845</v>
      </c>
      <c r="H33" s="219">
        <v>0</v>
      </c>
    </row>
    <row r="34" spans="2:9" s="210" customFormat="1" ht="11.25" customHeight="1">
      <c r="B34" s="212" t="s">
        <v>74</v>
      </c>
      <c r="C34" s="221" t="s">
        <v>781</v>
      </c>
      <c r="D34" s="220">
        <v>14116989</v>
      </c>
      <c r="E34" s="219">
        <v>6313088</v>
      </c>
      <c r="F34" s="222" t="s">
        <v>75</v>
      </c>
      <c r="G34" s="218">
        <v>0</v>
      </c>
      <c r="H34" s="219">
        <v>0</v>
      </c>
      <c r="I34" s="233"/>
    </row>
    <row r="35" spans="2:9" s="210" customFormat="1" ht="11.25" customHeight="1">
      <c r="B35" s="212" t="s">
        <v>76</v>
      </c>
      <c r="C35" s="221" t="s">
        <v>655</v>
      </c>
      <c r="D35" s="220">
        <v>0</v>
      </c>
      <c r="E35" s="219"/>
      <c r="F35" s="222" t="s">
        <v>77</v>
      </c>
      <c r="G35" s="218">
        <v>0</v>
      </c>
      <c r="H35" s="219">
        <v>0</v>
      </c>
    </row>
    <row r="36" spans="2:9" s="210" customFormat="1" ht="11.25" customHeight="1">
      <c r="B36" s="212"/>
      <c r="C36" s="221"/>
      <c r="D36" s="220"/>
      <c r="E36" s="219"/>
      <c r="F36" s="222"/>
      <c r="G36" s="218"/>
      <c r="H36" s="228"/>
    </row>
    <row r="37" spans="2:9" s="210" customFormat="1" ht="11.25" customHeight="1">
      <c r="B37" s="212"/>
      <c r="C37" s="214"/>
      <c r="D37" s="225">
        <f>SUM(D33:D36)</f>
        <v>200720904</v>
      </c>
      <c r="E37" s="225">
        <v>754727435</v>
      </c>
      <c r="F37" s="222"/>
      <c r="G37" s="236">
        <f>SUM(G33:G36)</f>
        <v>63408845</v>
      </c>
      <c r="H37" s="231">
        <v>0</v>
      </c>
    </row>
    <row r="38" spans="2:9" s="210" customFormat="1" ht="11.25" customHeight="1" thickBot="1">
      <c r="B38" s="212" t="s">
        <v>78</v>
      </c>
      <c r="C38" s="237" t="s">
        <v>79</v>
      </c>
      <c r="D38" s="238">
        <f>+D37+D30+D21+D14</f>
        <v>118205473948</v>
      </c>
      <c r="E38" s="238">
        <v>48821413173</v>
      </c>
      <c r="F38" s="239" t="s">
        <v>80</v>
      </c>
      <c r="G38" s="240">
        <f>+G37+G28+G21+G16</f>
        <v>109088171818</v>
      </c>
      <c r="H38" s="241">
        <v>69286790250</v>
      </c>
    </row>
    <row r="39" spans="2:9" s="210" customFormat="1" ht="11.25" customHeight="1" thickTop="1">
      <c r="B39" s="212"/>
      <c r="C39" s="221"/>
      <c r="D39" s="242"/>
      <c r="E39" s="219"/>
      <c r="F39" s="230"/>
      <c r="G39" s="218"/>
      <c r="H39" s="219"/>
    </row>
    <row r="40" spans="2:9" s="210" customFormat="1" ht="11.25" customHeight="1">
      <c r="B40" s="212" t="s">
        <v>81</v>
      </c>
      <c r="C40" s="214" t="s">
        <v>82</v>
      </c>
      <c r="D40" s="220"/>
      <c r="E40" s="219"/>
      <c r="F40" s="217" t="s">
        <v>83</v>
      </c>
      <c r="G40" s="218"/>
      <c r="H40" s="219"/>
    </row>
    <row r="41" spans="2:9" s="210" customFormat="1" ht="11.25" customHeight="1">
      <c r="B41" s="212" t="s">
        <v>84</v>
      </c>
      <c r="C41" s="472" t="s">
        <v>85</v>
      </c>
      <c r="D41" s="220"/>
      <c r="E41" s="219"/>
      <c r="F41" s="217" t="s">
        <v>700</v>
      </c>
      <c r="G41" s="218"/>
      <c r="H41" s="219"/>
    </row>
    <row r="42" spans="2:9" s="210" customFormat="1" ht="11.25" customHeight="1">
      <c r="B42" s="212"/>
      <c r="C42" s="221" t="s">
        <v>47</v>
      </c>
      <c r="D42" s="220">
        <f>8411451703-D44</f>
        <v>7511451703</v>
      </c>
      <c r="E42" s="219">
        <v>10238451703</v>
      </c>
      <c r="F42" s="222" t="s">
        <v>586</v>
      </c>
      <c r="G42" s="218">
        <v>0</v>
      </c>
      <c r="H42" s="219">
        <v>0</v>
      </c>
    </row>
    <row r="43" spans="2:9" s="210" customFormat="1" ht="11.25" customHeight="1">
      <c r="B43" s="212"/>
      <c r="C43" s="221" t="s">
        <v>88</v>
      </c>
      <c r="D43" s="220"/>
      <c r="E43" s="219">
        <v>0</v>
      </c>
      <c r="F43" s="222" t="s">
        <v>41</v>
      </c>
      <c r="G43" s="218">
        <v>0</v>
      </c>
      <c r="H43" s="219">
        <v>0</v>
      </c>
    </row>
    <row r="44" spans="2:9" s="210" customFormat="1" ht="11.25" customHeight="1">
      <c r="B44" s="212"/>
      <c r="C44" s="221" t="s">
        <v>89</v>
      </c>
      <c r="D44" s="220">
        <v>900000000</v>
      </c>
      <c r="E44" s="219">
        <v>851000000</v>
      </c>
      <c r="F44" s="222" t="s">
        <v>587</v>
      </c>
      <c r="G44" s="219">
        <v>0</v>
      </c>
      <c r="H44" s="223">
        <v>0</v>
      </c>
    </row>
    <row r="45" spans="2:9" s="210" customFormat="1" ht="11.25" customHeight="1">
      <c r="B45" s="212"/>
      <c r="C45" s="221" t="s">
        <v>90</v>
      </c>
      <c r="D45" s="220">
        <v>0</v>
      </c>
      <c r="E45" s="219">
        <v>0</v>
      </c>
      <c r="F45" s="222" t="s">
        <v>575</v>
      </c>
      <c r="G45" s="218">
        <v>0</v>
      </c>
      <c r="H45" s="219">
        <v>0</v>
      </c>
    </row>
    <row r="46" spans="2:9" s="210" customFormat="1" ht="11.25" customHeight="1">
      <c r="B46" s="244" t="s">
        <v>92</v>
      </c>
      <c r="C46" s="221" t="s">
        <v>93</v>
      </c>
      <c r="D46" s="220">
        <v>0</v>
      </c>
      <c r="E46" s="219">
        <v>29657421380</v>
      </c>
      <c r="F46" s="222" t="s">
        <v>43</v>
      </c>
      <c r="G46" s="218">
        <v>0</v>
      </c>
      <c r="H46" s="219">
        <v>0</v>
      </c>
    </row>
    <row r="47" spans="2:9" s="210" customFormat="1" ht="11.25" customHeight="1">
      <c r="B47" s="212" t="s">
        <v>94</v>
      </c>
      <c r="C47" s="226" t="s">
        <v>61</v>
      </c>
      <c r="D47" s="220">
        <v>0</v>
      </c>
      <c r="E47" s="219">
        <v>0</v>
      </c>
      <c r="F47" s="217"/>
      <c r="G47" s="225">
        <f>SUM(G42:G46)</f>
        <v>0</v>
      </c>
      <c r="H47" s="225">
        <v>17720464606</v>
      </c>
    </row>
    <row r="48" spans="2:9" s="210" customFormat="1" ht="11.25" customHeight="1">
      <c r="B48" s="212" t="s">
        <v>96</v>
      </c>
      <c r="C48" s="224"/>
      <c r="D48" s="225">
        <f>SUM(D42:D47)</f>
        <v>8411451703</v>
      </c>
      <c r="E48" s="225">
        <v>40746873083</v>
      </c>
      <c r="F48" s="217"/>
      <c r="G48" s="218"/>
      <c r="H48" s="219"/>
    </row>
    <row r="49" spans="2:8" s="210" customFormat="1" ht="11.25" customHeight="1">
      <c r="B49" s="212"/>
      <c r="C49" s="472" t="s">
        <v>53</v>
      </c>
      <c r="D49" s="220"/>
      <c r="E49" s="219"/>
      <c r="F49" s="217" t="s">
        <v>45</v>
      </c>
      <c r="G49" s="218"/>
      <c r="H49" s="219"/>
    </row>
    <row r="50" spans="2:8" s="210" customFormat="1" ht="11.25" customHeight="1">
      <c r="B50" s="212"/>
      <c r="C50" s="221" t="s">
        <v>55</v>
      </c>
      <c r="D50" s="220">
        <v>13241237</v>
      </c>
      <c r="E50" s="220">
        <v>0</v>
      </c>
      <c r="F50" s="222" t="s">
        <v>87</v>
      </c>
      <c r="G50" s="218">
        <v>0</v>
      </c>
      <c r="H50" s="219">
        <v>0</v>
      </c>
    </row>
    <row r="51" spans="2:8" s="210" customFormat="1" ht="11.25" customHeight="1">
      <c r="B51" s="212" t="s">
        <v>100</v>
      </c>
      <c r="C51" s="221" t="s">
        <v>59</v>
      </c>
      <c r="D51" s="220">
        <v>180390217</v>
      </c>
      <c r="E51" s="220">
        <v>0</v>
      </c>
      <c r="F51" s="222" t="s">
        <v>52</v>
      </c>
      <c r="G51" s="218">
        <v>0</v>
      </c>
      <c r="H51" s="219">
        <v>0</v>
      </c>
    </row>
    <row r="52" spans="2:8" s="210" customFormat="1" ht="11.25" customHeight="1">
      <c r="B52" s="212" t="s">
        <v>101</v>
      </c>
      <c r="C52" s="221" t="s">
        <v>102</v>
      </c>
      <c r="D52" s="220"/>
      <c r="E52" s="220">
        <v>0</v>
      </c>
      <c r="F52" s="243"/>
      <c r="G52" s="225">
        <v>0</v>
      </c>
      <c r="H52" s="229">
        <v>0</v>
      </c>
    </row>
    <row r="53" spans="2:8" s="210" customFormat="1" ht="11.25" customHeight="1">
      <c r="B53" s="212" t="s">
        <v>104</v>
      </c>
      <c r="C53" s="226" t="s">
        <v>61</v>
      </c>
      <c r="D53" s="220"/>
      <c r="E53" s="220">
        <v>0</v>
      </c>
      <c r="F53" s="217" t="s">
        <v>91</v>
      </c>
      <c r="G53" s="218"/>
      <c r="H53" s="219"/>
    </row>
    <row r="54" spans="2:8" s="210" customFormat="1" ht="11.25" customHeight="1">
      <c r="B54" s="212" t="s">
        <v>106</v>
      </c>
      <c r="C54" s="221" t="s">
        <v>63</v>
      </c>
      <c r="D54" s="220"/>
      <c r="E54" s="220">
        <v>0</v>
      </c>
      <c r="F54" s="222" t="s">
        <v>95</v>
      </c>
      <c r="G54" s="218">
        <v>0</v>
      </c>
      <c r="H54" s="219">
        <v>0</v>
      </c>
    </row>
    <row r="55" spans="2:8" s="210" customFormat="1" ht="11.25" customHeight="1">
      <c r="B55" s="212"/>
      <c r="C55" s="226" t="s">
        <v>66</v>
      </c>
      <c r="D55" s="220"/>
      <c r="E55" s="220">
        <v>0</v>
      </c>
      <c r="F55" s="222" t="s">
        <v>97</v>
      </c>
      <c r="G55" s="218">
        <v>0</v>
      </c>
      <c r="H55" s="219">
        <v>0</v>
      </c>
    </row>
    <row r="56" spans="2:8" s="210" customFormat="1" ht="11.25" customHeight="1">
      <c r="B56" s="212"/>
      <c r="C56" s="221" t="s">
        <v>68</v>
      </c>
      <c r="D56" s="220"/>
      <c r="E56" s="220">
        <v>0</v>
      </c>
      <c r="F56" s="222" t="s">
        <v>99</v>
      </c>
      <c r="G56" s="218"/>
      <c r="H56" s="219"/>
    </row>
    <row r="57" spans="2:8" s="210" customFormat="1" ht="11.25" customHeight="1">
      <c r="B57" s="212"/>
      <c r="C57" s="221"/>
      <c r="D57" s="220"/>
      <c r="E57" s="219"/>
      <c r="F57" s="230"/>
      <c r="G57" s="218">
        <v>0</v>
      </c>
      <c r="H57" s="219">
        <v>0</v>
      </c>
    </row>
    <row r="58" spans="2:8" s="210" customFormat="1" ht="11.25" customHeight="1" thickBot="1">
      <c r="B58" s="212" t="s">
        <v>110</v>
      </c>
      <c r="C58" s="224"/>
      <c r="D58" s="225">
        <f>+D50+D51</f>
        <v>193631454</v>
      </c>
      <c r="E58" s="225">
        <v>0</v>
      </c>
      <c r="F58" s="239" t="s">
        <v>103</v>
      </c>
      <c r="G58" s="238">
        <v>0</v>
      </c>
      <c r="H58" s="238">
        <v>0</v>
      </c>
    </row>
    <row r="59" spans="2:8" s="210" customFormat="1" ht="11.25" customHeight="1" thickTop="1">
      <c r="B59" s="212"/>
      <c r="C59" s="472" t="s">
        <v>111</v>
      </c>
      <c r="D59" s="220"/>
      <c r="E59" s="219"/>
      <c r="F59" s="245" t="s">
        <v>105</v>
      </c>
      <c r="G59" s="246">
        <f>+G38</f>
        <v>109088171818</v>
      </c>
      <c r="H59" s="246">
        <v>69286790250</v>
      </c>
    </row>
    <row r="60" spans="2:8" s="210" customFormat="1" ht="11.25" customHeight="1">
      <c r="B60" s="212"/>
      <c r="C60" s="221" t="s">
        <v>113</v>
      </c>
      <c r="D60" s="220">
        <f>12595990628-D61</f>
        <v>13212183933</v>
      </c>
      <c r="E60" s="219">
        <v>13114620162</v>
      </c>
      <c r="F60" s="487" t="s">
        <v>107</v>
      </c>
      <c r="G60" s="218"/>
      <c r="H60" s="219"/>
    </row>
    <row r="61" spans="2:8" s="210" customFormat="1" ht="11.25" customHeight="1">
      <c r="B61" s="212"/>
      <c r="C61" s="221" t="s">
        <v>115</v>
      </c>
      <c r="D61" s="220">
        <v>-616193305</v>
      </c>
      <c r="E61" s="219">
        <v>-616193305</v>
      </c>
      <c r="F61" s="217" t="s">
        <v>271</v>
      </c>
      <c r="G61" s="218"/>
      <c r="H61" s="219"/>
    </row>
    <row r="62" spans="2:8" s="210" customFormat="1" ht="11.25" customHeight="1">
      <c r="B62" s="212"/>
      <c r="C62" s="221"/>
      <c r="D62" s="225">
        <f>+D60+D61</f>
        <v>12595990628</v>
      </c>
      <c r="E62" s="225">
        <v>12498426857</v>
      </c>
      <c r="F62" s="222" t="s">
        <v>108</v>
      </c>
      <c r="G62" s="218">
        <v>27008000001</v>
      </c>
      <c r="H62" s="219">
        <v>24288000001</v>
      </c>
    </row>
    <row r="63" spans="2:8" s="210" customFormat="1" ht="11.25" customHeight="1">
      <c r="B63" s="212"/>
      <c r="C63" s="472" t="s">
        <v>118</v>
      </c>
      <c r="D63" s="220"/>
      <c r="E63" s="219"/>
      <c r="F63" s="222" t="s">
        <v>109</v>
      </c>
      <c r="G63" s="227">
        <v>0</v>
      </c>
      <c r="H63" s="228">
        <v>0</v>
      </c>
    </row>
    <row r="64" spans="2:8" s="210" customFormat="1" ht="11.25" customHeight="1">
      <c r="B64" s="212"/>
      <c r="C64" s="221" t="s">
        <v>119</v>
      </c>
      <c r="D64" s="220">
        <v>180580005</v>
      </c>
      <c r="E64" s="219">
        <v>180580005</v>
      </c>
      <c r="F64" s="230"/>
      <c r="G64" s="225">
        <f>+G62</f>
        <v>27008000001</v>
      </c>
      <c r="H64" s="225">
        <v>24288000001</v>
      </c>
    </row>
    <row r="65" spans="2:8" s="210" customFormat="1" ht="11.25" customHeight="1">
      <c r="B65" s="212"/>
      <c r="C65" s="221" t="s">
        <v>120</v>
      </c>
      <c r="D65" s="220">
        <f>900000+8762267</f>
        <v>9662267</v>
      </c>
      <c r="E65" s="219">
        <v>900000</v>
      </c>
      <c r="F65" s="217" t="s">
        <v>272</v>
      </c>
      <c r="G65" s="218"/>
      <c r="H65" s="219"/>
    </row>
    <row r="66" spans="2:8" s="210" customFormat="1" ht="11.25" customHeight="1">
      <c r="B66" s="212"/>
      <c r="C66" s="221" t="s">
        <v>121</v>
      </c>
      <c r="D66" s="220">
        <v>27866433</v>
      </c>
      <c r="E66" s="219">
        <v>27866433</v>
      </c>
      <c r="F66" s="222" t="s">
        <v>114</v>
      </c>
      <c r="G66" s="218">
        <v>1546573343</v>
      </c>
      <c r="H66" s="219">
        <v>1546573343</v>
      </c>
    </row>
    <row r="67" spans="2:8" s="210" customFormat="1" ht="11.25" customHeight="1">
      <c r="B67" s="212"/>
      <c r="C67" s="221" t="s">
        <v>122</v>
      </c>
      <c r="D67" s="220">
        <v>3161387093</v>
      </c>
      <c r="E67" s="219">
        <v>2258520554</v>
      </c>
      <c r="F67" s="222"/>
      <c r="G67" s="218"/>
      <c r="H67" s="223"/>
    </row>
    <row r="68" spans="2:8" s="210" customFormat="1" ht="11.25" customHeight="1">
      <c r="B68" s="212"/>
      <c r="C68" s="221" t="s">
        <v>704</v>
      </c>
      <c r="D68" s="220">
        <v>4448595000</v>
      </c>
      <c r="E68" s="219">
        <v>2258520554</v>
      </c>
      <c r="F68" s="222" t="s">
        <v>116</v>
      </c>
      <c r="G68" s="218">
        <v>0</v>
      </c>
      <c r="H68" s="220">
        <v>946670</v>
      </c>
    </row>
    <row r="69" spans="2:8" s="210" customFormat="1" ht="11.25" customHeight="1">
      <c r="B69" s="212"/>
      <c r="C69" s="221" t="s">
        <v>124</v>
      </c>
      <c r="D69" s="247">
        <v>-1249022815</v>
      </c>
      <c r="E69" s="228">
        <v>-1249022815</v>
      </c>
      <c r="F69" s="222" t="s">
        <v>117</v>
      </c>
      <c r="G69" s="218">
        <v>49000000</v>
      </c>
      <c r="H69" s="219">
        <v>101000000</v>
      </c>
    </row>
    <row r="70" spans="2:8" s="210" customFormat="1" ht="11.25" customHeight="1">
      <c r="B70" s="212"/>
      <c r="C70" s="224"/>
      <c r="D70" s="225">
        <f>SUM(D64:D69)</f>
        <v>6579067983</v>
      </c>
      <c r="E70" s="225">
        <v>1218844177</v>
      </c>
      <c r="F70" s="222"/>
      <c r="G70" s="218"/>
      <c r="H70" s="219"/>
    </row>
    <row r="71" spans="2:8" s="210" customFormat="1" ht="11.25" customHeight="1">
      <c r="B71" s="212" t="s">
        <v>126</v>
      </c>
      <c r="C71" s="214" t="s">
        <v>70</v>
      </c>
      <c r="D71" s="220"/>
      <c r="E71" s="219"/>
      <c r="F71" s="222"/>
      <c r="G71" s="225">
        <f>SUM(G66:G70)</f>
        <v>1595573343</v>
      </c>
      <c r="H71" s="225">
        <v>1648520013</v>
      </c>
    </row>
    <row r="72" spans="2:8" s="210" customFormat="1" ht="11.25" customHeight="1">
      <c r="B72" s="212" t="s">
        <v>128</v>
      </c>
      <c r="C72" s="472" t="s">
        <v>783</v>
      </c>
      <c r="D72" s="220"/>
      <c r="E72" s="219"/>
      <c r="F72" s="217"/>
      <c r="G72" s="235"/>
      <c r="H72" s="216"/>
    </row>
    <row r="73" spans="2:8" s="210" customFormat="1" ht="11.25" customHeight="1">
      <c r="B73" s="212"/>
      <c r="C73" s="221" t="s">
        <v>782</v>
      </c>
      <c r="D73" s="220">
        <v>0</v>
      </c>
      <c r="E73" s="219">
        <v>0</v>
      </c>
      <c r="F73" s="217" t="s">
        <v>702</v>
      </c>
      <c r="G73" s="235"/>
      <c r="H73" s="216"/>
    </row>
    <row r="74" spans="2:8" s="210" customFormat="1" ht="11.25" customHeight="1">
      <c r="B74" s="212" t="s">
        <v>130</v>
      </c>
      <c r="C74" s="221" t="s">
        <v>131</v>
      </c>
      <c r="D74" s="220">
        <v>0</v>
      </c>
      <c r="E74" s="219">
        <v>0</v>
      </c>
      <c r="F74" s="230" t="s">
        <v>123</v>
      </c>
      <c r="G74" s="218">
        <v>9411087</v>
      </c>
      <c r="H74" s="219">
        <v>0</v>
      </c>
    </row>
    <row r="75" spans="2:8" ht="11.25" customHeight="1">
      <c r="B75" s="253" t="s">
        <v>132</v>
      </c>
      <c r="C75" s="221" t="s">
        <v>133</v>
      </c>
      <c r="D75" s="220">
        <v>0</v>
      </c>
      <c r="E75" s="219">
        <v>0</v>
      </c>
      <c r="F75" s="230" t="s">
        <v>125</v>
      </c>
      <c r="G75" s="248">
        <v>8284459467</v>
      </c>
      <c r="H75" s="248">
        <v>8062247026</v>
      </c>
    </row>
    <row r="76" spans="2:8" ht="11.25" customHeight="1">
      <c r="B76" s="253" t="s">
        <v>134</v>
      </c>
      <c r="C76" s="224"/>
      <c r="D76" s="254">
        <v>0</v>
      </c>
      <c r="E76" s="254">
        <v>0</v>
      </c>
      <c r="F76" s="230"/>
      <c r="G76" s="249">
        <f>SUM(G74:G75)</f>
        <v>8293870554</v>
      </c>
      <c r="H76" s="249">
        <v>8062247026</v>
      </c>
    </row>
    <row r="77" spans="2:8" ht="11.25" customHeight="1">
      <c r="B77" s="253" t="s">
        <v>135</v>
      </c>
      <c r="C77" s="255" t="s">
        <v>136</v>
      </c>
      <c r="D77" s="251">
        <f>+D70+D76+D62+D58+D48</f>
        <v>27780141768</v>
      </c>
      <c r="E77" s="251">
        <v>54464144117</v>
      </c>
      <c r="F77" s="250" t="s">
        <v>127</v>
      </c>
      <c r="G77" s="251">
        <f>+G64+G71+G76</f>
        <v>36897443898</v>
      </c>
      <c r="H77" s="251">
        <v>33998767040</v>
      </c>
    </row>
    <row r="78" spans="2:8" ht="11.25" customHeight="1">
      <c r="B78" s="253" t="s">
        <v>137</v>
      </c>
      <c r="C78" s="255" t="s">
        <v>138</v>
      </c>
      <c r="D78" s="252">
        <f>+D38+D77</f>
        <v>145985615716</v>
      </c>
      <c r="E78" s="252">
        <v>103285557290</v>
      </c>
      <c r="F78" s="250" t="s">
        <v>129</v>
      </c>
      <c r="G78" s="252">
        <f>+G59+G77</f>
        <v>145985615716</v>
      </c>
      <c r="H78" s="252">
        <v>103285557290</v>
      </c>
    </row>
    <row r="79" spans="2:8" ht="11.25" customHeight="1">
      <c r="B79" s="253"/>
      <c r="C79" s="538" t="s">
        <v>832</v>
      </c>
      <c r="D79" s="538"/>
      <c r="E79" s="538"/>
      <c r="F79" s="538"/>
      <c r="G79" s="538"/>
      <c r="H79" s="538"/>
    </row>
    <row r="80" spans="2:8" ht="11.25" hidden="1" customHeight="1">
      <c r="B80" s="253" t="s">
        <v>139</v>
      </c>
      <c r="D80" s="256">
        <f>+D78-G78</f>
        <v>0</v>
      </c>
      <c r="G80" s="256"/>
    </row>
    <row r="81" spans="2:8" ht="11.25" customHeight="1">
      <c r="B81" s="253" t="s">
        <v>140</v>
      </c>
      <c r="D81" s="257">
        <f>+D78-G78</f>
        <v>0</v>
      </c>
      <c r="G81" s="257"/>
    </row>
    <row r="82" spans="2:8" ht="11.25" customHeight="1">
      <c r="B82" s="253" t="s">
        <v>141</v>
      </c>
      <c r="D82" s="257"/>
      <c r="G82" s="257"/>
    </row>
    <row r="83" spans="2:8" ht="11.25" customHeight="1">
      <c r="B83" s="253"/>
    </row>
    <row r="84" spans="2:8" ht="11.25" customHeight="1">
      <c r="B84" s="253" t="s">
        <v>142</v>
      </c>
    </row>
    <row r="85" spans="2:8" ht="11.25" customHeight="1">
      <c r="B85" s="253"/>
      <c r="F85" s="25"/>
      <c r="G85" s="25"/>
      <c r="H85" s="25"/>
    </row>
    <row r="86" spans="2:8" ht="11.25" customHeight="1">
      <c r="B86" s="253"/>
    </row>
    <row r="87" spans="2:8" ht="11.25" customHeight="1">
      <c r="B87" s="253"/>
    </row>
    <row r="88" spans="2:8" ht="11.25" customHeight="1">
      <c r="B88" s="253"/>
    </row>
    <row r="89" spans="2:8" ht="11.25" customHeight="1">
      <c r="B89" s="258">
        <v>2</v>
      </c>
    </row>
    <row r="90" spans="2:8" ht="11.25" customHeight="1">
      <c r="B90" s="259" t="s">
        <v>143</v>
      </c>
      <c r="C90" s="260"/>
      <c r="D90" s="261"/>
      <c r="E90" s="261"/>
    </row>
    <row r="91" spans="2:8" ht="11.25" customHeight="1">
      <c r="B91" s="253" t="s">
        <v>144</v>
      </c>
    </row>
    <row r="92" spans="2:8" ht="11.25" customHeight="1">
      <c r="B92" s="253" t="s">
        <v>145</v>
      </c>
    </row>
    <row r="93" spans="2:8" ht="11.25" customHeight="1">
      <c r="B93" s="253" t="s">
        <v>146</v>
      </c>
    </row>
    <row r="94" spans="2:8" ht="11.25" customHeight="1">
      <c r="B94" s="253"/>
    </row>
    <row r="95" spans="2:8" ht="11.25" customHeight="1">
      <c r="B95" s="253" t="s">
        <v>147</v>
      </c>
    </row>
    <row r="96" spans="2:8" ht="11.25" customHeight="1">
      <c r="B96" s="253" t="s">
        <v>148</v>
      </c>
      <c r="G96" s="262"/>
    </row>
    <row r="97" spans="2:2" ht="11.25" customHeight="1">
      <c r="B97" s="253" t="s">
        <v>149</v>
      </c>
    </row>
    <row r="98" spans="2:2" ht="11.25" customHeight="1">
      <c r="B98" s="253" t="s">
        <v>150</v>
      </c>
    </row>
    <row r="99" spans="2:2" ht="11.25" customHeight="1">
      <c r="B99" s="253"/>
    </row>
    <row r="100" spans="2:2" ht="11.25" customHeight="1">
      <c r="B100" s="253" t="s">
        <v>151</v>
      </c>
    </row>
    <row r="101" spans="2:2" ht="11.25" customHeight="1">
      <c r="B101" s="253" t="s">
        <v>152</v>
      </c>
    </row>
    <row r="102" spans="2:2" ht="11.25" customHeight="1">
      <c r="B102" s="253" t="s">
        <v>153</v>
      </c>
    </row>
    <row r="103" spans="2:2" ht="11.25" customHeight="1">
      <c r="B103" s="253" t="s">
        <v>154</v>
      </c>
    </row>
    <row r="104" spans="2:2" ht="11.25" customHeight="1">
      <c r="B104" s="253"/>
    </row>
    <row r="105" spans="2:2" ht="11.25" customHeight="1">
      <c r="B105" s="253" t="s">
        <v>155</v>
      </c>
    </row>
    <row r="106" spans="2:2" ht="11.25" customHeight="1">
      <c r="B106" s="253" t="s">
        <v>156</v>
      </c>
    </row>
    <row r="107" spans="2:2" ht="11.25" customHeight="1">
      <c r="B107" s="253"/>
    </row>
    <row r="108" spans="2:2" ht="11.25" customHeight="1">
      <c r="B108" s="253"/>
    </row>
    <row r="109" spans="2:2" ht="11.25" customHeight="1">
      <c r="B109" s="253"/>
    </row>
    <row r="110" spans="2:2" ht="11.25" customHeight="1">
      <c r="B110" s="253" t="s">
        <v>157</v>
      </c>
    </row>
    <row r="111" spans="2:2" ht="11.25" customHeight="1">
      <c r="B111" s="253"/>
    </row>
    <row r="112" spans="2:2" ht="11.25" customHeight="1">
      <c r="B112" s="253" t="s">
        <v>158</v>
      </c>
    </row>
    <row r="113" spans="2:2" ht="11.25" customHeight="1">
      <c r="B113" s="253" t="s">
        <v>159</v>
      </c>
    </row>
    <row r="114" spans="2:2" ht="11.25" customHeight="1">
      <c r="B114" s="253" t="s">
        <v>160</v>
      </c>
    </row>
    <row r="115" spans="2:2" ht="11.25" customHeight="1">
      <c r="B115" s="253"/>
    </row>
    <row r="116" spans="2:2" ht="11.25" customHeight="1">
      <c r="B116" s="253" t="s">
        <v>161</v>
      </c>
    </row>
    <row r="117" spans="2:2" ht="11.25" customHeight="1">
      <c r="B117" s="253" t="s">
        <v>162</v>
      </c>
    </row>
    <row r="118" spans="2:2" ht="11.25" customHeight="1">
      <c r="B118" s="253" t="s">
        <v>163</v>
      </c>
    </row>
    <row r="119" spans="2:2" ht="11.25" customHeight="1">
      <c r="B119" s="253"/>
    </row>
    <row r="120" spans="2:2" ht="11.25" customHeight="1">
      <c r="B120" s="253"/>
    </row>
    <row r="121" spans="2:2" ht="11.25" customHeight="1">
      <c r="B121" s="253"/>
    </row>
    <row r="122" spans="2:2" ht="11.25" customHeight="1">
      <c r="B122" s="253"/>
    </row>
    <row r="123" spans="2:2" ht="11.25" customHeight="1">
      <c r="B123" s="253"/>
    </row>
    <row r="124" spans="2:2" ht="11.25" customHeight="1">
      <c r="B124" s="253" t="s">
        <v>164</v>
      </c>
    </row>
    <row r="125" spans="2:2" ht="11.25" customHeight="1">
      <c r="B125" s="253" t="s">
        <v>165</v>
      </c>
    </row>
    <row r="126" spans="2:2" ht="11.25" customHeight="1">
      <c r="B126" s="253" t="s">
        <v>166</v>
      </c>
    </row>
    <row r="127" spans="2:2" ht="11.25" customHeight="1">
      <c r="B127" s="253" t="s">
        <v>167</v>
      </c>
    </row>
    <row r="128" spans="2:2" ht="11.25" customHeight="1">
      <c r="B128" s="253"/>
    </row>
    <row r="129" spans="2:5" ht="11.25" customHeight="1">
      <c r="B129" s="253" t="s">
        <v>168</v>
      </c>
    </row>
    <row r="130" spans="2:5" ht="11.25" customHeight="1">
      <c r="B130" s="253" t="s">
        <v>169</v>
      </c>
    </row>
    <row r="131" spans="2:5" ht="11.25" customHeight="1">
      <c r="B131" s="253" t="s">
        <v>170</v>
      </c>
    </row>
    <row r="132" spans="2:5" ht="11.25" customHeight="1">
      <c r="B132" s="253" t="s">
        <v>171</v>
      </c>
    </row>
    <row r="133" spans="2:5" ht="11.25" customHeight="1">
      <c r="B133" s="253" t="s">
        <v>172</v>
      </c>
    </row>
    <row r="134" spans="2:5" ht="11.25" customHeight="1">
      <c r="B134" s="253"/>
    </row>
    <row r="135" spans="2:5" ht="11.25" customHeight="1">
      <c r="B135" s="253" t="s">
        <v>173</v>
      </c>
    </row>
    <row r="136" spans="2:5" ht="11.25" customHeight="1">
      <c r="B136" s="253" t="s">
        <v>174</v>
      </c>
    </row>
    <row r="137" spans="2:5" ht="11.25" customHeight="1">
      <c r="B137" s="253" t="s">
        <v>175</v>
      </c>
    </row>
    <row r="138" spans="2:5" ht="11.25" customHeight="1">
      <c r="B138" s="253"/>
    </row>
    <row r="139" spans="2:5" ht="11.25" customHeight="1">
      <c r="B139" s="253"/>
    </row>
    <row r="140" spans="2:5" ht="11.25" customHeight="1">
      <c r="B140" s="253"/>
    </row>
    <row r="143" spans="2:5" ht="11.25" customHeight="1">
      <c r="D143" s="263"/>
      <c r="E143" s="263"/>
    </row>
    <row r="144" spans="2:5" ht="11.25" customHeight="1">
      <c r="D144" s="264">
        <v>0</v>
      </c>
      <c r="E144" s="263">
        <v>0</v>
      </c>
    </row>
    <row r="147" spans="4:4" ht="11.25" customHeight="1">
      <c r="D147" s="265"/>
    </row>
  </sheetData>
  <mergeCells count="5">
    <mergeCell ref="C4:H4"/>
    <mergeCell ref="C5:H5"/>
    <mergeCell ref="C6:H6"/>
    <mergeCell ref="C7:H7"/>
    <mergeCell ref="C79:H79"/>
  </mergeCells>
  <hyperlinks>
    <hyperlink ref="C10" location="'NOTA D - DISPONIBILIDADES'!A1" display="DISPONIBILIDADES Nota 5 d" xr:uid="{0AF29F11-92DF-47CC-BE35-D735F3E934F6}"/>
    <hyperlink ref="C9" location="'NOTA 5 A-C CRITERIOS ESPECIF.'!A1" display="ACTIVO CORRIENTE Nota 5 a" xr:uid="{1DC4A549-49DE-4FA5-ABCD-15D046DC6278}"/>
    <hyperlink ref="C17" location="'NOTA E - INVERSIONES'!A1" display="INVERSIONES TEMPORARIAS  NOTA 5 E" xr:uid="{2633F63C-B949-4F71-97D0-82FADFD0F5B7}"/>
    <hyperlink ref="C22" location="'NOTA F - CREDITOS'!A1" display="CREDITOS Nota 5 f" xr:uid="{620B51D4-094C-4BC5-AF0E-A7216D2A1098}"/>
    <hyperlink ref="C32" location="'NOTA H CARGOS DIFERIDOS'!A1" display="GASTOS NO DEVENGADOS - Nota 5 h" xr:uid="{1C75AE23-9A1A-44BC-831E-5D282AEB733D}"/>
    <hyperlink ref="C41" location="'NOTA E - INVERSIONES'!A1" display="INVERSIONES PERMANENTES Nota 5 e" xr:uid="{804FC301-198C-4BB6-A867-FA4D3F23393C}"/>
    <hyperlink ref="C49" location="'NOTA F - CREDITOS'!A1" display="CREDITOS Nota 5 f" xr:uid="{0709245F-181C-4A68-8C03-DE66AAF2F562}"/>
    <hyperlink ref="C59" location="'NOTA G BIENES DE USO'!A1" display="BIENES DE USO Nota 5 g" xr:uid="{087A21EE-DBCB-401B-8A1E-8FE270F3FF0E}"/>
    <hyperlink ref="C63" location="' NOTA I INTANGIBLES'!A1" display="ACTIVOS INTANGIBLES  Nota 5 i" xr:uid="{29207C6F-F832-4F39-8FDC-8DAB1901ABDF}"/>
    <hyperlink ref="C72" location="'NOTA J OTROS ACTIVOS CTES y NO '!A1" display="GASTOS NO DEVENGADOS  - Nota 5 j" xr:uid="{1B1FE1BB-8170-4D2D-AC48-1B289B835BA5}"/>
    <hyperlink ref="F11" location="'NOTAS M-Q ACREED y CTAS A PAG'!A1" display="Acreedores por Intermediación. Nota 5 m" xr:uid="{87329EB4-9B4C-4EA3-9789-A2B384D03B53}"/>
    <hyperlink ref="F12" location="'NOTA L DOCUM y CTAS A PAG'!A1" display="Acreedores Varios  - Nota 5 l" xr:uid="{141D7997-7A43-45D6-89C9-B81CF930CA76}"/>
    <hyperlink ref="F13" location="'NOTAS M-Q ACREED y CTAS A PAG'!A1" display="Cuentas por Pagar a Personas y Emp. Relacionadas. Nota o" xr:uid="{C21EE756-CF84-49DB-A39F-935AED5BE49B}"/>
    <hyperlink ref="F17" location="'NOTA K PRESTAMOS'!A1" display="PRESTAMOS FINANCIEROS - Nota 5 k" xr:uid="{6F56B1F9-3FF7-4A2C-9E5F-39F45CC25192}"/>
    <hyperlink ref="F22" location="'NOTAS M-Q ACREED y CTAS A PAG'!A1" display="PROVISIONES. Nota q" xr:uid="{4EFE3083-BED9-4447-8DD0-3B59CBF19CBB}"/>
    <hyperlink ref="F60" location="' NOTA T PATRIMONIO Y PREVIS'!A1" display="PATRIMONIO NETO  Nota 5 t" xr:uid="{2A991EDB-0806-4452-8708-D5B62590C8B1}"/>
    <hyperlink ref="F31" location="'NOTAS M-Q ACREED y CTAS A PAG'!A1" display="OTROS PASIVOS - Nota q" xr:uid="{E626726C-E6D3-476F-9E4F-FC046F49732E}"/>
  </hyperlinks>
  <pageMargins left="0.25" right="0.25" top="0.75" bottom="0.75" header="0.3" footer="0.3"/>
  <pageSetup paperSize="9" scale="6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  <pageSetUpPr fitToPage="1"/>
  </sheetPr>
  <dimension ref="B3:K101"/>
  <sheetViews>
    <sheetView showGridLines="0" topLeftCell="A87" zoomScale="156" zoomScaleNormal="130" workbookViewId="0">
      <selection activeCell="B108" sqref="B108"/>
    </sheetView>
  </sheetViews>
  <sheetFormatPr baseColWidth="10" defaultColWidth="11.44140625" defaultRowHeight="12"/>
  <cols>
    <col min="1" max="1" width="5.77734375" style="208" customWidth="1"/>
    <col min="2" max="2" width="50.6640625" style="208" customWidth="1"/>
    <col min="3" max="3" width="0.33203125" style="208" customWidth="1"/>
    <col min="4" max="4" width="15.88671875" style="208" bestFit="1" customWidth="1"/>
    <col min="5" max="5" width="14.44140625" style="208" customWidth="1"/>
    <col min="6" max="6" width="14.33203125" style="208" bestFit="1" customWidth="1"/>
    <col min="7" max="7" width="16" style="263" bestFit="1" customWidth="1"/>
    <col min="8" max="8" width="13.5546875" style="208" bestFit="1" customWidth="1"/>
    <col min="9" max="9" width="16.77734375" style="208" bestFit="1" customWidth="1"/>
    <col min="10" max="10" width="13.5546875" style="208" bestFit="1" customWidth="1"/>
    <col min="11" max="11" width="15.109375" style="208" bestFit="1" customWidth="1"/>
    <col min="12" max="16384" width="11.44140625" style="208"/>
  </cols>
  <sheetData>
    <row r="3" spans="2:5" ht="15" customHeight="1">
      <c r="B3" s="541"/>
      <c r="C3" s="541"/>
      <c r="D3" s="541"/>
      <c r="E3" s="541"/>
    </row>
    <row r="4" spans="2:5" ht="15" customHeight="1">
      <c r="B4" s="541"/>
      <c r="C4" s="541"/>
      <c r="D4" s="541"/>
      <c r="E4" s="541"/>
    </row>
    <row r="5" spans="2:5" ht="9.75" customHeight="1">
      <c r="B5" s="541" t="s">
        <v>0</v>
      </c>
      <c r="C5" s="541"/>
      <c r="D5" s="541"/>
      <c r="E5" s="541"/>
    </row>
    <row r="6" spans="2:5">
      <c r="B6" s="541" t="s">
        <v>176</v>
      </c>
      <c r="C6" s="541"/>
      <c r="D6" s="541"/>
      <c r="E6" s="541"/>
    </row>
    <row r="7" spans="2:5" ht="26.25" customHeight="1">
      <c r="B7" s="536" t="s">
        <v>705</v>
      </c>
      <c r="C7" s="536"/>
      <c r="D7" s="536"/>
      <c r="E7" s="536"/>
    </row>
    <row r="8" spans="2:5">
      <c r="B8" s="537" t="s">
        <v>177</v>
      </c>
      <c r="C8" s="537"/>
      <c r="D8" s="537"/>
      <c r="E8" s="537"/>
    </row>
    <row r="9" spans="2:5" ht="12.6" thickBot="1">
      <c r="B9" s="540"/>
      <c r="C9" s="540"/>
      <c r="D9" s="540"/>
      <c r="E9" s="540"/>
    </row>
    <row r="10" spans="2:5" ht="24.6" thickBot="1">
      <c r="B10" s="311"/>
      <c r="C10" s="312"/>
      <c r="D10" s="313" t="str">
        <f>+'Balance Gral. Resol. 30'!D8</f>
        <v>PERIODO ACTUAL 30/09/ 2021</v>
      </c>
      <c r="E10" s="313" t="s">
        <v>818</v>
      </c>
    </row>
    <row r="11" spans="2:5" ht="14.4">
      <c r="B11" s="492" t="s">
        <v>817</v>
      </c>
      <c r="C11" s="426"/>
      <c r="D11" s="427"/>
      <c r="E11" s="428"/>
    </row>
    <row r="12" spans="2:5" ht="9.75" customHeight="1">
      <c r="B12" s="314" t="s">
        <v>178</v>
      </c>
      <c r="C12" s="315"/>
      <c r="D12" s="318">
        <f>SUM(D13:D14)</f>
        <v>507637023</v>
      </c>
      <c r="E12" s="319">
        <v>152621382</v>
      </c>
    </row>
    <row r="13" spans="2:5" ht="9.75" customHeight="1">
      <c r="B13" s="320" t="s">
        <v>179</v>
      </c>
      <c r="C13" s="315"/>
      <c r="D13" s="321">
        <v>0</v>
      </c>
      <c r="E13" s="322">
        <v>30698389</v>
      </c>
    </row>
    <row r="14" spans="2:5" ht="9.75" customHeight="1">
      <c r="B14" s="320" t="s">
        <v>180</v>
      </c>
      <c r="C14" s="315"/>
      <c r="D14" s="321">
        <v>507637023</v>
      </c>
      <c r="E14" s="322">
        <v>121922993</v>
      </c>
    </row>
    <row r="15" spans="2:5" ht="9.75" customHeight="1">
      <c r="B15" s="320"/>
      <c r="C15" s="315"/>
      <c r="D15" s="321"/>
      <c r="E15" s="322"/>
    </row>
    <row r="16" spans="2:5" ht="9.75" customHeight="1">
      <c r="B16" s="314" t="s">
        <v>181</v>
      </c>
      <c r="C16" s="315"/>
      <c r="D16" s="321"/>
      <c r="E16" s="322"/>
    </row>
    <row r="17" spans="2:8" ht="9.75" customHeight="1">
      <c r="B17" s="320" t="s">
        <v>182</v>
      </c>
      <c r="C17" s="315"/>
      <c r="D17" s="321">
        <v>0</v>
      </c>
      <c r="E17" s="322">
        <v>0</v>
      </c>
    </row>
    <row r="18" spans="2:8" ht="9.75" customHeight="1">
      <c r="B18" s="320" t="s">
        <v>183</v>
      </c>
      <c r="C18" s="315"/>
      <c r="D18" s="321">
        <v>0</v>
      </c>
      <c r="E18" s="322">
        <v>0</v>
      </c>
    </row>
    <row r="19" spans="2:8" ht="9.75" customHeight="1">
      <c r="B19" s="320"/>
      <c r="C19" s="315"/>
      <c r="D19" s="321"/>
      <c r="E19" s="322"/>
    </row>
    <row r="20" spans="2:8" ht="9.75" customHeight="1">
      <c r="B20" s="314" t="s">
        <v>184</v>
      </c>
      <c r="C20" s="315"/>
      <c r="D20" s="321"/>
      <c r="E20" s="322"/>
    </row>
    <row r="21" spans="2:8" ht="9.75" customHeight="1">
      <c r="B21" s="320" t="s">
        <v>185</v>
      </c>
      <c r="C21" s="315"/>
      <c r="D21" s="321">
        <v>0</v>
      </c>
      <c r="E21" s="322">
        <v>0</v>
      </c>
    </row>
    <row r="22" spans="2:8" ht="9.75" customHeight="1">
      <c r="B22" s="320" t="s">
        <v>186</v>
      </c>
      <c r="C22" s="315"/>
      <c r="D22" s="321">
        <v>0</v>
      </c>
      <c r="E22" s="322">
        <v>0</v>
      </c>
    </row>
    <row r="23" spans="2:8" ht="9.75" customHeight="1">
      <c r="B23" s="320"/>
      <c r="C23" s="315"/>
      <c r="D23" s="321"/>
      <c r="E23" s="322"/>
    </row>
    <row r="24" spans="2:8" ht="9.75" customHeight="1">
      <c r="B24" s="314" t="s">
        <v>577</v>
      </c>
      <c r="C24" s="315"/>
      <c r="D24" s="321">
        <v>0</v>
      </c>
      <c r="E24" s="322">
        <v>0</v>
      </c>
    </row>
    <row r="25" spans="2:8" ht="9.75" customHeight="1">
      <c r="B25" s="314" t="s">
        <v>578</v>
      </c>
      <c r="C25" s="315"/>
      <c r="D25" s="318">
        <v>0</v>
      </c>
      <c r="E25" s="322">
        <v>0</v>
      </c>
    </row>
    <row r="26" spans="2:8" ht="9.75" customHeight="1">
      <c r="B26" s="314" t="s">
        <v>187</v>
      </c>
      <c r="C26" s="315"/>
      <c r="D26" s="318">
        <f>505504438+6100449941</f>
        <v>6605954379</v>
      </c>
      <c r="E26" s="319">
        <v>1796856356</v>
      </c>
    </row>
    <row r="27" spans="2:8" ht="9.75" customHeight="1">
      <c r="B27" s="314" t="s">
        <v>188</v>
      </c>
      <c r="C27" s="315"/>
      <c r="D27" s="318">
        <f>2061245281-160132404</f>
        <v>1901112877</v>
      </c>
      <c r="E27" s="319"/>
    </row>
    <row r="28" spans="2:8" ht="9.75" customHeight="1">
      <c r="B28" s="314" t="s">
        <v>189</v>
      </c>
      <c r="C28" s="315"/>
      <c r="D28" s="318">
        <f>270261305727-265123506580</f>
        <v>5137799147</v>
      </c>
      <c r="E28" s="319">
        <v>6310383839</v>
      </c>
      <c r="F28" s="262"/>
      <c r="H28" s="262"/>
    </row>
    <row r="29" spans="2:8" ht="9.75" customHeight="1">
      <c r="B29" s="314" t="s">
        <v>190</v>
      </c>
      <c r="C29" s="315"/>
      <c r="D29" s="318">
        <f>5498595000-5300000000</f>
        <v>198595000</v>
      </c>
      <c r="E29" s="322">
        <v>0</v>
      </c>
    </row>
    <row r="30" spans="2:8" ht="9.75" customHeight="1">
      <c r="B30" s="314" t="s">
        <v>191</v>
      </c>
      <c r="C30" s="315"/>
      <c r="D30" s="321">
        <v>0</v>
      </c>
      <c r="E30" s="322">
        <v>0</v>
      </c>
    </row>
    <row r="31" spans="2:8" ht="9.75" customHeight="1">
      <c r="B31" s="320"/>
      <c r="C31" s="316"/>
      <c r="D31" s="321"/>
      <c r="E31" s="322"/>
      <c r="F31" s="263"/>
    </row>
    <row r="32" spans="2:8" ht="9.75" customHeight="1">
      <c r="B32" s="314" t="s">
        <v>542</v>
      </c>
      <c r="C32" s="315"/>
      <c r="D32" s="321">
        <v>0</v>
      </c>
      <c r="E32" s="322">
        <v>0</v>
      </c>
      <c r="H32" s="263"/>
    </row>
    <row r="33" spans="2:11" ht="9.75" customHeight="1">
      <c r="B33" s="314"/>
      <c r="C33" s="315"/>
      <c r="D33" s="316"/>
      <c r="E33" s="322"/>
      <c r="H33" s="263"/>
    </row>
    <row r="34" spans="2:11" ht="9.75" customHeight="1">
      <c r="B34" s="314" t="s">
        <v>192</v>
      </c>
      <c r="C34" s="315"/>
      <c r="D34" s="318">
        <f>SUM(D35:D37)</f>
        <v>798650740</v>
      </c>
      <c r="E34" s="319">
        <v>349128483</v>
      </c>
    </row>
    <row r="35" spans="2:11" ht="9.75" customHeight="1">
      <c r="B35" s="320" t="s">
        <v>193</v>
      </c>
      <c r="C35" s="315"/>
      <c r="D35" s="318">
        <v>0</v>
      </c>
      <c r="E35" s="319">
        <v>0</v>
      </c>
    </row>
    <row r="36" spans="2:11" ht="9.75" customHeight="1">
      <c r="B36" s="323" t="s">
        <v>708</v>
      </c>
      <c r="C36" s="329"/>
      <c r="D36" s="321">
        <v>0</v>
      </c>
      <c r="E36" s="322">
        <v>150385000</v>
      </c>
    </row>
    <row r="37" spans="2:11" ht="9.75" customHeight="1">
      <c r="B37" s="323" t="s">
        <v>192</v>
      </c>
      <c r="C37" s="329"/>
      <c r="D37" s="321">
        <f>443407283+355243457</f>
        <v>798650740</v>
      </c>
      <c r="E37" s="322">
        <v>198743483</v>
      </c>
      <c r="H37" s="256"/>
      <c r="I37" s="262"/>
      <c r="J37" s="256"/>
      <c r="K37" s="262"/>
    </row>
    <row r="38" spans="2:11" ht="15.9" customHeight="1">
      <c r="B38" s="320"/>
      <c r="C38" s="329"/>
      <c r="D38" s="321"/>
      <c r="E38" s="322"/>
      <c r="H38" s="256"/>
      <c r="I38" s="262"/>
    </row>
    <row r="39" spans="2:11" ht="9.75" customHeight="1">
      <c r="B39" s="496" t="s">
        <v>821</v>
      </c>
      <c r="C39" s="329"/>
      <c r="D39" s="318">
        <f>SUM(D40:D42)</f>
        <v>1206903448</v>
      </c>
      <c r="E39" s="319">
        <v>984254211</v>
      </c>
      <c r="H39" s="330"/>
      <c r="I39" s="262"/>
    </row>
    <row r="40" spans="2:11" ht="9.75" customHeight="1">
      <c r="B40" s="320" t="s">
        <v>194</v>
      </c>
      <c r="C40" s="329"/>
      <c r="D40" s="321">
        <v>869572122</v>
      </c>
      <c r="E40" s="322">
        <v>597671553</v>
      </c>
    </row>
    <row r="41" spans="2:11" ht="9.75" customHeight="1">
      <c r="B41" s="320" t="s">
        <v>195</v>
      </c>
      <c r="C41" s="329"/>
      <c r="D41" s="321">
        <v>289850313</v>
      </c>
      <c r="E41" s="322">
        <v>386582658</v>
      </c>
    </row>
    <row r="42" spans="2:11" ht="9.75" customHeight="1">
      <c r="B42" s="320" t="s">
        <v>656</v>
      </c>
      <c r="C42" s="329"/>
      <c r="D42" s="321">
        <v>47481013</v>
      </c>
      <c r="E42" s="493"/>
      <c r="H42" s="257"/>
    </row>
    <row r="43" spans="2:11" ht="9.75" customHeight="1">
      <c r="B43" s="324" t="s">
        <v>196</v>
      </c>
      <c r="C43" s="325"/>
      <c r="D43" s="358">
        <f>+D12+D26+D27+D34-D39+D28+D29</f>
        <v>13942845718</v>
      </c>
      <c r="E43" s="429">
        <v>7624735849</v>
      </c>
    </row>
    <row r="44" spans="2:11" ht="9.75" customHeight="1">
      <c r="B44" s="320"/>
      <c r="C44" s="329"/>
      <c r="D44" s="321"/>
      <c r="E44" s="317"/>
      <c r="F44" s="265"/>
      <c r="H44" s="262"/>
      <c r="I44" s="269"/>
    </row>
    <row r="45" spans="2:11" ht="9.75" customHeight="1">
      <c r="B45" s="495" t="s">
        <v>819</v>
      </c>
      <c r="C45" s="315"/>
      <c r="D45" s="318">
        <f>SUM(D46:D48)</f>
        <v>1139957399</v>
      </c>
      <c r="E45" s="356">
        <v>7728345</v>
      </c>
      <c r="F45" s="262"/>
    </row>
    <row r="46" spans="2:11" ht="9.75" customHeight="1">
      <c r="B46" s="323" t="s">
        <v>198</v>
      </c>
      <c r="C46" s="315"/>
      <c r="D46" s="321">
        <v>550493093</v>
      </c>
      <c r="E46" s="317">
        <v>7728345</v>
      </c>
      <c r="F46" s="262"/>
    </row>
    <row r="47" spans="2:11" ht="9.75" customHeight="1">
      <c r="B47" s="323" t="s">
        <v>199</v>
      </c>
      <c r="C47" s="315"/>
      <c r="D47" s="321">
        <v>0</v>
      </c>
      <c r="E47" s="317">
        <v>0</v>
      </c>
      <c r="F47" s="262"/>
    </row>
    <row r="48" spans="2:11" ht="9.75" customHeight="1">
      <c r="B48" s="323" t="s">
        <v>200</v>
      </c>
      <c r="C48" s="315"/>
      <c r="D48" s="321">
        <v>589464306</v>
      </c>
      <c r="E48" s="317">
        <v>0</v>
      </c>
      <c r="F48" s="262"/>
    </row>
    <row r="49" spans="2:6" ht="9.75" customHeight="1">
      <c r="B49" s="323"/>
      <c r="C49" s="329"/>
      <c r="D49" s="321"/>
      <c r="E49" s="317"/>
      <c r="F49" s="262"/>
    </row>
    <row r="50" spans="2:6" ht="9" customHeight="1">
      <c r="B50" s="495" t="s">
        <v>820</v>
      </c>
      <c r="C50" s="329"/>
      <c r="D50" s="318">
        <f>SUM(D51:D71)</f>
        <v>5347206832</v>
      </c>
      <c r="E50" s="356">
        <v>3577348252</v>
      </c>
      <c r="F50" s="265"/>
    </row>
    <row r="51" spans="2:6" ht="9.75" customHeight="1">
      <c r="B51" s="323" t="s">
        <v>202</v>
      </c>
      <c r="C51" s="329"/>
      <c r="D51" s="321">
        <v>1642245506</v>
      </c>
      <c r="E51" s="317">
        <v>1388915877</v>
      </c>
      <c r="F51" s="265"/>
    </row>
    <row r="52" spans="2:6" ht="9.75" customHeight="1">
      <c r="B52" s="323" t="s">
        <v>203</v>
      </c>
      <c r="C52" s="329"/>
      <c r="D52" s="321">
        <v>277895011</v>
      </c>
      <c r="E52" s="317">
        <v>229171120</v>
      </c>
      <c r="F52" s="265"/>
    </row>
    <row r="53" spans="2:6" ht="9.75" customHeight="1">
      <c r="B53" s="323" t="s">
        <v>706</v>
      </c>
      <c r="C53" s="329"/>
      <c r="D53" s="321">
        <v>8363889</v>
      </c>
      <c r="E53" s="317">
        <v>1648730</v>
      </c>
      <c r="F53" s="265"/>
    </row>
    <row r="54" spans="2:6" ht="9.75" customHeight="1">
      <c r="B54" s="323" t="s">
        <v>205</v>
      </c>
      <c r="C54" s="329"/>
      <c r="D54" s="321">
        <v>6007503</v>
      </c>
      <c r="E54" s="317">
        <v>6359236</v>
      </c>
      <c r="F54" s="265"/>
    </row>
    <row r="55" spans="2:6" ht="9.75" customHeight="1">
      <c r="B55" s="323" t="s">
        <v>206</v>
      </c>
      <c r="C55" s="329"/>
      <c r="D55" s="321">
        <v>0</v>
      </c>
      <c r="E55" s="317">
        <v>0</v>
      </c>
      <c r="F55" s="265"/>
    </row>
    <row r="56" spans="2:6" ht="9.75" customHeight="1">
      <c r="B56" s="323" t="s">
        <v>207</v>
      </c>
      <c r="C56" s="329"/>
      <c r="D56" s="321">
        <v>0</v>
      </c>
      <c r="E56" s="317">
        <v>0</v>
      </c>
      <c r="F56" s="265"/>
    </row>
    <row r="57" spans="2:6" ht="9.75" customHeight="1">
      <c r="B57" s="323" t="s">
        <v>707</v>
      </c>
      <c r="C57" s="329"/>
      <c r="D57" s="321">
        <v>37043587</v>
      </c>
      <c r="E57" s="317">
        <v>33362978</v>
      </c>
      <c r="F57" s="265"/>
    </row>
    <row r="58" spans="2:6" ht="9.75" customHeight="1">
      <c r="B58" s="323" t="s">
        <v>209</v>
      </c>
      <c r="C58" s="329"/>
      <c r="D58" s="321">
        <v>0</v>
      </c>
      <c r="E58" s="317">
        <v>0</v>
      </c>
      <c r="F58" s="265"/>
    </row>
    <row r="59" spans="2:6" ht="9.75" customHeight="1">
      <c r="B59" s="323" t="s">
        <v>210</v>
      </c>
      <c r="C59" s="329"/>
      <c r="D59" s="321">
        <v>1342000</v>
      </c>
      <c r="E59" s="317">
        <v>0</v>
      </c>
      <c r="F59" s="265"/>
    </row>
    <row r="60" spans="2:6" ht="9.75" customHeight="1">
      <c r="B60" s="323" t="s">
        <v>211</v>
      </c>
      <c r="C60" s="329"/>
      <c r="D60" s="321">
        <v>21096545</v>
      </c>
      <c r="E60" s="317">
        <v>28696029</v>
      </c>
      <c r="F60" s="265"/>
    </row>
    <row r="61" spans="2:6" ht="9.75" customHeight="1">
      <c r="B61" s="323" t="s">
        <v>212</v>
      </c>
      <c r="C61" s="329"/>
      <c r="D61" s="321">
        <f>380637513+13544395+93807813</f>
        <v>487989721</v>
      </c>
      <c r="E61" s="317">
        <v>45267585</v>
      </c>
      <c r="F61" s="265"/>
    </row>
    <row r="62" spans="2:6" ht="9.75" customHeight="1">
      <c r="B62" s="323" t="s">
        <v>213</v>
      </c>
      <c r="C62" s="329"/>
      <c r="D62" s="321">
        <f>92389443+65825110+32546701+100560469+1123723+22968042+61820312+63636+21276729+200307035+984342+14621019+13462995+16093106+8999+1</f>
        <v>644051662</v>
      </c>
      <c r="E62" s="317">
        <v>361499758</v>
      </c>
      <c r="F62" s="265"/>
    </row>
    <row r="63" spans="2:6">
      <c r="B63" s="323" t="s">
        <v>214</v>
      </c>
      <c r="C63" s="329"/>
      <c r="D63" s="321">
        <v>403740238</v>
      </c>
      <c r="E63" s="317">
        <v>55575817</v>
      </c>
      <c r="F63" s="265"/>
    </row>
    <row r="64" spans="2:6">
      <c r="B64" s="323" t="s">
        <v>215</v>
      </c>
      <c r="C64" s="329"/>
      <c r="D64" s="321">
        <v>889566592</v>
      </c>
      <c r="E64" s="317">
        <v>544818181</v>
      </c>
      <c r="F64" s="265"/>
    </row>
    <row r="65" spans="2:8">
      <c r="B65" s="323" t="s">
        <v>216</v>
      </c>
      <c r="C65" s="329"/>
      <c r="D65" s="321">
        <v>547757674</v>
      </c>
      <c r="E65" s="317">
        <v>476980295</v>
      </c>
      <c r="F65" s="265"/>
    </row>
    <row r="66" spans="2:8">
      <c r="B66" s="323" t="s">
        <v>217</v>
      </c>
      <c r="C66" s="329"/>
      <c r="D66" s="321">
        <v>9415454</v>
      </c>
      <c r="E66" s="317">
        <v>863636</v>
      </c>
      <c r="F66" s="265"/>
    </row>
    <row r="67" spans="2:8" ht="9.75" customHeight="1">
      <c r="B67" s="323" t="s">
        <v>218</v>
      </c>
      <c r="C67" s="329"/>
      <c r="D67" s="321">
        <v>370691450</v>
      </c>
      <c r="E67" s="317">
        <v>404189010</v>
      </c>
      <c r="F67" s="265"/>
    </row>
    <row r="68" spans="2:8" ht="9.75" customHeight="1">
      <c r="B68" s="323" t="s">
        <v>219</v>
      </c>
      <c r="C68" s="329"/>
      <c r="D68" s="321">
        <v>0</v>
      </c>
      <c r="E68" s="317"/>
      <c r="F68" s="270"/>
    </row>
    <row r="69" spans="2:8" ht="9.75" customHeight="1">
      <c r="B69" s="323" t="s">
        <v>220</v>
      </c>
      <c r="C69" s="329"/>
      <c r="D69" s="321">
        <v>0</v>
      </c>
      <c r="E69" s="317">
        <v>0</v>
      </c>
      <c r="F69" s="270"/>
    </row>
    <row r="70" spans="2:8" ht="9.75" customHeight="1">
      <c r="B70" s="323" t="s">
        <v>221</v>
      </c>
      <c r="C70" s="329"/>
      <c r="D70" s="321">
        <v>0</v>
      </c>
      <c r="E70" s="317">
        <v>0</v>
      </c>
      <c r="F70" s="270"/>
    </row>
    <row r="71" spans="2:8" ht="9.75" customHeight="1">
      <c r="B71" s="327" t="s">
        <v>222</v>
      </c>
      <c r="C71" s="328"/>
      <c r="D71" s="321">
        <v>0</v>
      </c>
      <c r="E71" s="317">
        <v>0</v>
      </c>
    </row>
    <row r="72" spans="2:8" ht="9.75" customHeight="1">
      <c r="B72" s="324" t="s">
        <v>223</v>
      </c>
      <c r="C72" s="325"/>
      <c r="D72" s="358">
        <f>+D43-D45-D50</f>
        <v>7455681487</v>
      </c>
      <c r="E72" s="429">
        <v>4039659252</v>
      </c>
    </row>
    <row r="73" spans="2:8" ht="9.75" customHeight="1">
      <c r="B73" s="323"/>
      <c r="C73" s="329"/>
      <c r="D73" s="321"/>
      <c r="E73" s="356"/>
    </row>
    <row r="74" spans="2:8" ht="9.75" customHeight="1">
      <c r="B74" s="495" t="s">
        <v>824</v>
      </c>
      <c r="C74" s="315"/>
      <c r="D74" s="318">
        <v>0</v>
      </c>
      <c r="E74" s="356">
        <v>0</v>
      </c>
    </row>
    <row r="75" spans="2:8" ht="9.75" customHeight="1">
      <c r="B75" s="323" t="s">
        <v>224</v>
      </c>
      <c r="C75" s="315"/>
      <c r="D75" s="318">
        <v>0</v>
      </c>
      <c r="E75" s="356">
        <v>848212666</v>
      </c>
    </row>
    <row r="76" spans="2:8" ht="9.75" customHeight="1">
      <c r="B76" s="323" t="s">
        <v>225</v>
      </c>
      <c r="C76" s="315"/>
      <c r="D76" s="318">
        <v>0</v>
      </c>
      <c r="E76" s="317">
        <v>0</v>
      </c>
    </row>
    <row r="77" spans="2:8" ht="9.75" customHeight="1">
      <c r="B77" s="326"/>
      <c r="C77" s="329"/>
      <c r="D77" s="321"/>
      <c r="E77" s="356"/>
    </row>
    <row r="78" spans="2:8" ht="9.75" customHeight="1">
      <c r="B78" s="495" t="s">
        <v>823</v>
      </c>
      <c r="C78" s="329"/>
      <c r="D78" s="318">
        <f>+D80+D83</f>
        <v>828777980</v>
      </c>
      <c r="E78" s="356">
        <v>1943991334</v>
      </c>
      <c r="F78" s="271"/>
      <c r="G78" s="272"/>
      <c r="H78" s="272"/>
    </row>
    <row r="79" spans="2:8" ht="9.75" customHeight="1">
      <c r="B79" s="326"/>
      <c r="C79" s="329"/>
      <c r="D79" s="318"/>
      <c r="E79" s="356"/>
    </row>
    <row r="80" spans="2:8" ht="9.75" customHeight="1">
      <c r="B80" s="326" t="s">
        <v>226</v>
      </c>
      <c r="C80" s="329"/>
      <c r="D80" s="318">
        <f>SUM(D81:D82)</f>
        <v>3162484022</v>
      </c>
      <c r="E80" s="356">
        <v>2845501861</v>
      </c>
      <c r="F80" s="262"/>
    </row>
    <row r="81" spans="2:6" ht="9.75" customHeight="1">
      <c r="B81" s="323" t="s">
        <v>227</v>
      </c>
      <c r="C81" s="329"/>
      <c r="D81" s="321">
        <v>160132404</v>
      </c>
      <c r="E81" s="317">
        <v>1062238869</v>
      </c>
      <c r="F81" s="262"/>
    </row>
    <row r="82" spans="2:6" ht="9.75" customHeight="1">
      <c r="B82" s="323" t="s">
        <v>228</v>
      </c>
      <c r="C82" s="329"/>
      <c r="D82" s="321">
        <v>3002351618</v>
      </c>
      <c r="E82" s="317">
        <v>1783262992</v>
      </c>
      <c r="F82" s="262"/>
    </row>
    <row r="83" spans="2:6" ht="9.75" customHeight="1">
      <c r="B83" s="326" t="s">
        <v>229</v>
      </c>
      <c r="C83" s="329"/>
      <c r="D83" s="318">
        <f>SUM(D84:D85)*-1</f>
        <v>-2333706042</v>
      </c>
      <c r="E83" s="356">
        <v>-901510527</v>
      </c>
    </row>
    <row r="84" spans="2:6" ht="9.75" customHeight="1">
      <c r="B84" s="323" t="s">
        <v>230</v>
      </c>
      <c r="C84" s="329"/>
      <c r="D84" s="321">
        <f>1189983782+1</f>
        <v>1189983783</v>
      </c>
      <c r="E84" s="317">
        <v>484504018</v>
      </c>
    </row>
    <row r="85" spans="2:6" ht="9.75" customHeight="1">
      <c r="B85" s="323" t="s">
        <v>228</v>
      </c>
      <c r="C85" s="329"/>
      <c r="D85" s="321">
        <v>1143722259</v>
      </c>
      <c r="E85" s="317">
        <v>417006509</v>
      </c>
    </row>
    <row r="86" spans="2:6" ht="9.75" customHeight="1">
      <c r="B86" s="323"/>
      <c r="C86" s="329"/>
      <c r="D86" s="321"/>
      <c r="E86" s="356"/>
    </row>
    <row r="87" spans="2:6" ht="9.75" customHeight="1">
      <c r="B87" s="496" t="s">
        <v>827</v>
      </c>
      <c r="C87" s="315"/>
      <c r="D87" s="318">
        <f>+D88-D89</f>
        <v>0</v>
      </c>
      <c r="E87" s="317">
        <v>0</v>
      </c>
    </row>
    <row r="88" spans="2:6" ht="9.75" customHeight="1">
      <c r="B88" s="320" t="s">
        <v>231</v>
      </c>
      <c r="C88" s="329"/>
      <c r="D88" s="321">
        <v>0</v>
      </c>
      <c r="E88" s="317">
        <v>0</v>
      </c>
    </row>
    <row r="89" spans="2:6">
      <c r="B89" s="320" t="s">
        <v>232</v>
      </c>
      <c r="C89" s="329"/>
      <c r="D89" s="321">
        <v>0</v>
      </c>
      <c r="E89" s="317">
        <v>0</v>
      </c>
      <c r="F89" s="262"/>
    </row>
    <row r="90" spans="2:6">
      <c r="B90" s="320"/>
      <c r="C90" s="329"/>
      <c r="D90" s="321"/>
      <c r="E90" s="356"/>
    </row>
    <row r="91" spans="2:6">
      <c r="B91" s="314" t="s">
        <v>233</v>
      </c>
      <c r="C91" s="315"/>
      <c r="D91" s="318">
        <v>0</v>
      </c>
      <c r="E91" s="356">
        <v>0</v>
      </c>
    </row>
    <row r="92" spans="2:6">
      <c r="B92" s="320" t="s">
        <v>234</v>
      </c>
      <c r="C92" s="329"/>
      <c r="D92" s="321">
        <v>0</v>
      </c>
      <c r="E92" s="317">
        <v>0</v>
      </c>
      <c r="F92" s="262"/>
    </row>
    <row r="93" spans="2:6" ht="11.1" customHeight="1">
      <c r="B93" s="320" t="s">
        <v>235</v>
      </c>
      <c r="C93" s="329"/>
      <c r="D93" s="321"/>
      <c r="E93" s="317"/>
      <c r="F93" s="265"/>
    </row>
    <row r="94" spans="2:6" ht="9.75" customHeight="1">
      <c r="B94" s="320"/>
      <c r="C94" s="329"/>
      <c r="D94" s="321"/>
      <c r="E94" s="317"/>
    </row>
    <row r="95" spans="2:6" ht="9.75" customHeight="1">
      <c r="B95" s="324" t="s">
        <v>236</v>
      </c>
      <c r="C95" s="325"/>
      <c r="D95" s="358">
        <f>+D72+D78+D87+D91</f>
        <v>8284459467</v>
      </c>
      <c r="E95" s="429">
        <v>6831863252</v>
      </c>
    </row>
    <row r="96" spans="2:6">
      <c r="B96" s="320"/>
      <c r="C96" s="329"/>
      <c r="D96" s="321"/>
      <c r="E96" s="317"/>
    </row>
    <row r="97" spans="2:7" ht="9.75" customHeight="1">
      <c r="B97" s="314" t="s">
        <v>237</v>
      </c>
      <c r="C97" s="315"/>
      <c r="D97" s="321">
        <v>0</v>
      </c>
      <c r="E97" s="317">
        <v>0</v>
      </c>
    </row>
    <row r="98" spans="2:7">
      <c r="B98" s="355" t="s">
        <v>114</v>
      </c>
      <c r="C98" s="328"/>
      <c r="D98" s="321">
        <v>0</v>
      </c>
      <c r="E98" s="317">
        <v>0</v>
      </c>
    </row>
    <row r="99" spans="2:7" ht="12.6" thickBot="1">
      <c r="B99" s="357" t="s">
        <v>238</v>
      </c>
      <c r="C99" s="359"/>
      <c r="D99" s="360">
        <f>+D95-D97-D98</f>
        <v>8284459467</v>
      </c>
      <c r="E99" s="430">
        <v>6831863252</v>
      </c>
      <c r="G99" s="208"/>
    </row>
    <row r="100" spans="2:7">
      <c r="B100" s="539" t="s">
        <v>832</v>
      </c>
      <c r="C100" s="539"/>
      <c r="D100" s="539"/>
      <c r="E100" s="539"/>
      <c r="G100" s="208"/>
    </row>
    <row r="101" spans="2:7">
      <c r="D101" s="330">
        <f>+D99-'Balance Gral. Resol. 30'!G75</f>
        <v>0</v>
      </c>
      <c r="E101" s="330">
        <f>+E99-'[3]Estado de Resultado Resol. 6'!$E$100</f>
        <v>0</v>
      </c>
    </row>
  </sheetData>
  <mergeCells count="7">
    <mergeCell ref="B100:E100"/>
    <mergeCell ref="B8:E9"/>
    <mergeCell ref="B4:E4"/>
    <mergeCell ref="B3:E3"/>
    <mergeCell ref="B5:E5"/>
    <mergeCell ref="B6:E6"/>
    <mergeCell ref="B7:E7"/>
  </mergeCells>
  <hyperlinks>
    <hyperlink ref="B11" location="'NOTA V INGRESOS OPERATIVOS'!A1" display="Ingresos Operativos - Nota v" xr:uid="{F1F46B8B-DBD3-4D7D-AC5B-51A19F2D5DDC}"/>
    <hyperlink ref="B45" location="'NOTA W OTROS GASTOS OPER'!A1" display="Gastos de Comercialización -Nota w" xr:uid="{D31CD157-2A5A-4E23-A9DC-2D66B5E5F30A}"/>
    <hyperlink ref="B39" location="'NOTA W OTROS GASTOS OPER'!A1" display="Gastos Operativos - Nota W" xr:uid="{B6AFB1EC-F044-4498-9020-E3DC8DB27DAD}"/>
    <hyperlink ref="B50" location="'NOTA W OTROS GASTOS OPER'!A1" display="Gastos de administración - Nota w" xr:uid="{D7A294A4-C4CA-406D-9705-B669D98CD8DF}"/>
    <hyperlink ref="B74" location="'NOTA X OTROS INGRESOS Y EGR'!A1" display="Otros ingresos y Egresos" xr:uid="{E7E44232-F5A4-4B43-B997-B131EA9B4A9A}"/>
    <hyperlink ref="B78" location="'NOTA Y RESULTADOS FINANC'!A1" display="Resultados financieros" xr:uid="{1A6E68A6-E804-46A2-8EC4-B023D228714E}"/>
    <hyperlink ref="B87" location="'NOTA Z RESULT EXTRA'!A1" display="Resultados  extraordinarias -Nota z" xr:uid="{6C4CAA80-EBC9-4527-8C17-454B9F0F191F}"/>
  </hyperlinks>
  <pageMargins left="0.25" right="0.25" top="0.75" bottom="0.75" header="0.3" footer="0.3"/>
  <pageSetup paperSize="9" scale="7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tabColor rgb="FF002060"/>
  </sheetPr>
  <dimension ref="C1:F58"/>
  <sheetViews>
    <sheetView showGridLines="0" zoomScale="120" zoomScaleNormal="120" workbookViewId="0">
      <selection activeCell="C16" sqref="C16"/>
    </sheetView>
  </sheetViews>
  <sheetFormatPr baseColWidth="10" defaultColWidth="11.44140625" defaultRowHeight="12"/>
  <cols>
    <col min="1" max="1" width="11.44140625" style="208"/>
    <col min="2" max="2" width="5.6640625" style="208" customWidth="1"/>
    <col min="3" max="3" width="70.33203125" style="208" customWidth="1"/>
    <col min="4" max="4" width="16.44140625" style="208" customWidth="1"/>
    <col min="5" max="5" width="19.109375" style="208" customWidth="1"/>
    <col min="6" max="6" width="14.33203125" style="208" bestFit="1" customWidth="1"/>
    <col min="7" max="16384" width="11.44140625" style="208"/>
  </cols>
  <sheetData>
    <row r="1" spans="3:6">
      <c r="C1" s="541"/>
      <c r="D1" s="541"/>
      <c r="E1" s="541"/>
    </row>
    <row r="2" spans="3:6" ht="35.25" customHeight="1">
      <c r="C2" s="541"/>
      <c r="D2" s="541"/>
      <c r="E2" s="541"/>
    </row>
    <row r="3" spans="3:6" ht="14.4">
      <c r="C3" s="559" t="s">
        <v>0</v>
      </c>
      <c r="D3" s="559"/>
      <c r="E3" s="559"/>
    </row>
    <row r="4" spans="3:6">
      <c r="C4" s="541" t="s">
        <v>239</v>
      </c>
      <c r="D4" s="541"/>
      <c r="E4" s="541"/>
    </row>
    <row r="5" spans="3:6" ht="19.5" customHeight="1">
      <c r="C5" s="536" t="s">
        <v>709</v>
      </c>
      <c r="D5" s="536"/>
      <c r="E5" s="536"/>
    </row>
    <row r="6" spans="3:6">
      <c r="C6" s="543" t="s">
        <v>31</v>
      </c>
      <c r="D6" s="543"/>
      <c r="E6" s="543"/>
    </row>
    <row r="7" spans="3:6" ht="38.25" customHeight="1">
      <c r="C7" s="331"/>
      <c r="D7" s="332" t="str">
        <f>+'Estado de Resultado Resol. 30'!D10</f>
        <v>PERIODO ACTUAL 30/09/ 2021</v>
      </c>
      <c r="E7" s="332" t="str">
        <f>+'Estado de Resultado Resol. 30'!E10</f>
        <v>PERIODO 30/09/2020</v>
      </c>
    </row>
    <row r="8" spans="3:6">
      <c r="C8" s="214" t="s">
        <v>240</v>
      </c>
      <c r="D8" s="333"/>
      <c r="E8" s="334"/>
    </row>
    <row r="9" spans="3:6" ht="12" customHeight="1">
      <c r="C9" s="224"/>
      <c r="D9" s="290"/>
      <c r="E9" s="335"/>
      <c r="F9" s="265"/>
    </row>
    <row r="10" spans="3:6">
      <c r="C10" s="224" t="s">
        <v>241</v>
      </c>
      <c r="D10" s="335">
        <f>+'[4]Flujo de Fondos Calculo'!$B$63</f>
        <v>14817517819</v>
      </c>
      <c r="E10" s="335">
        <v>-2265678687</v>
      </c>
      <c r="F10" s="265"/>
    </row>
    <row r="11" spans="3:6" ht="12.6" customHeight="1">
      <c r="C11" s="224" t="s">
        <v>242</v>
      </c>
      <c r="D11" s="335">
        <f>+'[4]Flujo de Fondos Calculo'!$B$66</f>
        <v>-1934511909</v>
      </c>
      <c r="E11" s="335">
        <v>-1388915877</v>
      </c>
    </row>
    <row r="12" spans="3:6">
      <c r="C12" s="224" t="s">
        <v>243</v>
      </c>
      <c r="D12" s="335">
        <f>+'[4]Flujo de Fondos Calculo'!$B$64+'[4]Flujo de Fondos Calculo'!$B$67</f>
        <v>-660699636</v>
      </c>
      <c r="E12" s="335">
        <v>9220943911</v>
      </c>
    </row>
    <row r="13" spans="3:6">
      <c r="C13" s="224"/>
      <c r="D13" s="335"/>
      <c r="E13" s="335"/>
    </row>
    <row r="14" spans="3:6">
      <c r="C14" s="336" t="s">
        <v>244</v>
      </c>
      <c r="D14" s="337"/>
      <c r="E14" s="337"/>
    </row>
    <row r="15" spans="3:6">
      <c r="C15" s="336" t="s">
        <v>245</v>
      </c>
      <c r="D15" s="338">
        <f>SUM(D10:D13)</f>
        <v>12222306274</v>
      </c>
      <c r="E15" s="338">
        <v>5566349347</v>
      </c>
    </row>
    <row r="16" spans="3:6">
      <c r="C16" s="339"/>
      <c r="D16" s="337"/>
      <c r="E16" s="337"/>
    </row>
    <row r="17" spans="3:5">
      <c r="C17" s="336" t="s">
        <v>246</v>
      </c>
      <c r="D17" s="337"/>
      <c r="E17" s="337"/>
    </row>
    <row r="18" spans="3:5">
      <c r="C18" s="339"/>
      <c r="D18" s="337"/>
      <c r="E18" s="337"/>
    </row>
    <row r="19" spans="3:5">
      <c r="C19" s="339" t="s">
        <v>247</v>
      </c>
      <c r="D19" s="337">
        <v>0</v>
      </c>
      <c r="E19" s="337">
        <v>0</v>
      </c>
    </row>
    <row r="20" spans="3:5">
      <c r="C20" s="339"/>
      <c r="D20" s="362">
        <f>SUM(D18:D19)</f>
        <v>0</v>
      </c>
      <c r="E20" s="338">
        <v>0</v>
      </c>
    </row>
    <row r="21" spans="3:5">
      <c r="C21" s="336" t="s">
        <v>248</v>
      </c>
      <c r="D21" s="337"/>
      <c r="E21" s="337"/>
    </row>
    <row r="22" spans="3:5">
      <c r="C22" s="339" t="s">
        <v>249</v>
      </c>
      <c r="D22" s="337">
        <v>0</v>
      </c>
      <c r="E22" s="337">
        <v>0</v>
      </c>
    </row>
    <row r="23" spans="3:5">
      <c r="C23" s="339"/>
      <c r="D23" s="337"/>
      <c r="E23" s="337"/>
    </row>
    <row r="24" spans="3:5">
      <c r="C24" s="336" t="s">
        <v>250</v>
      </c>
      <c r="D24" s="362">
        <f>D15+D20+D22</f>
        <v>12222306274</v>
      </c>
      <c r="E24" s="338">
        <v>5566349347</v>
      </c>
    </row>
    <row r="25" spans="3:5">
      <c r="C25" s="339"/>
      <c r="D25" s="337"/>
      <c r="E25" s="337"/>
    </row>
    <row r="26" spans="3:5">
      <c r="C26" s="339" t="s">
        <v>237</v>
      </c>
      <c r="D26" s="337">
        <f>+'[4]Flujo de Fondos Calculo'!$B$68</f>
        <v>-71022483</v>
      </c>
      <c r="E26" s="337">
        <v>-445976601</v>
      </c>
    </row>
    <row r="27" spans="3:5">
      <c r="C27" s="339"/>
      <c r="D27" s="337"/>
      <c r="E27" s="337"/>
    </row>
    <row r="28" spans="3:5">
      <c r="C28" s="336" t="s">
        <v>251</v>
      </c>
      <c r="D28" s="338">
        <f>+D24+D26</f>
        <v>12151283791</v>
      </c>
      <c r="E28" s="338">
        <v>5120372746</v>
      </c>
    </row>
    <row r="29" spans="3:5">
      <c r="C29" s="336"/>
      <c r="D29" s="340"/>
      <c r="E29" s="340"/>
    </row>
    <row r="30" spans="3:5">
      <c r="C30" s="336" t="s">
        <v>252</v>
      </c>
      <c r="D30" s="337"/>
      <c r="E30" s="337"/>
    </row>
    <row r="31" spans="3:5">
      <c r="C31" s="336"/>
      <c r="D31" s="337"/>
      <c r="E31" s="337"/>
    </row>
    <row r="32" spans="3:5">
      <c r="C32" s="339" t="s">
        <v>253</v>
      </c>
      <c r="D32" s="337">
        <f>+'[4]Flujo de Fondos Calculo'!$B$72</f>
        <v>-2572595000</v>
      </c>
      <c r="E32" s="337">
        <v>0</v>
      </c>
    </row>
    <row r="33" spans="3:5">
      <c r="C33" s="339" t="s">
        <v>254</v>
      </c>
      <c r="D33" s="337">
        <v>0</v>
      </c>
      <c r="E33" s="337">
        <v>0</v>
      </c>
    </row>
    <row r="34" spans="3:5">
      <c r="C34" s="339" t="s">
        <v>255</v>
      </c>
      <c r="D34" s="337">
        <v>0</v>
      </c>
      <c r="E34" s="337">
        <v>0</v>
      </c>
    </row>
    <row r="35" spans="3:5">
      <c r="C35" s="339" t="s">
        <v>256</v>
      </c>
      <c r="D35" s="337">
        <f>+'[4]Flujo de Fondos Calculo'!$B$73</f>
        <v>-1009192577</v>
      </c>
      <c r="E35" s="337">
        <v>-1004461285</v>
      </c>
    </row>
    <row r="36" spans="3:5">
      <c r="C36" s="339" t="s">
        <v>257</v>
      </c>
      <c r="D36" s="337">
        <f>+'[4]Flujo de Fondos Calculo'!$B$74</f>
        <v>-15758831249</v>
      </c>
      <c r="E36" s="337">
        <v>-14968895547</v>
      </c>
    </row>
    <row r="37" spans="3:5">
      <c r="C37" s="339" t="s">
        <v>258</v>
      </c>
      <c r="D37" s="337" t="s">
        <v>584</v>
      </c>
      <c r="E37" s="337">
        <v>911853869</v>
      </c>
    </row>
    <row r="38" spans="3:5">
      <c r="C38" s="339" t="s">
        <v>259</v>
      </c>
      <c r="D38" s="337" t="s">
        <v>584</v>
      </c>
      <c r="E38" s="337">
        <v>150385000</v>
      </c>
    </row>
    <row r="39" spans="3:5">
      <c r="C39" s="339"/>
      <c r="D39" s="337"/>
      <c r="E39" s="337"/>
    </row>
    <row r="40" spans="3:5">
      <c r="C40" s="336" t="s">
        <v>260</v>
      </c>
      <c r="D40" s="338">
        <f>SUM(D32:D38)</f>
        <v>-19340618826</v>
      </c>
      <c r="E40" s="338">
        <v>-14911117963</v>
      </c>
    </row>
    <row r="41" spans="3:5">
      <c r="C41" s="336"/>
      <c r="D41" s="340"/>
      <c r="E41" s="340"/>
    </row>
    <row r="42" spans="3:5">
      <c r="C42" s="336" t="s">
        <v>261</v>
      </c>
      <c r="D42" s="337"/>
      <c r="E42" s="337"/>
    </row>
    <row r="43" spans="3:5">
      <c r="C43" s="336"/>
      <c r="D43" s="337"/>
      <c r="E43" s="337"/>
    </row>
    <row r="44" spans="3:5">
      <c r="C44" s="339" t="s">
        <v>262</v>
      </c>
      <c r="D44" s="337" t="s">
        <v>584</v>
      </c>
      <c r="E44" s="337">
        <v>0</v>
      </c>
    </row>
    <row r="45" spans="3:5">
      <c r="C45" s="339" t="s">
        <v>263</v>
      </c>
      <c r="D45" s="337">
        <f>+'[4]Flujo de Fondos Calculo'!$B$84</f>
        <v>25189155271</v>
      </c>
      <c r="E45" s="337">
        <v>13153147570</v>
      </c>
    </row>
    <row r="46" spans="3:5">
      <c r="C46" s="339" t="s">
        <v>264</v>
      </c>
      <c r="D46" s="337">
        <f>+'[4]Flujo de Fondos Calculo'!$B$85</f>
        <v>-5434782609</v>
      </c>
      <c r="E46" s="337">
        <v>0</v>
      </c>
    </row>
    <row r="47" spans="3:5" ht="12.75" customHeight="1">
      <c r="C47" s="339" t="s">
        <v>230</v>
      </c>
      <c r="D47" s="337" t="s">
        <v>584</v>
      </c>
      <c r="E47" s="337">
        <v>0</v>
      </c>
    </row>
    <row r="48" spans="3:5" ht="12.75" customHeight="1">
      <c r="C48" s="339"/>
      <c r="D48" s="337"/>
      <c r="E48" s="337"/>
    </row>
    <row r="49" spans="3:6" ht="12.75" customHeight="1">
      <c r="C49" s="336" t="s">
        <v>265</v>
      </c>
      <c r="D49" s="338">
        <f>SUM(D44:D48)</f>
        <v>19754372662</v>
      </c>
      <c r="E49" s="338">
        <v>13153147570</v>
      </c>
    </row>
    <row r="50" spans="3:6">
      <c r="C50" s="339"/>
      <c r="D50" s="337"/>
      <c r="E50" s="337"/>
    </row>
    <row r="51" spans="3:6">
      <c r="C51" s="336" t="s">
        <v>266</v>
      </c>
      <c r="D51" s="337"/>
      <c r="E51" s="337"/>
    </row>
    <row r="52" spans="3:6">
      <c r="C52" s="336"/>
      <c r="D52" s="337"/>
      <c r="E52" s="337"/>
    </row>
    <row r="53" spans="3:6" ht="16.5" customHeight="1">
      <c r="C53" s="339" t="s">
        <v>267</v>
      </c>
      <c r="D53" s="340">
        <f>+D24+D26+D40+D49</f>
        <v>12565037627</v>
      </c>
      <c r="E53" s="340">
        <v>3362402353</v>
      </c>
      <c r="F53" s="268"/>
    </row>
    <row r="54" spans="3:6">
      <c r="C54" s="341" t="s">
        <v>268</v>
      </c>
      <c r="D54" s="342">
        <v>3899258412</v>
      </c>
      <c r="E54" s="342">
        <v>1671037663</v>
      </c>
    </row>
    <row r="55" spans="3:6" ht="12.6" thickBot="1">
      <c r="C55" s="343" t="s">
        <v>269</v>
      </c>
      <c r="D55" s="344">
        <f>D53+D54</f>
        <v>16464296039</v>
      </c>
      <c r="E55" s="344">
        <v>5033440016</v>
      </c>
    </row>
    <row r="56" spans="3:6" ht="12.6" thickTop="1">
      <c r="C56" s="542" t="s">
        <v>832</v>
      </c>
      <c r="D56" s="542"/>
      <c r="E56" s="542"/>
      <c r="F56" s="501"/>
    </row>
    <row r="57" spans="3:6" hidden="1">
      <c r="D57" s="330">
        <f>+D55-'Balance Gral. Resol. 30'!D14</f>
        <v>0</v>
      </c>
    </row>
    <row r="58" spans="3:6">
      <c r="D58" s="330">
        <f>+D55-'Balance Gral. Resol. 30'!D14</f>
        <v>0</v>
      </c>
      <c r="E58" s="330">
        <f>+E55-'[5]Balance Gral. Resol. 6'!$D$14</f>
        <v>0</v>
      </c>
    </row>
  </sheetData>
  <sheetProtection algorithmName="SHA-512" hashValue="rElJku8NE1SkQ0O6IoZbZcgU5eIbwI7nwFGtVEPwSlm0YS24JsSJQOTs/TZwk91iVduj/ZwlVfXok+YSA6QPRw==" saltValue="LSB4eoQcuEHQnJwE+p1k7w==" spinCount="100000" sheet="1" objects="1" scenarios="1"/>
  <mergeCells count="7">
    <mergeCell ref="C56:E56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tabColor rgb="FF002060"/>
  </sheetPr>
  <dimension ref="B1:K32"/>
  <sheetViews>
    <sheetView showGridLines="0" zoomScale="126" zoomScaleNormal="126" workbookViewId="0">
      <selection activeCell="F14" sqref="F14"/>
    </sheetView>
  </sheetViews>
  <sheetFormatPr baseColWidth="10" defaultColWidth="11.44140625" defaultRowHeight="12"/>
  <cols>
    <col min="1" max="1" width="5.33203125" style="25" customWidth="1"/>
    <col min="2" max="2" width="40.33203125" style="25" customWidth="1"/>
    <col min="3" max="8" width="15.6640625" style="39" customWidth="1"/>
    <col min="9" max="11" width="15.6640625" style="25" customWidth="1"/>
    <col min="12" max="16384" width="11.44140625" style="25"/>
  </cols>
  <sheetData>
    <row r="1" spans="2:11" ht="79.2" customHeight="1"/>
    <row r="2" spans="2:11" ht="15.6">
      <c r="B2" s="560" t="s">
        <v>0</v>
      </c>
      <c r="C2" s="560"/>
      <c r="D2" s="560"/>
      <c r="E2" s="560"/>
      <c r="F2" s="560"/>
      <c r="G2" s="560"/>
      <c r="H2" s="560"/>
      <c r="I2" s="560"/>
      <c r="J2" s="560"/>
      <c r="K2" s="560"/>
    </row>
    <row r="3" spans="2:11">
      <c r="B3" s="541" t="s">
        <v>270</v>
      </c>
      <c r="C3" s="541"/>
      <c r="D3" s="541"/>
      <c r="E3" s="541"/>
      <c r="F3" s="541"/>
      <c r="G3" s="541"/>
      <c r="H3" s="541"/>
      <c r="I3" s="541"/>
      <c r="J3" s="541"/>
      <c r="K3" s="541"/>
    </row>
    <row r="4" spans="2:11">
      <c r="B4" s="541" t="s">
        <v>710</v>
      </c>
      <c r="C4" s="541"/>
      <c r="D4" s="541"/>
      <c r="E4" s="541"/>
      <c r="F4" s="541"/>
      <c r="G4" s="541"/>
      <c r="H4" s="541"/>
      <c r="I4" s="541"/>
      <c r="J4" s="541"/>
      <c r="K4" s="541"/>
    </row>
    <row r="5" spans="2:11" ht="15" customHeight="1">
      <c r="B5" s="537" t="s">
        <v>31</v>
      </c>
      <c r="C5" s="537"/>
      <c r="D5" s="537"/>
      <c r="E5" s="537"/>
      <c r="F5" s="537"/>
      <c r="G5" s="537"/>
      <c r="H5" s="537"/>
      <c r="I5" s="537"/>
      <c r="J5" s="537"/>
      <c r="K5" s="537"/>
    </row>
    <row r="6" spans="2:11" ht="15" customHeight="1" thickBot="1">
      <c r="B6" s="253"/>
      <c r="C6" s="253"/>
      <c r="D6" s="25"/>
      <c r="E6" s="25"/>
      <c r="F6" s="25"/>
      <c r="G6" s="25"/>
      <c r="H6" s="25"/>
    </row>
    <row r="7" spans="2:11" s="273" customFormat="1" ht="13.5" customHeight="1" thickBot="1">
      <c r="B7" s="253"/>
      <c r="C7" s="545" t="s">
        <v>271</v>
      </c>
      <c r="D7" s="546"/>
      <c r="E7" s="545" t="s">
        <v>272</v>
      </c>
      <c r="F7" s="546"/>
      <c r="G7" s="547"/>
      <c r="H7" s="546" t="s">
        <v>273</v>
      </c>
      <c r="I7" s="548"/>
      <c r="J7" s="549" t="s">
        <v>274</v>
      </c>
      <c r="K7" s="547"/>
    </row>
    <row r="8" spans="2:11" s="273" customFormat="1" ht="24.6" thickBot="1">
      <c r="B8" s="274" t="s">
        <v>275</v>
      </c>
      <c r="C8" s="275" t="s">
        <v>276</v>
      </c>
      <c r="D8" s="276" t="s">
        <v>277</v>
      </c>
      <c r="E8" s="277" t="s">
        <v>278</v>
      </c>
      <c r="F8" s="278" t="s">
        <v>544</v>
      </c>
      <c r="G8" s="276" t="s">
        <v>279</v>
      </c>
      <c r="H8" s="277" t="s">
        <v>280</v>
      </c>
      <c r="I8" s="279" t="s">
        <v>281</v>
      </c>
      <c r="J8" s="388" t="str">
        <f>+'Estado de Resultado Resol. 30'!D10</f>
        <v>PERIODO ACTUAL 30/09/ 2021</v>
      </c>
      <c r="K8" s="389" t="str">
        <f>+'Estado de Resultado Resol. 30'!E10</f>
        <v>PERIODO 30/09/2020</v>
      </c>
    </row>
    <row r="9" spans="2:11" s="132" customFormat="1">
      <c r="B9" s="280"/>
      <c r="C9" s="281"/>
      <c r="D9" s="282"/>
      <c r="E9" s="281"/>
      <c r="F9" s="283"/>
      <c r="G9" s="282"/>
      <c r="H9" s="281"/>
      <c r="I9" s="282"/>
      <c r="J9" s="281"/>
      <c r="K9" s="282"/>
    </row>
    <row r="10" spans="2:11" s="132" customFormat="1" ht="24" customHeight="1">
      <c r="B10" s="280" t="s">
        <v>282</v>
      </c>
      <c r="C10" s="281">
        <f>+'Balance Gral. Resol. 30'!H63</f>
        <v>0</v>
      </c>
      <c r="D10" s="282">
        <f>+'Balance Gral. Resol. 30'!H62</f>
        <v>24288000001</v>
      </c>
      <c r="E10" s="281">
        <f>+'Balance Gral. Resol. 30'!H66</f>
        <v>1546573343</v>
      </c>
      <c r="F10" s="283">
        <f>+'Balance Gral. Resol. 30'!H69</f>
        <v>101000000</v>
      </c>
      <c r="G10" s="282">
        <f>+'Balance Gral. Resol. 30'!H68</f>
        <v>946670</v>
      </c>
      <c r="H10" s="284">
        <f>+'Balance Gral. Resol. 30'!H74</f>
        <v>0</v>
      </c>
      <c r="I10" s="282">
        <f>+'Balance Gral. Resol. 30'!H75</f>
        <v>8062247026</v>
      </c>
      <c r="J10" s="285">
        <f>SUM(C10:I10)</f>
        <v>33998767040</v>
      </c>
      <c r="K10" s="286">
        <v>26371191314</v>
      </c>
    </row>
    <row r="11" spans="2:11" s="132" customFormat="1" ht="24" customHeight="1">
      <c r="B11" s="280"/>
      <c r="C11" s="281"/>
      <c r="D11" s="282"/>
      <c r="E11" s="281"/>
      <c r="F11" s="283"/>
      <c r="G11" s="282"/>
      <c r="H11" s="284"/>
      <c r="I11" s="282"/>
      <c r="J11" s="285">
        <f>SUM(C11:I11)</f>
        <v>0</v>
      </c>
      <c r="K11" s="286">
        <v>0</v>
      </c>
    </row>
    <row r="12" spans="2:11" s="132" customFormat="1" ht="24" customHeight="1">
      <c r="B12" s="287" t="s">
        <v>283</v>
      </c>
      <c r="C12" s="281"/>
      <c r="D12" s="282"/>
      <c r="E12" s="281"/>
      <c r="F12" s="288"/>
      <c r="G12" s="289"/>
      <c r="H12" s="284"/>
      <c r="I12" s="282"/>
      <c r="J12" s="285">
        <f t="shared" ref="J12:J25" si="0">SUM(C12:I12)</f>
        <v>0</v>
      </c>
      <c r="K12" s="286">
        <v>0</v>
      </c>
    </row>
    <row r="13" spans="2:11" s="132" customFormat="1" ht="24" customHeight="1">
      <c r="B13" s="280"/>
      <c r="C13" s="281"/>
      <c r="D13" s="282"/>
      <c r="E13" s="281"/>
      <c r="F13" s="288"/>
      <c r="G13" s="289"/>
      <c r="H13" s="284"/>
      <c r="I13" s="282"/>
      <c r="J13" s="285">
        <f t="shared" si="0"/>
        <v>0</v>
      </c>
      <c r="K13" s="286">
        <v>0</v>
      </c>
    </row>
    <row r="14" spans="2:11" s="132" customFormat="1" ht="24" customHeight="1">
      <c r="B14" s="280" t="s">
        <v>284</v>
      </c>
      <c r="C14" s="281" t="s">
        <v>285</v>
      </c>
      <c r="D14" s="282" t="s">
        <v>285</v>
      </c>
      <c r="E14" s="284">
        <f>+E26-E10</f>
        <v>0</v>
      </c>
      <c r="F14" s="288">
        <v>0</v>
      </c>
      <c r="G14" s="289" t="s">
        <v>285</v>
      </c>
      <c r="H14" s="284" t="s">
        <v>285</v>
      </c>
      <c r="I14" s="282" t="s">
        <v>285</v>
      </c>
      <c r="J14" s="285">
        <f t="shared" si="0"/>
        <v>0</v>
      </c>
      <c r="K14" s="286">
        <v>0</v>
      </c>
    </row>
    <row r="15" spans="2:11" s="132" customFormat="1" ht="24" customHeight="1">
      <c r="B15" s="280"/>
      <c r="C15" s="281"/>
      <c r="D15" s="282"/>
      <c r="E15" s="284"/>
      <c r="F15" s="288"/>
      <c r="G15" s="289"/>
      <c r="H15" s="284"/>
      <c r="I15" s="282"/>
      <c r="J15" s="285">
        <f t="shared" si="0"/>
        <v>0</v>
      </c>
      <c r="K15" s="286">
        <v>0</v>
      </c>
    </row>
    <row r="16" spans="2:11" s="132" customFormat="1" ht="24" customHeight="1">
      <c r="B16" s="280" t="s">
        <v>286</v>
      </c>
      <c r="C16" s="281" t="s">
        <v>285</v>
      </c>
      <c r="D16" s="282" t="s">
        <v>285</v>
      </c>
      <c r="E16" s="284" t="s">
        <v>285</v>
      </c>
      <c r="F16" s="290">
        <v>0</v>
      </c>
      <c r="G16" s="289">
        <f>+G26-G10-G24</f>
        <v>0</v>
      </c>
      <c r="H16" s="284" t="s">
        <v>285</v>
      </c>
      <c r="I16" s="282" t="s">
        <v>285</v>
      </c>
      <c r="J16" s="285">
        <f t="shared" si="0"/>
        <v>0</v>
      </c>
      <c r="K16" s="286">
        <v>0</v>
      </c>
    </row>
    <row r="17" spans="2:11" s="132" customFormat="1" ht="24" customHeight="1">
      <c r="B17" s="280"/>
      <c r="C17" s="281"/>
      <c r="D17" s="282"/>
      <c r="E17" s="284"/>
      <c r="F17" s="288"/>
      <c r="G17" s="289"/>
      <c r="H17" s="284"/>
      <c r="I17" s="282"/>
      <c r="J17" s="285">
        <f t="shared" si="0"/>
        <v>0</v>
      </c>
      <c r="K17" s="286">
        <v>0</v>
      </c>
    </row>
    <row r="18" spans="2:11" s="132" customFormat="1" ht="24" customHeight="1">
      <c r="B18" s="280" t="s">
        <v>123</v>
      </c>
      <c r="C18" s="281" t="s">
        <v>285</v>
      </c>
      <c r="D18" s="282" t="s">
        <v>285</v>
      </c>
      <c r="E18" s="284" t="s">
        <v>285</v>
      </c>
      <c r="F18" s="290" t="s">
        <v>285</v>
      </c>
      <c r="G18" s="289" t="s">
        <v>285</v>
      </c>
      <c r="H18" s="284" t="s">
        <v>285</v>
      </c>
      <c r="I18" s="282" t="s">
        <v>285</v>
      </c>
      <c r="J18" s="285">
        <f t="shared" si="0"/>
        <v>0</v>
      </c>
      <c r="K18" s="286">
        <v>0</v>
      </c>
    </row>
    <row r="19" spans="2:11" s="132" customFormat="1" ht="24" customHeight="1">
      <c r="B19" s="280"/>
      <c r="C19" s="281"/>
      <c r="D19" s="282"/>
      <c r="E19" s="284"/>
      <c r="F19" s="290"/>
      <c r="G19" s="289"/>
      <c r="H19" s="284"/>
      <c r="I19" s="282"/>
      <c r="J19" s="285">
        <f t="shared" si="0"/>
        <v>0</v>
      </c>
      <c r="K19" s="286">
        <v>0</v>
      </c>
    </row>
    <row r="20" spans="2:11" s="132" customFormat="1" ht="24" customHeight="1">
      <c r="B20" s="280" t="s">
        <v>287</v>
      </c>
      <c r="C20" s="281">
        <v>0</v>
      </c>
      <c r="E20" s="284">
        <v>0</v>
      </c>
      <c r="F20" s="290" t="s">
        <v>285</v>
      </c>
      <c r="G20" s="289" t="s">
        <v>285</v>
      </c>
      <c r="H20" s="284" t="s">
        <v>285</v>
      </c>
      <c r="I20" s="282" t="s">
        <v>285</v>
      </c>
      <c r="J20" s="285">
        <f t="shared" si="0"/>
        <v>0</v>
      </c>
      <c r="K20" s="286">
        <v>23327999910</v>
      </c>
    </row>
    <row r="21" spans="2:11" s="132" customFormat="1" ht="24" customHeight="1">
      <c r="B21" s="280"/>
      <c r="C21" s="281"/>
      <c r="D21" s="282"/>
      <c r="E21" s="284"/>
      <c r="F21" s="290"/>
      <c r="G21" s="289"/>
      <c r="H21" s="284"/>
      <c r="I21" s="282"/>
      <c r="J21" s="285">
        <f t="shared" si="0"/>
        <v>0</v>
      </c>
      <c r="K21" s="286">
        <v>0</v>
      </c>
    </row>
    <row r="22" spans="2:11" s="132" customFormat="1" ht="24" customHeight="1">
      <c r="B22" s="280" t="s">
        <v>288</v>
      </c>
      <c r="C22" s="281" t="s">
        <v>285</v>
      </c>
      <c r="D22" s="282">
        <v>0</v>
      </c>
      <c r="E22" s="284" t="s">
        <v>285</v>
      </c>
      <c r="F22" s="290" t="s">
        <v>285</v>
      </c>
      <c r="G22" s="289" t="s">
        <v>285</v>
      </c>
      <c r="H22" s="284" t="s">
        <v>285</v>
      </c>
      <c r="I22" s="282">
        <v>-5434782609</v>
      </c>
      <c r="J22" s="285">
        <f t="shared" si="0"/>
        <v>-5434782609</v>
      </c>
      <c r="K22" s="282">
        <v>0</v>
      </c>
    </row>
    <row r="23" spans="2:11" s="132" customFormat="1" ht="24" customHeight="1">
      <c r="B23" s="280"/>
      <c r="C23" s="281"/>
      <c r="D23" s="282"/>
      <c r="E23" s="284"/>
      <c r="F23" s="288"/>
      <c r="G23" s="289"/>
      <c r="H23" s="284"/>
      <c r="I23" s="282"/>
      <c r="J23" s="285">
        <f t="shared" si="0"/>
        <v>0</v>
      </c>
      <c r="K23" s="286">
        <v>0</v>
      </c>
    </row>
    <row r="24" spans="2:11" s="132" customFormat="1" ht="24" customHeight="1">
      <c r="B24" s="280" t="s">
        <v>289</v>
      </c>
      <c r="C24" s="281">
        <v>0</v>
      </c>
      <c r="D24" s="282">
        <f>+D26-D27</f>
        <v>27008000001</v>
      </c>
      <c r="E24" s="284">
        <v>0</v>
      </c>
      <c r="F24" s="290">
        <f>-F27</f>
        <v>-101000000</v>
      </c>
      <c r="G24" s="289">
        <f>+G26-G10</f>
        <v>-946670</v>
      </c>
      <c r="H24" s="284">
        <f>+H26-H27</f>
        <v>9411087</v>
      </c>
      <c r="I24" s="282">
        <f>(+I27+I22)*-1</f>
        <v>-1397080643</v>
      </c>
      <c r="J24" s="285">
        <f t="shared" si="0"/>
        <v>25518383775</v>
      </c>
      <c r="K24" s="286">
        <v>-24187000001</v>
      </c>
    </row>
    <row r="25" spans="2:11" s="132" customFormat="1" ht="24" customHeight="1" thickBot="1">
      <c r="B25" s="280" t="s">
        <v>125</v>
      </c>
      <c r="C25" s="291" t="s">
        <v>285</v>
      </c>
      <c r="D25" s="292" t="s">
        <v>285</v>
      </c>
      <c r="E25" s="291" t="s">
        <v>285</v>
      </c>
      <c r="F25" s="293">
        <f>+F26</f>
        <v>49000000</v>
      </c>
      <c r="G25" s="292" t="s">
        <v>285</v>
      </c>
      <c r="H25" s="294"/>
      <c r="I25" s="292">
        <f>+I26</f>
        <v>8284459467</v>
      </c>
      <c r="J25" s="285">
        <f t="shared" si="0"/>
        <v>8333459467</v>
      </c>
      <c r="K25" s="295">
        <v>6831863252</v>
      </c>
    </row>
    <row r="26" spans="2:11" s="132" customFormat="1" ht="24" customHeight="1" thickBot="1">
      <c r="B26" s="296" t="s">
        <v>690</v>
      </c>
      <c r="C26" s="297">
        <f>+'Balance Gral. Resol. 30'!G63</f>
        <v>0</v>
      </c>
      <c r="D26" s="298">
        <f>+'Balance Gral. Resol. 30'!G62</f>
        <v>27008000001</v>
      </c>
      <c r="E26" s="299">
        <f>+'Balance Gral. Resol. 30'!G66</f>
        <v>1546573343</v>
      </c>
      <c r="F26" s="298">
        <f>+'Balance Gral. Resol. 30'!G69</f>
        <v>49000000</v>
      </c>
      <c r="G26" s="300">
        <f>+'Balance Gral. Resol. 30'!G68</f>
        <v>0</v>
      </c>
      <c r="H26" s="297">
        <f>+'Balance Gral. Resol. 30'!G74</f>
        <v>9411087</v>
      </c>
      <c r="I26" s="298">
        <f>+'Balance Gral. Resol. 30'!G75</f>
        <v>8284459467</v>
      </c>
      <c r="J26" s="301">
        <f>SUM(C26:I26)</f>
        <v>36897443898</v>
      </c>
      <c r="K26" s="302">
        <v>32344054475</v>
      </c>
    </row>
    <row r="27" spans="2:11" s="132" customFormat="1" ht="24" customHeight="1" thickBot="1">
      <c r="B27" s="303" t="s">
        <v>691</v>
      </c>
      <c r="C27" s="304">
        <v>24288000001</v>
      </c>
      <c r="D27" s="304">
        <v>0</v>
      </c>
      <c r="E27" s="304">
        <v>1122244552</v>
      </c>
      <c r="F27" s="304">
        <v>101000000</v>
      </c>
      <c r="G27" s="304">
        <v>946670</v>
      </c>
      <c r="H27" s="304">
        <v>0</v>
      </c>
      <c r="I27" s="304">
        <v>6831863252</v>
      </c>
      <c r="J27" s="305">
        <v>32344054475</v>
      </c>
      <c r="K27" s="306">
        <v>0</v>
      </c>
    </row>
    <row r="28" spans="2:11">
      <c r="B28" s="544" t="s">
        <v>832</v>
      </c>
      <c r="C28" s="544"/>
      <c r="D28" s="544"/>
      <c r="E28" s="544"/>
      <c r="F28" s="544"/>
      <c r="G28" s="544"/>
      <c r="H28" s="544"/>
      <c r="I28" s="544"/>
      <c r="J28" s="544"/>
      <c r="K28" s="544"/>
    </row>
    <row r="29" spans="2:11" hidden="1">
      <c r="D29" s="39">
        <f>SUM(D10:D25)</f>
        <v>51296000002</v>
      </c>
      <c r="E29" s="39">
        <f t="shared" ref="E29:J29" si="1">SUM(E10:E25)</f>
        <v>1546573343</v>
      </c>
      <c r="F29" s="39">
        <f t="shared" si="1"/>
        <v>49000000</v>
      </c>
      <c r="G29" s="39">
        <f t="shared" si="1"/>
        <v>0</v>
      </c>
      <c r="H29" s="39">
        <f t="shared" si="1"/>
        <v>9411087</v>
      </c>
      <c r="I29" s="39">
        <f t="shared" si="1"/>
        <v>9514843241</v>
      </c>
      <c r="J29" s="39">
        <f t="shared" si="1"/>
        <v>62415827673</v>
      </c>
      <c r="K29" s="55">
        <f>+J26-'Balance Gral. Resol. 30'!G77</f>
        <v>0</v>
      </c>
    </row>
    <row r="30" spans="2:11" hidden="1"/>
    <row r="31" spans="2:11" hidden="1">
      <c r="C31" s="55">
        <f t="shared" ref="C31:I31" si="2">+C29-C26</f>
        <v>0</v>
      </c>
      <c r="D31" s="55">
        <f t="shared" si="2"/>
        <v>24288000001</v>
      </c>
      <c r="E31" s="55">
        <f t="shared" si="2"/>
        <v>0</v>
      </c>
      <c r="F31" s="55">
        <f t="shared" si="2"/>
        <v>0</v>
      </c>
      <c r="G31" s="55">
        <f t="shared" si="2"/>
        <v>0</v>
      </c>
      <c r="H31" s="55">
        <f t="shared" si="2"/>
        <v>0</v>
      </c>
      <c r="I31" s="55">
        <f t="shared" si="2"/>
        <v>1230383774</v>
      </c>
      <c r="J31" s="55">
        <f>+J29-J26</f>
        <v>25518383775</v>
      </c>
    </row>
    <row r="32" spans="2:11">
      <c r="J32" s="55">
        <f>+J26-'Balance Gral. Resol. 30'!G77</f>
        <v>0</v>
      </c>
      <c r="K32" s="55">
        <f>+K26-'[5]Balance Gral. Resol. 6'!$G$70</f>
        <v>0</v>
      </c>
    </row>
  </sheetData>
  <sheetProtection algorithmName="SHA-512" hashValue="K88pWAge7RpvXsDFjh5wr9zHoV0SRWP+dgnTtewjqh/ccn954nyK7iHgW1EW5kgncfKP39O+aNAiQqywXGEWdg==" saltValue="GBlrvqUP7FpSkHWtiaFu8g==" spinCount="100000" sheet="1" objects="1" scenarios="1"/>
  <mergeCells count="9">
    <mergeCell ref="B28:K28"/>
    <mergeCell ref="B2:K2"/>
    <mergeCell ref="C7:D7"/>
    <mergeCell ref="E7:G7"/>
    <mergeCell ref="H7:I7"/>
    <mergeCell ref="J7:K7"/>
    <mergeCell ref="B3:K3"/>
    <mergeCell ref="B4:K4"/>
    <mergeCell ref="B5:K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B1:F57"/>
  <sheetViews>
    <sheetView showGridLines="0" zoomScale="143" workbookViewId="0">
      <selection activeCell="F1" sqref="F1"/>
    </sheetView>
  </sheetViews>
  <sheetFormatPr baseColWidth="10" defaultColWidth="9.109375" defaultRowHeight="12"/>
  <cols>
    <col min="1" max="1" width="5.77734375" style="25" customWidth="1"/>
    <col min="2" max="2" width="74.44140625" style="25" customWidth="1"/>
    <col min="3" max="255" width="11.44140625" style="25" customWidth="1"/>
    <col min="256" max="16384" width="9.109375" style="25"/>
  </cols>
  <sheetData>
    <row r="1" spans="2:4" ht="44.4" customHeight="1"/>
    <row r="2" spans="2:4" ht="15.6">
      <c r="B2" s="507" t="s">
        <v>290</v>
      </c>
    </row>
    <row r="3" spans="2:4">
      <c r="B3" s="198" t="s">
        <v>291</v>
      </c>
      <c r="C3" s="26"/>
      <c r="D3" s="26"/>
    </row>
    <row r="4" spans="2:4">
      <c r="B4" s="26"/>
    </row>
    <row r="5" spans="2:4" ht="36">
      <c r="B5" s="266" t="s">
        <v>834</v>
      </c>
    </row>
    <row r="6" spans="2:4">
      <c r="B6" s="28"/>
    </row>
    <row r="7" spans="2:4">
      <c r="B7" s="26" t="s">
        <v>292</v>
      </c>
      <c r="C7" s="26"/>
      <c r="D7" s="26"/>
    </row>
    <row r="8" spans="2:4">
      <c r="B8" s="28"/>
    </row>
    <row r="9" spans="2:4">
      <c r="B9" s="27" t="s">
        <v>580</v>
      </c>
    </row>
    <row r="10" spans="2:4">
      <c r="B10" s="27"/>
    </row>
    <row r="11" spans="2:4" ht="60">
      <c r="B11" s="27" t="s">
        <v>581</v>
      </c>
    </row>
    <row r="12" spans="2:4">
      <c r="B12" s="28"/>
    </row>
    <row r="13" spans="2:4" ht="36">
      <c r="B13" s="28" t="s">
        <v>293</v>
      </c>
    </row>
    <row r="14" spans="2:4">
      <c r="B14" s="28"/>
    </row>
    <row r="15" spans="2:4">
      <c r="B15" s="28" t="s">
        <v>294</v>
      </c>
      <c r="D15" s="28"/>
    </row>
    <row r="16" spans="2:4" ht="14.4" customHeight="1">
      <c r="B16" s="506"/>
    </row>
    <row r="17" spans="2:5" ht="24">
      <c r="B17" s="28" t="s">
        <v>295</v>
      </c>
    </row>
    <row r="18" spans="2:5">
      <c r="B18" s="28" t="s">
        <v>296</v>
      </c>
    </row>
    <row r="19" spans="2:5">
      <c r="B19" s="28" t="s">
        <v>297</v>
      </c>
    </row>
    <row r="20" spans="2:5">
      <c r="B20" s="28" t="s">
        <v>298</v>
      </c>
    </row>
    <row r="21" spans="2:5">
      <c r="B21" s="28" t="s">
        <v>299</v>
      </c>
    </row>
    <row r="22" spans="2:5" ht="24">
      <c r="B22" s="28" t="s">
        <v>300</v>
      </c>
    </row>
    <row r="23" spans="2:5" ht="24">
      <c r="B23" s="28" t="s">
        <v>301</v>
      </c>
    </row>
    <row r="24" spans="2:5" ht="24">
      <c r="B24" s="28" t="s">
        <v>302</v>
      </c>
    </row>
    <row r="25" spans="2:5" ht="36">
      <c r="B25" s="28" t="s">
        <v>303</v>
      </c>
    </row>
    <row r="26" spans="2:5">
      <c r="B26" s="27"/>
    </row>
    <row r="27" spans="2:5">
      <c r="B27" s="27" t="s">
        <v>582</v>
      </c>
    </row>
    <row r="28" spans="2:5">
      <c r="B28" s="267"/>
    </row>
    <row r="29" spans="2:5" ht="36">
      <c r="B29" s="28" t="s">
        <v>545</v>
      </c>
    </row>
    <row r="30" spans="2:5" ht="37.200000000000003" customHeight="1">
      <c r="B30" s="28" t="s">
        <v>892</v>
      </c>
      <c r="D30" s="39"/>
      <c r="E30" s="39"/>
    </row>
    <row r="31" spans="2:5" ht="46.8" customHeight="1">
      <c r="B31" s="28" t="s">
        <v>692</v>
      </c>
    </row>
    <row r="32" spans="2:5" ht="32.4" customHeight="1">
      <c r="B32" s="28" t="s">
        <v>688</v>
      </c>
    </row>
    <row r="33" spans="2:6" ht="24">
      <c r="B33" s="28" t="s">
        <v>546</v>
      </c>
    </row>
    <row r="34" spans="2:6">
      <c r="B34" s="28"/>
    </row>
    <row r="35" spans="2:6">
      <c r="B35" s="26" t="s">
        <v>304</v>
      </c>
      <c r="C35" s="26"/>
      <c r="D35" s="26"/>
    </row>
    <row r="36" spans="2:6">
      <c r="B36" s="28"/>
    </row>
    <row r="37" spans="2:6">
      <c r="B37" s="27" t="s">
        <v>305</v>
      </c>
    </row>
    <row r="38" spans="2:6" ht="24">
      <c r="B38" s="28" t="s">
        <v>893</v>
      </c>
    </row>
    <row r="39" spans="2:6">
      <c r="B39" s="28"/>
    </row>
    <row r="40" spans="2:6">
      <c r="B40" s="27" t="s">
        <v>306</v>
      </c>
    </row>
    <row r="41" spans="2:6" ht="14.4" customHeight="1">
      <c r="B41" s="28" t="s">
        <v>894</v>
      </c>
      <c r="C41" s="28"/>
      <c r="D41" s="28"/>
      <c r="E41" s="28"/>
      <c r="F41" s="28"/>
    </row>
    <row r="42" spans="2:6">
      <c r="B42" s="28"/>
    </row>
    <row r="43" spans="2:6">
      <c r="B43" s="27" t="s">
        <v>307</v>
      </c>
    </row>
    <row r="44" spans="2:6">
      <c r="B44" s="28" t="s">
        <v>308</v>
      </c>
    </row>
    <row r="45" spans="2:6">
      <c r="B45" s="27"/>
    </row>
    <row r="46" spans="2:6">
      <c r="B46" s="27" t="s">
        <v>583</v>
      </c>
    </row>
    <row r="47" spans="2:6">
      <c r="B47" s="28" t="s">
        <v>657</v>
      </c>
    </row>
    <row r="48" spans="2:6">
      <c r="B48" s="28" t="s">
        <v>309</v>
      </c>
    </row>
    <row r="49" spans="2:4">
      <c r="B49" s="28"/>
    </row>
    <row r="50" spans="2:4">
      <c r="B50" s="27" t="s">
        <v>310</v>
      </c>
    </row>
    <row r="51" spans="2:4" ht="36">
      <c r="B51" s="28" t="s">
        <v>311</v>
      </c>
    </row>
    <row r="52" spans="2:4">
      <c r="B52" s="28"/>
    </row>
    <row r="53" spans="2:4">
      <c r="B53" s="27" t="s">
        <v>312</v>
      </c>
    </row>
    <row r="54" spans="2:4" ht="24">
      <c r="B54" s="28" t="s">
        <v>313</v>
      </c>
    </row>
    <row r="55" spans="2:4">
      <c r="B55" s="26"/>
    </row>
    <row r="56" spans="2:4">
      <c r="B56" s="26" t="s">
        <v>314</v>
      </c>
      <c r="C56" s="26"/>
      <c r="D56" s="26"/>
    </row>
    <row r="57" spans="2:4">
      <c r="B57" s="84" t="s">
        <v>315</v>
      </c>
    </row>
  </sheetData>
  <sheetProtection algorithmName="SHA-512" hashValue="qxlQcP6iKrMsDZ0PBZ/mpkGZ+AHPX4TYnbvMiq3RToV2Nnts7KqGECcXXxW//BSHMzNk/q1n72GALj4++DFBmw==" saltValue="C7BLSkGPv805VerdCEiOV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tabColor rgb="FF002060"/>
  </sheetPr>
  <dimension ref="C1:L99"/>
  <sheetViews>
    <sheetView showGridLines="0" topLeftCell="B74" zoomScaleNormal="100" workbookViewId="0">
      <selection activeCell="C3" sqref="C3:K3"/>
    </sheetView>
  </sheetViews>
  <sheetFormatPr baseColWidth="10" defaultColWidth="11.44140625" defaultRowHeight="12"/>
  <cols>
    <col min="1" max="1" width="3" style="25" customWidth="1"/>
    <col min="2" max="2" width="5.77734375" style="25" customWidth="1"/>
    <col min="3" max="3" width="47.44140625" style="25" bestFit="1" customWidth="1"/>
    <col min="4" max="4" width="11.88671875" style="25" bestFit="1" customWidth="1"/>
    <col min="5" max="5" width="15.44140625" style="25" bestFit="1" customWidth="1"/>
    <col min="6" max="6" width="9.88671875" style="25" bestFit="1" customWidth="1"/>
    <col min="7" max="7" width="13.77734375" style="39" customWidth="1"/>
    <col min="8" max="8" width="13.109375" style="25" bestFit="1" customWidth="1"/>
    <col min="9" max="9" width="12.44140625" style="25" customWidth="1"/>
    <col min="10" max="10" width="13.88671875" style="25" bestFit="1" customWidth="1"/>
    <col min="11" max="11" width="14.33203125" style="25" bestFit="1" customWidth="1"/>
    <col min="12" max="12" width="14.109375" style="25" bestFit="1" customWidth="1"/>
    <col min="13" max="16384" width="11.44140625" style="25"/>
  </cols>
  <sheetData>
    <row r="1" spans="3:11">
      <c r="C1" s="24"/>
    </row>
    <row r="2" spans="3:11" ht="40.950000000000003" customHeight="1"/>
    <row r="3" spans="3:11" ht="26.4" customHeight="1">
      <c r="C3" s="560" t="s">
        <v>316</v>
      </c>
      <c r="D3" s="560"/>
      <c r="E3" s="560"/>
      <c r="F3" s="560"/>
      <c r="G3" s="560"/>
      <c r="H3" s="560"/>
      <c r="I3" s="560"/>
      <c r="J3" s="560"/>
      <c r="K3" s="560"/>
    </row>
    <row r="4" spans="3:11" ht="14.4">
      <c r="C4" s="471" t="s">
        <v>778</v>
      </c>
      <c r="D4" s="465"/>
      <c r="E4" s="465"/>
      <c r="F4" s="465"/>
      <c r="G4" s="465"/>
      <c r="H4" s="465"/>
      <c r="I4" s="465"/>
      <c r="J4" s="465"/>
      <c r="K4" s="465"/>
    </row>
    <row r="5" spans="3:11" ht="18.75" customHeight="1">
      <c r="C5" s="27" t="s">
        <v>561</v>
      </c>
    </row>
    <row r="6" spans="3:11">
      <c r="C6" s="28"/>
    </row>
    <row r="7" spans="3:11">
      <c r="C7" s="29" t="s">
        <v>317</v>
      </c>
      <c r="D7" s="30">
        <v>44469</v>
      </c>
      <c r="E7" s="30">
        <v>44196</v>
      </c>
    </row>
    <row r="8" spans="3:11">
      <c r="C8" s="31" t="s">
        <v>318</v>
      </c>
      <c r="D8" s="32">
        <v>6895.8</v>
      </c>
      <c r="E8" s="32">
        <v>6891.96</v>
      </c>
    </row>
    <row r="9" spans="3:11">
      <c r="C9" s="33" t="s">
        <v>319</v>
      </c>
      <c r="D9" s="32">
        <v>6918.66</v>
      </c>
      <c r="E9" s="32">
        <v>6941.65</v>
      </c>
    </row>
    <row r="11" spans="3:11">
      <c r="C11" s="27" t="s">
        <v>562</v>
      </c>
    </row>
    <row r="12" spans="3:11">
      <c r="C12" s="27"/>
    </row>
    <row r="13" spans="3:11" ht="12.6" thickBot="1">
      <c r="C13" s="34" t="s">
        <v>320</v>
      </c>
    </row>
    <row r="14" spans="3:11" ht="15" customHeight="1">
      <c r="D14" s="553" t="str">
        <f>+'Balance Gral. Resol. 30'!D8</f>
        <v>PERIODO ACTUAL 30/09/ 2021</v>
      </c>
      <c r="E14" s="554"/>
      <c r="F14" s="554"/>
      <c r="G14" s="555"/>
      <c r="H14" s="553" t="str">
        <f>+'Balance Gral. Resol. 30'!E8</f>
        <v>PERIODO ANT 31/12/ 2020</v>
      </c>
      <c r="I14" s="554"/>
      <c r="J14" s="554"/>
      <c r="K14" s="555"/>
    </row>
    <row r="15" spans="3:11" ht="15" customHeight="1" thickBot="1">
      <c r="D15" s="556"/>
      <c r="E15" s="557"/>
      <c r="F15" s="557"/>
      <c r="G15" s="558"/>
      <c r="H15" s="556"/>
      <c r="I15" s="557"/>
      <c r="J15" s="557"/>
      <c r="K15" s="558"/>
    </row>
    <row r="16" spans="3:11" ht="48">
      <c r="C16" s="29" t="s">
        <v>321</v>
      </c>
      <c r="D16" s="155" t="s">
        <v>322</v>
      </c>
      <c r="E16" s="155" t="s">
        <v>323</v>
      </c>
      <c r="F16" s="155" t="s">
        <v>713</v>
      </c>
      <c r="G16" s="436" t="s">
        <v>711</v>
      </c>
      <c r="H16" s="155" t="s">
        <v>322</v>
      </c>
      <c r="I16" s="155" t="s">
        <v>323</v>
      </c>
      <c r="J16" s="155" t="s">
        <v>714</v>
      </c>
      <c r="K16" s="155" t="s">
        <v>712</v>
      </c>
    </row>
    <row r="17" spans="3:12">
      <c r="C17" s="36" t="s">
        <v>32</v>
      </c>
      <c r="D17" s="37"/>
      <c r="E17" s="37"/>
      <c r="F17" s="37"/>
      <c r="G17" s="433"/>
      <c r="H17" s="37"/>
      <c r="I17" s="37"/>
      <c r="J17" s="37"/>
      <c r="K17" s="37"/>
    </row>
    <row r="18" spans="3:12">
      <c r="C18" s="36" t="s">
        <v>324</v>
      </c>
      <c r="D18" s="37"/>
      <c r="E18" s="37"/>
      <c r="F18" s="37"/>
      <c r="G18" s="433"/>
      <c r="H18" s="37"/>
      <c r="I18" s="37"/>
      <c r="J18" s="37"/>
      <c r="K18" s="37"/>
    </row>
    <row r="19" spans="3:12">
      <c r="C19" s="36" t="s">
        <v>325</v>
      </c>
      <c r="D19" s="37"/>
      <c r="E19" s="38"/>
      <c r="F19" s="37"/>
      <c r="G19" s="433"/>
      <c r="H19" s="37"/>
      <c r="I19" s="38"/>
      <c r="J19" s="37"/>
      <c r="K19" s="37"/>
      <c r="L19" s="39"/>
    </row>
    <row r="20" spans="3:12">
      <c r="C20" s="37" t="s">
        <v>39</v>
      </c>
      <c r="D20" s="40" t="s">
        <v>326</v>
      </c>
      <c r="E20" s="41">
        <v>0</v>
      </c>
      <c r="F20" s="42">
        <f>+D8</f>
        <v>6895.8</v>
      </c>
      <c r="G20" s="431">
        <f>+F20*E20</f>
        <v>0</v>
      </c>
      <c r="H20" s="40" t="s">
        <v>326</v>
      </c>
      <c r="I20" s="41">
        <v>0</v>
      </c>
      <c r="J20" s="42">
        <v>6891.96</v>
      </c>
      <c r="K20" s="431">
        <f>+I20*J20</f>
        <v>0</v>
      </c>
    </row>
    <row r="21" spans="3:12">
      <c r="C21" s="37" t="s">
        <v>42</v>
      </c>
      <c r="D21" s="40" t="s">
        <v>326</v>
      </c>
      <c r="E21" s="41">
        <f>686743.81+188.23+4385.73</f>
        <v>691317.77</v>
      </c>
      <c r="F21" s="42">
        <f>+F20</f>
        <v>6895.8</v>
      </c>
      <c r="G21" s="431">
        <f t="shared" ref="G21:G57" si="0">+F21*E21</f>
        <v>4767189078.3660002</v>
      </c>
      <c r="H21" s="40" t="s">
        <v>326</v>
      </c>
      <c r="I21" s="41">
        <v>450789.88</v>
      </c>
      <c r="J21" s="42">
        <v>6891.96</v>
      </c>
      <c r="K21" s="431">
        <f t="shared" ref="K21:K57" si="1">+I21*J21</f>
        <v>3106825821.3648</v>
      </c>
    </row>
    <row r="22" spans="3:12">
      <c r="C22" s="44" t="s">
        <v>576</v>
      </c>
      <c r="D22" s="45"/>
      <c r="E22" s="41"/>
      <c r="F22" s="42">
        <f t="shared" ref="F22:F57" si="2">+F21</f>
        <v>6895.8</v>
      </c>
      <c r="G22" s="431">
        <f t="shared" si="0"/>
        <v>0</v>
      </c>
      <c r="H22" s="45"/>
      <c r="I22" s="41"/>
      <c r="J22" s="42">
        <v>6891.96</v>
      </c>
      <c r="K22" s="431">
        <f t="shared" si="1"/>
        <v>0</v>
      </c>
    </row>
    <row r="23" spans="3:12">
      <c r="C23" s="45" t="s">
        <v>338</v>
      </c>
      <c r="D23" s="46" t="s">
        <v>326</v>
      </c>
      <c r="E23" s="41">
        <v>0</v>
      </c>
      <c r="F23" s="42">
        <f t="shared" si="2"/>
        <v>6895.8</v>
      </c>
      <c r="G23" s="431">
        <f t="shared" si="0"/>
        <v>0</v>
      </c>
      <c r="H23" s="46" t="s">
        <v>326</v>
      </c>
      <c r="I23" s="41">
        <v>0</v>
      </c>
      <c r="J23" s="42">
        <v>6891.96</v>
      </c>
      <c r="K23" s="431">
        <f t="shared" si="1"/>
        <v>0</v>
      </c>
    </row>
    <row r="24" spans="3:12">
      <c r="C24" s="45" t="s">
        <v>339</v>
      </c>
      <c r="D24" s="46" t="s">
        <v>326</v>
      </c>
      <c r="E24" s="41">
        <f>66000+10000</f>
        <v>76000</v>
      </c>
      <c r="F24" s="42">
        <f t="shared" si="2"/>
        <v>6895.8</v>
      </c>
      <c r="G24" s="431">
        <f t="shared" si="0"/>
        <v>524080800</v>
      </c>
      <c r="H24" s="46" t="s">
        <v>326</v>
      </c>
      <c r="I24" s="195">
        <f>100000+79000+1503000</f>
        <v>1682000</v>
      </c>
      <c r="J24" s="42">
        <v>6891.96</v>
      </c>
      <c r="K24" s="431">
        <f t="shared" si="1"/>
        <v>11592276720</v>
      </c>
    </row>
    <row r="25" spans="3:12">
      <c r="C25" s="45" t="s">
        <v>340</v>
      </c>
      <c r="D25" s="46" t="s">
        <v>326</v>
      </c>
      <c r="E25" s="41"/>
      <c r="F25" s="42">
        <f t="shared" si="2"/>
        <v>6895.8</v>
      </c>
      <c r="G25" s="431">
        <f t="shared" si="0"/>
        <v>0</v>
      </c>
      <c r="H25" s="46" t="s">
        <v>326</v>
      </c>
      <c r="I25" s="41"/>
      <c r="J25" s="42">
        <v>6891.96</v>
      </c>
      <c r="K25" s="431">
        <f t="shared" si="1"/>
        <v>0</v>
      </c>
    </row>
    <row r="26" spans="3:12">
      <c r="C26" s="37"/>
      <c r="D26" s="40"/>
      <c r="E26" s="41"/>
      <c r="F26" s="42">
        <f t="shared" si="2"/>
        <v>6895.8</v>
      </c>
      <c r="G26" s="431">
        <f t="shared" si="0"/>
        <v>0</v>
      </c>
      <c r="H26" s="40"/>
      <c r="I26" s="41"/>
      <c r="J26" s="42"/>
      <c r="K26" s="431">
        <f t="shared" si="1"/>
        <v>0</v>
      </c>
    </row>
    <row r="27" spans="3:12">
      <c r="C27" s="36" t="s">
        <v>98</v>
      </c>
      <c r="D27" s="37"/>
      <c r="E27" s="41"/>
      <c r="F27" s="42">
        <f t="shared" si="2"/>
        <v>6895.8</v>
      </c>
      <c r="G27" s="431">
        <f t="shared" si="0"/>
        <v>0</v>
      </c>
      <c r="H27" s="37"/>
      <c r="I27" s="41"/>
      <c r="J27" s="42">
        <v>6891.96</v>
      </c>
      <c r="K27" s="431">
        <f t="shared" si="1"/>
        <v>0</v>
      </c>
    </row>
    <row r="28" spans="3:12">
      <c r="C28" s="37" t="s">
        <v>55</v>
      </c>
      <c r="D28" s="40" t="s">
        <v>326</v>
      </c>
      <c r="E28" s="41">
        <f>373847316/F28</f>
        <v>54213.770120943183</v>
      </c>
      <c r="F28" s="42">
        <f t="shared" si="2"/>
        <v>6895.8</v>
      </c>
      <c r="G28" s="431">
        <f t="shared" si="0"/>
        <v>373847316</v>
      </c>
      <c r="H28" s="40" t="s">
        <v>326</v>
      </c>
      <c r="I28" s="41">
        <f>101236.8+317221</f>
        <v>418457.8</v>
      </c>
      <c r="J28" s="42">
        <v>6891.96</v>
      </c>
      <c r="K28" s="431">
        <f t="shared" si="1"/>
        <v>2883994419.2880001</v>
      </c>
    </row>
    <row r="29" spans="3:12">
      <c r="C29" s="37" t="s">
        <v>327</v>
      </c>
      <c r="D29" s="40" t="s">
        <v>326</v>
      </c>
      <c r="E29" s="41">
        <v>0</v>
      </c>
      <c r="F29" s="42">
        <f t="shared" si="2"/>
        <v>6895.8</v>
      </c>
      <c r="G29" s="431">
        <f t="shared" si="0"/>
        <v>0</v>
      </c>
      <c r="H29" s="40" t="s">
        <v>326</v>
      </c>
      <c r="I29" s="41">
        <v>0</v>
      </c>
      <c r="J29" s="42">
        <v>6891.96</v>
      </c>
      <c r="K29" s="431">
        <f t="shared" si="1"/>
        <v>0</v>
      </c>
    </row>
    <row r="30" spans="3:12">
      <c r="C30" s="37" t="s">
        <v>328</v>
      </c>
      <c r="D30" s="40" t="s">
        <v>326</v>
      </c>
      <c r="E30" s="41">
        <v>0</v>
      </c>
      <c r="F30" s="42">
        <f t="shared" si="2"/>
        <v>6895.8</v>
      </c>
      <c r="G30" s="431">
        <f t="shared" si="0"/>
        <v>0</v>
      </c>
      <c r="H30" s="40" t="s">
        <v>326</v>
      </c>
      <c r="I30" s="41">
        <v>0</v>
      </c>
      <c r="J30" s="42">
        <v>6891.96</v>
      </c>
      <c r="K30" s="431">
        <f t="shared" si="1"/>
        <v>0</v>
      </c>
    </row>
    <row r="31" spans="3:12">
      <c r="C31" s="37" t="s">
        <v>329</v>
      </c>
      <c r="D31" s="40" t="s">
        <v>326</v>
      </c>
      <c r="E31" s="41">
        <v>0</v>
      </c>
      <c r="F31" s="42">
        <f t="shared" si="2"/>
        <v>6895.8</v>
      </c>
      <c r="G31" s="431">
        <f t="shared" si="0"/>
        <v>0</v>
      </c>
      <c r="H31" s="40" t="s">
        <v>326</v>
      </c>
      <c r="I31" s="41">
        <v>0</v>
      </c>
      <c r="J31" s="42">
        <v>6891.96</v>
      </c>
      <c r="K31" s="431">
        <f t="shared" si="1"/>
        <v>0</v>
      </c>
    </row>
    <row r="32" spans="3:12">
      <c r="C32" s="37" t="s">
        <v>63</v>
      </c>
      <c r="D32" s="40" t="s">
        <v>326</v>
      </c>
      <c r="E32" s="41">
        <v>0</v>
      </c>
      <c r="F32" s="42">
        <f t="shared" si="2"/>
        <v>6895.8</v>
      </c>
      <c r="G32" s="431">
        <f t="shared" si="0"/>
        <v>0</v>
      </c>
      <c r="H32" s="40" t="s">
        <v>326</v>
      </c>
      <c r="I32" s="41">
        <v>0</v>
      </c>
      <c r="J32" s="42">
        <v>6891.96</v>
      </c>
      <c r="K32" s="431">
        <f t="shared" si="1"/>
        <v>0</v>
      </c>
    </row>
    <row r="33" spans="3:11">
      <c r="C33" s="37" t="s">
        <v>330</v>
      </c>
      <c r="D33" s="40" t="s">
        <v>326</v>
      </c>
      <c r="E33" s="41">
        <v>0</v>
      </c>
      <c r="F33" s="42">
        <f t="shared" si="2"/>
        <v>6895.8</v>
      </c>
      <c r="G33" s="431">
        <f t="shared" si="0"/>
        <v>0</v>
      </c>
      <c r="H33" s="40" t="s">
        <v>326</v>
      </c>
      <c r="I33" s="41">
        <v>0</v>
      </c>
      <c r="J33" s="42">
        <v>6891.96</v>
      </c>
      <c r="K33" s="431">
        <f t="shared" si="1"/>
        <v>0</v>
      </c>
    </row>
    <row r="34" spans="3:11">
      <c r="C34" s="36" t="s">
        <v>331</v>
      </c>
      <c r="D34" s="37"/>
      <c r="E34" s="41"/>
      <c r="F34" s="42">
        <f t="shared" si="2"/>
        <v>6895.8</v>
      </c>
      <c r="G34" s="431">
        <f t="shared" si="0"/>
        <v>0</v>
      </c>
      <c r="H34" s="37"/>
      <c r="I34" s="41"/>
      <c r="J34" s="42">
        <v>6891.96</v>
      </c>
      <c r="K34" s="431">
        <f t="shared" si="1"/>
        <v>0</v>
      </c>
    </row>
    <row r="35" spans="3:11">
      <c r="C35" s="37" t="s">
        <v>332</v>
      </c>
      <c r="D35" s="40" t="s">
        <v>326</v>
      </c>
      <c r="E35" s="41">
        <v>0</v>
      </c>
      <c r="F35" s="42">
        <f t="shared" si="2"/>
        <v>6895.8</v>
      </c>
      <c r="G35" s="431">
        <f t="shared" si="0"/>
        <v>0</v>
      </c>
      <c r="H35" s="40" t="s">
        <v>326</v>
      </c>
      <c r="I35" s="41">
        <v>0</v>
      </c>
      <c r="J35" s="42">
        <v>6891.96</v>
      </c>
      <c r="K35" s="431">
        <f t="shared" si="1"/>
        <v>0</v>
      </c>
    </row>
    <row r="36" spans="3:11">
      <c r="C36" s="37" t="s">
        <v>333</v>
      </c>
      <c r="D36" s="40" t="s">
        <v>326</v>
      </c>
      <c r="E36" s="41">
        <v>0</v>
      </c>
      <c r="F36" s="42">
        <f t="shared" si="2"/>
        <v>6895.8</v>
      </c>
      <c r="G36" s="431">
        <f t="shared" si="0"/>
        <v>0</v>
      </c>
      <c r="H36" s="40" t="s">
        <v>326</v>
      </c>
      <c r="I36" s="41">
        <v>0</v>
      </c>
      <c r="J36" s="42">
        <v>6891.96</v>
      </c>
      <c r="K36" s="431">
        <f t="shared" si="1"/>
        <v>0</v>
      </c>
    </row>
    <row r="37" spans="3:11">
      <c r="C37" s="36" t="s">
        <v>70</v>
      </c>
      <c r="D37" s="37"/>
      <c r="E37" s="41"/>
      <c r="F37" s="42">
        <f t="shared" si="2"/>
        <v>6895.8</v>
      </c>
      <c r="G37" s="431">
        <f t="shared" si="0"/>
        <v>0</v>
      </c>
      <c r="H37" s="37"/>
      <c r="I37" s="41"/>
      <c r="J37" s="42">
        <v>6891.96</v>
      </c>
      <c r="K37" s="431">
        <f t="shared" si="1"/>
        <v>0</v>
      </c>
    </row>
    <row r="38" spans="3:11">
      <c r="C38" s="37" t="s">
        <v>334</v>
      </c>
      <c r="D38" s="40" t="s">
        <v>326</v>
      </c>
      <c r="E38" s="41">
        <v>0</v>
      </c>
      <c r="F38" s="42">
        <f t="shared" si="2"/>
        <v>6895.8</v>
      </c>
      <c r="G38" s="431">
        <f t="shared" si="0"/>
        <v>0</v>
      </c>
      <c r="H38" s="40" t="s">
        <v>326</v>
      </c>
      <c r="I38" s="41">
        <v>0</v>
      </c>
      <c r="J38" s="42">
        <v>6891.96</v>
      </c>
      <c r="K38" s="431">
        <f t="shared" si="1"/>
        <v>0</v>
      </c>
    </row>
    <row r="39" spans="3:11">
      <c r="C39" s="37" t="s">
        <v>335</v>
      </c>
      <c r="D39" s="40" t="s">
        <v>326</v>
      </c>
      <c r="E39" s="41">
        <v>0</v>
      </c>
      <c r="F39" s="42">
        <f t="shared" si="2"/>
        <v>6895.8</v>
      </c>
      <c r="G39" s="431">
        <f t="shared" si="0"/>
        <v>0</v>
      </c>
      <c r="H39" s="40" t="s">
        <v>326</v>
      </c>
      <c r="I39" s="41">
        <v>0</v>
      </c>
      <c r="J39" s="42">
        <v>6891.96</v>
      </c>
      <c r="K39" s="431">
        <f t="shared" si="1"/>
        <v>0</v>
      </c>
    </row>
    <row r="40" spans="3:11">
      <c r="C40" s="43" t="s">
        <v>82</v>
      </c>
      <c r="D40" s="40"/>
      <c r="E40" s="41"/>
      <c r="F40" s="42">
        <f t="shared" si="2"/>
        <v>6895.8</v>
      </c>
      <c r="G40" s="431">
        <f t="shared" si="0"/>
        <v>0</v>
      </c>
      <c r="H40" s="40"/>
      <c r="I40" s="41"/>
      <c r="J40" s="42">
        <v>6891.96</v>
      </c>
      <c r="K40" s="431">
        <f t="shared" si="1"/>
        <v>0</v>
      </c>
    </row>
    <row r="41" spans="3:11">
      <c r="C41" s="44" t="s">
        <v>98</v>
      </c>
      <c r="D41" s="45"/>
      <c r="E41" s="41"/>
      <c r="F41" s="42">
        <f t="shared" si="2"/>
        <v>6895.8</v>
      </c>
      <c r="G41" s="431">
        <f t="shared" si="0"/>
        <v>0</v>
      </c>
      <c r="H41" s="45"/>
      <c r="I41" s="41"/>
      <c r="J41" s="42">
        <v>6891.96</v>
      </c>
      <c r="K41" s="431">
        <f t="shared" si="1"/>
        <v>0</v>
      </c>
    </row>
    <row r="42" spans="3:11" ht="14.25" customHeight="1">
      <c r="C42" s="45" t="s">
        <v>336</v>
      </c>
      <c r="D42" s="46" t="s">
        <v>326</v>
      </c>
      <c r="E42" s="41">
        <v>0</v>
      </c>
      <c r="F42" s="42">
        <f t="shared" si="2"/>
        <v>6895.8</v>
      </c>
      <c r="G42" s="431">
        <f t="shared" si="0"/>
        <v>0</v>
      </c>
      <c r="H42" s="46" t="s">
        <v>326</v>
      </c>
      <c r="I42" s="41">
        <v>0</v>
      </c>
      <c r="J42" s="42">
        <v>6891.96</v>
      </c>
      <c r="K42" s="431">
        <f t="shared" si="1"/>
        <v>0</v>
      </c>
    </row>
    <row r="43" spans="3:11">
      <c r="C43" s="44" t="s">
        <v>337</v>
      </c>
      <c r="D43" s="45"/>
      <c r="E43" s="41"/>
      <c r="F43" s="42">
        <f t="shared" si="2"/>
        <v>6895.8</v>
      </c>
      <c r="G43" s="431">
        <f t="shared" si="0"/>
        <v>0</v>
      </c>
      <c r="H43" s="45"/>
      <c r="I43" s="41"/>
      <c r="J43" s="42">
        <v>6891.96</v>
      </c>
      <c r="K43" s="431">
        <f t="shared" si="1"/>
        <v>0</v>
      </c>
    </row>
    <row r="44" spans="3:11">
      <c r="C44" s="45" t="s">
        <v>338</v>
      </c>
      <c r="D44" s="46" t="s">
        <v>326</v>
      </c>
      <c r="E44" s="41">
        <v>0</v>
      </c>
      <c r="F44" s="42">
        <f t="shared" si="2"/>
        <v>6895.8</v>
      </c>
      <c r="G44" s="431">
        <f t="shared" si="0"/>
        <v>0</v>
      </c>
      <c r="H44" s="46" t="s">
        <v>326</v>
      </c>
      <c r="I44" s="41">
        <v>0</v>
      </c>
      <c r="J44" s="42">
        <v>6891.96</v>
      </c>
      <c r="K44" s="431">
        <f t="shared" si="1"/>
        <v>0</v>
      </c>
    </row>
    <row r="45" spans="3:11">
      <c r="C45" s="45" t="s">
        <v>339</v>
      </c>
      <c r="D45" s="46" t="s">
        <v>326</v>
      </c>
      <c r="E45" s="41">
        <v>0</v>
      </c>
      <c r="F45" s="42">
        <f t="shared" si="2"/>
        <v>6895.8</v>
      </c>
      <c r="G45" s="431">
        <f t="shared" si="0"/>
        <v>0</v>
      </c>
      <c r="H45" s="46" t="s">
        <v>326</v>
      </c>
      <c r="I45" s="195">
        <v>0</v>
      </c>
      <c r="J45" s="42">
        <v>6891.96</v>
      </c>
      <c r="K45" s="431">
        <f t="shared" si="1"/>
        <v>0</v>
      </c>
    </row>
    <row r="46" spans="3:11">
      <c r="C46" s="45" t="s">
        <v>340</v>
      </c>
      <c r="D46" s="46" t="s">
        <v>326</v>
      </c>
      <c r="E46" s="41"/>
      <c r="F46" s="42">
        <f t="shared" si="2"/>
        <v>6895.8</v>
      </c>
      <c r="G46" s="431">
        <f t="shared" si="0"/>
        <v>0</v>
      </c>
      <c r="H46" s="46" t="s">
        <v>326</v>
      </c>
      <c r="I46" s="41"/>
      <c r="J46" s="42">
        <v>6891.96</v>
      </c>
      <c r="K46" s="431">
        <f t="shared" si="1"/>
        <v>0</v>
      </c>
    </row>
    <row r="47" spans="3:11">
      <c r="C47" s="44" t="s">
        <v>341</v>
      </c>
      <c r="D47" s="45"/>
      <c r="E47" s="41"/>
      <c r="F47" s="42">
        <f t="shared" si="2"/>
        <v>6895.8</v>
      </c>
      <c r="G47" s="431">
        <f t="shared" si="0"/>
        <v>0</v>
      </c>
      <c r="H47" s="45"/>
      <c r="I47" s="41"/>
      <c r="J47" s="42">
        <v>6891.96</v>
      </c>
      <c r="K47" s="431">
        <f t="shared" si="1"/>
        <v>0</v>
      </c>
    </row>
    <row r="48" spans="3:11">
      <c r="C48" s="45" t="s">
        <v>342</v>
      </c>
      <c r="D48" s="46" t="s">
        <v>326</v>
      </c>
      <c r="E48" s="41">
        <v>0</v>
      </c>
      <c r="F48" s="42">
        <f t="shared" si="2"/>
        <v>6895.8</v>
      </c>
      <c r="G48" s="431">
        <f t="shared" si="0"/>
        <v>0</v>
      </c>
      <c r="H48" s="46" t="s">
        <v>326</v>
      </c>
      <c r="I48" s="41">
        <v>0</v>
      </c>
      <c r="J48" s="42">
        <v>6891.96</v>
      </c>
      <c r="K48" s="431">
        <f t="shared" si="1"/>
        <v>0</v>
      </c>
    </row>
    <row r="49" spans="3:11">
      <c r="C49" s="45" t="s">
        <v>343</v>
      </c>
      <c r="D49" s="46" t="s">
        <v>326</v>
      </c>
      <c r="E49" s="41">
        <v>0</v>
      </c>
      <c r="F49" s="42">
        <f t="shared" si="2"/>
        <v>6895.8</v>
      </c>
      <c r="G49" s="431">
        <f t="shared" si="0"/>
        <v>0</v>
      </c>
      <c r="H49" s="46" t="s">
        <v>326</v>
      </c>
      <c r="I49" s="41">
        <v>0</v>
      </c>
      <c r="J49" s="42">
        <v>6891.96</v>
      </c>
      <c r="K49" s="431">
        <f t="shared" si="1"/>
        <v>0</v>
      </c>
    </row>
    <row r="50" spans="3:11">
      <c r="C50" s="44" t="s">
        <v>344</v>
      </c>
      <c r="D50" s="45"/>
      <c r="E50" s="41"/>
      <c r="F50" s="42">
        <f t="shared" si="2"/>
        <v>6895.8</v>
      </c>
      <c r="G50" s="431">
        <f t="shared" si="0"/>
        <v>0</v>
      </c>
      <c r="H50" s="45"/>
      <c r="I50" s="41"/>
      <c r="J50" s="42">
        <v>6891.96</v>
      </c>
      <c r="K50" s="431">
        <f t="shared" si="1"/>
        <v>0</v>
      </c>
    </row>
    <row r="51" spans="3:11">
      <c r="C51" s="45" t="s">
        <v>119</v>
      </c>
      <c r="D51" s="46" t="s">
        <v>326</v>
      </c>
      <c r="E51" s="41">
        <v>0</v>
      </c>
      <c r="F51" s="42">
        <f t="shared" si="2"/>
        <v>6895.8</v>
      </c>
      <c r="G51" s="431">
        <f t="shared" si="0"/>
        <v>0</v>
      </c>
      <c r="H51" s="46" t="s">
        <v>326</v>
      </c>
      <c r="I51" s="41">
        <v>0</v>
      </c>
      <c r="J51" s="42">
        <v>6891.96</v>
      </c>
      <c r="K51" s="431">
        <f t="shared" si="1"/>
        <v>0</v>
      </c>
    </row>
    <row r="52" spans="3:11">
      <c r="C52" s="45" t="s">
        <v>120</v>
      </c>
      <c r="D52" s="46" t="s">
        <v>326</v>
      </c>
      <c r="E52" s="41">
        <v>0</v>
      </c>
      <c r="F52" s="42">
        <f t="shared" si="2"/>
        <v>6895.8</v>
      </c>
      <c r="G52" s="431">
        <f t="shared" si="0"/>
        <v>0</v>
      </c>
      <c r="H52" s="46" t="s">
        <v>326</v>
      </c>
      <c r="I52" s="41">
        <v>0</v>
      </c>
      <c r="J52" s="42">
        <v>6891.96</v>
      </c>
      <c r="K52" s="431">
        <f t="shared" si="1"/>
        <v>0</v>
      </c>
    </row>
    <row r="53" spans="3:11">
      <c r="C53" s="45" t="s">
        <v>122</v>
      </c>
      <c r="D53" s="46" t="s">
        <v>326</v>
      </c>
      <c r="E53" s="41">
        <v>0</v>
      </c>
      <c r="F53" s="42">
        <f t="shared" si="2"/>
        <v>6895.8</v>
      </c>
      <c r="G53" s="431">
        <f t="shared" si="0"/>
        <v>0</v>
      </c>
      <c r="H53" s="46" t="s">
        <v>326</v>
      </c>
      <c r="I53" s="41">
        <v>0</v>
      </c>
      <c r="J53" s="42">
        <v>6891.96</v>
      </c>
      <c r="K53" s="431">
        <f t="shared" si="1"/>
        <v>0</v>
      </c>
    </row>
    <row r="54" spans="3:11">
      <c r="C54" s="45" t="s">
        <v>345</v>
      </c>
      <c r="D54" s="46" t="s">
        <v>326</v>
      </c>
      <c r="E54" s="41">
        <v>0</v>
      </c>
      <c r="F54" s="42">
        <f t="shared" si="2"/>
        <v>6895.8</v>
      </c>
      <c r="G54" s="431">
        <f t="shared" si="0"/>
        <v>0</v>
      </c>
      <c r="H54" s="46" t="s">
        <v>326</v>
      </c>
      <c r="I54" s="41">
        <v>0</v>
      </c>
      <c r="J54" s="42">
        <v>6891.96</v>
      </c>
      <c r="K54" s="431">
        <f t="shared" si="1"/>
        <v>0</v>
      </c>
    </row>
    <row r="55" spans="3:11">
      <c r="C55" s="45" t="s">
        <v>124</v>
      </c>
      <c r="D55" s="46" t="s">
        <v>326</v>
      </c>
      <c r="E55" s="41">
        <v>0</v>
      </c>
      <c r="F55" s="42">
        <f t="shared" si="2"/>
        <v>6895.8</v>
      </c>
      <c r="G55" s="431">
        <f t="shared" si="0"/>
        <v>0</v>
      </c>
      <c r="H55" s="46" t="s">
        <v>326</v>
      </c>
      <c r="I55" s="41">
        <v>0</v>
      </c>
      <c r="J55" s="42">
        <v>6891.96</v>
      </c>
      <c r="K55" s="431">
        <f t="shared" si="1"/>
        <v>0</v>
      </c>
    </row>
    <row r="56" spans="3:11">
      <c r="C56" s="43" t="s">
        <v>70</v>
      </c>
      <c r="D56" s="47"/>
      <c r="E56" s="41"/>
      <c r="F56" s="42">
        <f t="shared" si="2"/>
        <v>6895.8</v>
      </c>
      <c r="G56" s="431">
        <f t="shared" si="0"/>
        <v>0</v>
      </c>
      <c r="H56" s="47"/>
      <c r="I56" s="41"/>
      <c r="J56" s="42">
        <v>6891.96</v>
      </c>
      <c r="K56" s="431">
        <f t="shared" si="1"/>
        <v>0</v>
      </c>
    </row>
    <row r="57" spans="3:11">
      <c r="C57" s="45" t="s">
        <v>346</v>
      </c>
      <c r="D57" s="46" t="s">
        <v>326</v>
      </c>
      <c r="E57" s="41">
        <v>0</v>
      </c>
      <c r="F57" s="42">
        <f t="shared" si="2"/>
        <v>6895.8</v>
      </c>
      <c r="G57" s="431">
        <f t="shared" si="0"/>
        <v>0</v>
      </c>
      <c r="H57" s="46" t="s">
        <v>326</v>
      </c>
      <c r="I57" s="41">
        <v>0</v>
      </c>
      <c r="J57" s="42">
        <v>6891.96</v>
      </c>
      <c r="K57" s="431">
        <f t="shared" si="1"/>
        <v>0</v>
      </c>
    </row>
    <row r="60" spans="3:11" ht="48">
      <c r="C60" s="29" t="s">
        <v>321</v>
      </c>
      <c r="D60" s="35" t="s">
        <v>322</v>
      </c>
      <c r="E60" s="35" t="s">
        <v>323</v>
      </c>
      <c r="F60" s="35" t="str">
        <f>+F16</f>
        <v xml:space="preserve">CAMBIO CIERRE PERIODO ACTUAL </v>
      </c>
      <c r="G60" s="432" t="str">
        <f>+G16</f>
        <v>CAMBIO CIERRE PERIODO ACTUAL GUARANIES</v>
      </c>
      <c r="H60" s="35" t="s">
        <v>322</v>
      </c>
      <c r="I60" s="35" t="s">
        <v>323</v>
      </c>
      <c r="J60" s="35" t="str">
        <f>+J16</f>
        <v xml:space="preserve">CAMBIO CIERRE PERIODO ANTERIOR </v>
      </c>
      <c r="K60" s="35" t="str">
        <f>+K16</f>
        <v>CAMBIO CIERRE PERIODO ANTERIOR GUARANIES</v>
      </c>
    </row>
    <row r="61" spans="3:11">
      <c r="C61" s="43" t="s">
        <v>33</v>
      </c>
      <c r="D61" s="47"/>
      <c r="E61" s="47"/>
      <c r="F61" s="47"/>
      <c r="G61" s="434"/>
      <c r="H61" s="47"/>
      <c r="I61" s="47"/>
      <c r="J61" s="47"/>
      <c r="K61" s="47"/>
    </row>
    <row r="62" spans="3:11">
      <c r="C62" s="43" t="s">
        <v>36</v>
      </c>
      <c r="D62" s="47"/>
      <c r="E62" s="47"/>
      <c r="F62" s="47"/>
      <c r="G62" s="434"/>
      <c r="H62" s="47"/>
      <c r="I62" s="47"/>
      <c r="J62" s="47"/>
      <c r="K62" s="47"/>
    </row>
    <row r="63" spans="3:11">
      <c r="C63" s="36" t="s">
        <v>347</v>
      </c>
      <c r="D63" s="37"/>
      <c r="E63" s="38"/>
      <c r="F63" s="48"/>
      <c r="G63" s="431"/>
      <c r="H63" s="37"/>
      <c r="I63" s="38"/>
      <c r="J63" s="37"/>
      <c r="K63" s="37"/>
    </row>
    <row r="64" spans="3:11">
      <c r="C64" s="37" t="s">
        <v>348</v>
      </c>
      <c r="D64" s="40" t="s">
        <v>326</v>
      </c>
      <c r="E64" s="41">
        <f>(887253690/F64)+1973.39</f>
        <v>130214.07388965493</v>
      </c>
      <c r="F64" s="42">
        <f>+D9</f>
        <v>6918.66</v>
      </c>
      <c r="G64" s="431">
        <f t="shared" ref="G64:G86" si="3">+F64*E64</f>
        <v>900906904.45739996</v>
      </c>
      <c r="H64" s="40" t="s">
        <v>326</v>
      </c>
      <c r="I64" s="41">
        <v>0</v>
      </c>
      <c r="J64" s="42">
        <v>6941.65</v>
      </c>
      <c r="K64" s="431">
        <f t="shared" ref="K64:K86" si="4">+I64*J64</f>
        <v>0</v>
      </c>
    </row>
    <row r="65" spans="3:11">
      <c r="C65" s="37" t="s">
        <v>349</v>
      </c>
      <c r="D65" s="40" t="s">
        <v>326</v>
      </c>
      <c r="E65" s="41">
        <v>0</v>
      </c>
      <c r="F65" s="42">
        <f>+F64</f>
        <v>6918.66</v>
      </c>
      <c r="G65" s="431">
        <f t="shared" si="3"/>
        <v>0</v>
      </c>
      <c r="H65" s="40" t="s">
        <v>326</v>
      </c>
      <c r="I65" s="41">
        <v>223253.58</v>
      </c>
      <c r="J65" s="42">
        <v>6941.65</v>
      </c>
      <c r="K65" s="431">
        <f t="shared" si="4"/>
        <v>1549748213.6069999</v>
      </c>
    </row>
    <row r="66" spans="3:11">
      <c r="C66" s="37" t="s">
        <v>350</v>
      </c>
      <c r="D66" s="40" t="s">
        <v>326</v>
      </c>
      <c r="E66" s="41">
        <v>0</v>
      </c>
      <c r="F66" s="42">
        <f t="shared" ref="F66:F86" si="5">+F65</f>
        <v>6918.66</v>
      </c>
      <c r="G66" s="431">
        <f t="shared" si="3"/>
        <v>0</v>
      </c>
      <c r="H66" s="40" t="s">
        <v>326</v>
      </c>
      <c r="I66" s="41">
        <v>0</v>
      </c>
      <c r="J66" s="42">
        <v>6941.65</v>
      </c>
      <c r="K66" s="431">
        <f t="shared" si="4"/>
        <v>0</v>
      </c>
    </row>
    <row r="67" spans="3:11">
      <c r="C67" s="37" t="s">
        <v>351</v>
      </c>
      <c r="D67" s="40" t="s">
        <v>326</v>
      </c>
      <c r="E67" s="41">
        <v>0</v>
      </c>
      <c r="F67" s="42">
        <f t="shared" si="5"/>
        <v>6918.66</v>
      </c>
      <c r="G67" s="431">
        <f t="shared" si="3"/>
        <v>0</v>
      </c>
      <c r="H67" s="40" t="s">
        <v>326</v>
      </c>
      <c r="I67" s="41">
        <v>0</v>
      </c>
      <c r="J67" s="42">
        <v>6941.65</v>
      </c>
      <c r="K67" s="431">
        <f t="shared" si="4"/>
        <v>0</v>
      </c>
    </row>
    <row r="68" spans="3:11">
      <c r="C68" s="36" t="s">
        <v>86</v>
      </c>
      <c r="D68" s="37"/>
      <c r="E68" s="41"/>
      <c r="F68" s="42">
        <f t="shared" si="5"/>
        <v>6918.66</v>
      </c>
      <c r="G68" s="431">
        <f t="shared" si="3"/>
        <v>0</v>
      </c>
      <c r="H68" s="37"/>
      <c r="I68" s="41"/>
      <c r="J68" s="42">
        <v>6941.65</v>
      </c>
      <c r="K68" s="431">
        <f t="shared" si="4"/>
        <v>0</v>
      </c>
    </row>
    <row r="69" spans="3:11">
      <c r="C69" s="37" t="s">
        <v>352</v>
      </c>
      <c r="D69" s="40" t="s">
        <v>326</v>
      </c>
      <c r="E69" s="41">
        <v>0</v>
      </c>
      <c r="F69" s="42">
        <f t="shared" si="5"/>
        <v>6918.66</v>
      </c>
      <c r="G69" s="431">
        <f t="shared" si="3"/>
        <v>0</v>
      </c>
      <c r="H69" s="40" t="s">
        <v>326</v>
      </c>
      <c r="I69" s="41">
        <v>1340690.1499999999</v>
      </c>
      <c r="J69" s="42">
        <v>6941.65</v>
      </c>
      <c r="K69" s="431">
        <f t="shared" si="4"/>
        <v>9306601779.7474995</v>
      </c>
    </row>
    <row r="70" spans="3:11">
      <c r="C70" s="37" t="s">
        <v>353</v>
      </c>
      <c r="D70" s="40" t="s">
        <v>326</v>
      </c>
      <c r="E70" s="41">
        <v>0</v>
      </c>
      <c r="F70" s="42">
        <f t="shared" si="5"/>
        <v>6918.66</v>
      </c>
      <c r="G70" s="431">
        <f t="shared" si="3"/>
        <v>0</v>
      </c>
      <c r="H70" s="40" t="s">
        <v>326</v>
      </c>
      <c r="I70" s="41">
        <v>985.62</v>
      </c>
      <c r="J70" s="42">
        <v>6941.65</v>
      </c>
      <c r="K70" s="431">
        <f t="shared" si="4"/>
        <v>6841829.0729999999</v>
      </c>
    </row>
    <row r="71" spans="3:11">
      <c r="C71" s="37" t="s">
        <v>48</v>
      </c>
      <c r="D71" s="40" t="s">
        <v>326</v>
      </c>
      <c r="E71" s="41">
        <v>0</v>
      </c>
      <c r="F71" s="42">
        <f t="shared" si="5"/>
        <v>6918.66</v>
      </c>
      <c r="G71" s="431">
        <f t="shared" si="3"/>
        <v>0</v>
      </c>
      <c r="H71" s="40" t="s">
        <v>326</v>
      </c>
      <c r="I71" s="41">
        <v>0</v>
      </c>
      <c r="J71" s="42">
        <v>6941.65</v>
      </c>
      <c r="K71" s="431">
        <f t="shared" si="4"/>
        <v>0</v>
      </c>
    </row>
    <row r="72" spans="3:11">
      <c r="C72" s="36" t="s">
        <v>54</v>
      </c>
      <c r="D72" s="37"/>
      <c r="E72" s="41"/>
      <c r="F72" s="42">
        <f t="shared" si="5"/>
        <v>6918.66</v>
      </c>
      <c r="G72" s="431">
        <f t="shared" si="3"/>
        <v>0</v>
      </c>
      <c r="H72" s="37"/>
      <c r="I72" s="41"/>
      <c r="J72" s="42">
        <v>6941.65</v>
      </c>
      <c r="K72" s="431">
        <f t="shared" si="4"/>
        <v>0</v>
      </c>
    </row>
    <row r="73" spans="3:11">
      <c r="C73" s="37" t="s">
        <v>354</v>
      </c>
      <c r="D73" s="40" t="s">
        <v>326</v>
      </c>
      <c r="E73" s="41">
        <v>0</v>
      </c>
      <c r="F73" s="42">
        <f t="shared" si="5"/>
        <v>6918.66</v>
      </c>
      <c r="G73" s="431">
        <f t="shared" si="3"/>
        <v>0</v>
      </c>
      <c r="H73" s="40" t="s">
        <v>326</v>
      </c>
      <c r="I73" s="41">
        <v>0</v>
      </c>
      <c r="J73" s="42">
        <v>6941.65</v>
      </c>
      <c r="K73" s="431">
        <f t="shared" si="4"/>
        <v>0</v>
      </c>
    </row>
    <row r="74" spans="3:11">
      <c r="C74" s="37" t="s">
        <v>355</v>
      </c>
      <c r="D74" s="40" t="s">
        <v>326</v>
      </c>
      <c r="E74" s="41">
        <v>0</v>
      </c>
      <c r="F74" s="42">
        <f t="shared" si="5"/>
        <v>6918.66</v>
      </c>
      <c r="G74" s="431">
        <f t="shared" si="3"/>
        <v>0</v>
      </c>
      <c r="H74" s="40" t="s">
        <v>326</v>
      </c>
      <c r="I74" s="41">
        <v>0</v>
      </c>
      <c r="J74" s="42">
        <v>6941.65</v>
      </c>
      <c r="K74" s="431">
        <f t="shared" si="4"/>
        <v>0</v>
      </c>
    </row>
    <row r="75" spans="3:11">
      <c r="C75" s="37" t="s">
        <v>62</v>
      </c>
      <c r="D75" s="40" t="s">
        <v>326</v>
      </c>
      <c r="E75" s="41">
        <v>0</v>
      </c>
      <c r="F75" s="42">
        <f t="shared" si="5"/>
        <v>6918.66</v>
      </c>
      <c r="G75" s="431">
        <f t="shared" si="3"/>
        <v>0</v>
      </c>
      <c r="H75" s="40" t="s">
        <v>326</v>
      </c>
      <c r="I75" s="41">
        <v>0</v>
      </c>
      <c r="J75" s="42">
        <v>6941.65</v>
      </c>
      <c r="K75" s="431">
        <f t="shared" si="4"/>
        <v>0</v>
      </c>
    </row>
    <row r="76" spans="3:11">
      <c r="C76" s="37" t="s">
        <v>75</v>
      </c>
      <c r="D76" s="40" t="s">
        <v>326</v>
      </c>
      <c r="E76" s="41">
        <v>0</v>
      </c>
      <c r="F76" s="42">
        <f t="shared" si="5"/>
        <v>6918.66</v>
      </c>
      <c r="G76" s="431">
        <f t="shared" si="3"/>
        <v>0</v>
      </c>
      <c r="H76" s="40" t="s">
        <v>326</v>
      </c>
      <c r="I76" s="41">
        <v>0</v>
      </c>
      <c r="J76" s="42">
        <v>6941.65</v>
      </c>
      <c r="K76" s="431">
        <f t="shared" si="4"/>
        <v>0</v>
      </c>
    </row>
    <row r="77" spans="3:11">
      <c r="C77" s="37" t="s">
        <v>356</v>
      </c>
      <c r="D77" s="40" t="s">
        <v>326</v>
      </c>
      <c r="E77" s="41">
        <v>0</v>
      </c>
      <c r="F77" s="42">
        <f t="shared" si="5"/>
        <v>6918.66</v>
      </c>
      <c r="G77" s="431">
        <f t="shared" si="3"/>
        <v>0</v>
      </c>
      <c r="H77" s="40" t="s">
        <v>326</v>
      </c>
      <c r="I77" s="41">
        <v>0</v>
      </c>
      <c r="J77" s="42">
        <v>6941.65</v>
      </c>
      <c r="K77" s="431">
        <f t="shared" si="4"/>
        <v>0</v>
      </c>
    </row>
    <row r="78" spans="3:11">
      <c r="C78" s="43" t="s">
        <v>357</v>
      </c>
      <c r="D78" s="47"/>
      <c r="E78" s="41"/>
      <c r="F78" s="42">
        <f t="shared" si="5"/>
        <v>6918.66</v>
      </c>
      <c r="G78" s="431">
        <f t="shared" si="3"/>
        <v>0</v>
      </c>
      <c r="H78" s="47"/>
      <c r="I78" s="41"/>
      <c r="J78" s="42">
        <v>6941.65</v>
      </c>
      <c r="K78" s="431">
        <f t="shared" si="4"/>
        <v>0</v>
      </c>
    </row>
    <row r="79" spans="3:11">
      <c r="C79" s="36" t="s">
        <v>86</v>
      </c>
      <c r="D79" s="37"/>
      <c r="E79" s="41"/>
      <c r="F79" s="42">
        <f t="shared" si="5"/>
        <v>6918.66</v>
      </c>
      <c r="G79" s="431">
        <f t="shared" si="3"/>
        <v>0</v>
      </c>
      <c r="H79" s="37"/>
      <c r="I79" s="41"/>
      <c r="J79" s="42">
        <v>6941.65</v>
      </c>
      <c r="K79" s="431">
        <f t="shared" si="4"/>
        <v>0</v>
      </c>
    </row>
    <row r="80" spans="3:11">
      <c r="C80" s="37" t="s">
        <v>352</v>
      </c>
      <c r="D80" s="40" t="s">
        <v>326</v>
      </c>
      <c r="E80" s="41">
        <v>0</v>
      </c>
      <c r="F80" s="42">
        <f t="shared" si="5"/>
        <v>6918.66</v>
      </c>
      <c r="G80" s="431">
        <f t="shared" si="3"/>
        <v>0</v>
      </c>
      <c r="H80" s="40" t="s">
        <v>326</v>
      </c>
      <c r="I80" s="41">
        <v>0</v>
      </c>
      <c r="J80" s="42">
        <v>6941.65</v>
      </c>
      <c r="K80" s="431">
        <f t="shared" si="4"/>
        <v>0</v>
      </c>
    </row>
    <row r="81" spans="3:11">
      <c r="C81" s="37" t="s">
        <v>353</v>
      </c>
      <c r="D81" s="40" t="s">
        <v>326</v>
      </c>
      <c r="E81" s="41">
        <v>0</v>
      </c>
      <c r="F81" s="42">
        <f t="shared" si="5"/>
        <v>6918.66</v>
      </c>
      <c r="G81" s="431">
        <f t="shared" si="3"/>
        <v>0</v>
      </c>
      <c r="H81" s="40" t="s">
        <v>326</v>
      </c>
      <c r="I81" s="41">
        <v>0</v>
      </c>
      <c r="J81" s="42">
        <v>6941.65</v>
      </c>
      <c r="K81" s="431">
        <f t="shared" si="4"/>
        <v>0</v>
      </c>
    </row>
    <row r="82" spans="3:11">
      <c r="C82" s="36" t="s">
        <v>71</v>
      </c>
      <c r="D82" s="37"/>
      <c r="E82" s="41"/>
      <c r="F82" s="42">
        <f t="shared" si="5"/>
        <v>6918.66</v>
      </c>
      <c r="G82" s="431">
        <f t="shared" si="3"/>
        <v>0</v>
      </c>
      <c r="H82" s="37"/>
      <c r="I82" s="41"/>
      <c r="J82" s="42">
        <v>6941.65</v>
      </c>
      <c r="K82" s="431">
        <f t="shared" si="4"/>
        <v>0</v>
      </c>
    </row>
    <row r="83" spans="3:11">
      <c r="C83" s="37" t="s">
        <v>52</v>
      </c>
      <c r="D83" s="40" t="s">
        <v>326</v>
      </c>
      <c r="E83" s="41">
        <v>0</v>
      </c>
      <c r="F83" s="42">
        <f t="shared" si="5"/>
        <v>6918.66</v>
      </c>
      <c r="G83" s="431">
        <f t="shared" si="3"/>
        <v>0</v>
      </c>
      <c r="H83" s="40" t="s">
        <v>326</v>
      </c>
      <c r="I83" s="41">
        <v>0</v>
      </c>
      <c r="J83" s="42">
        <v>6941.65</v>
      </c>
      <c r="K83" s="431">
        <f t="shared" si="4"/>
        <v>0</v>
      </c>
    </row>
    <row r="84" spans="3:11">
      <c r="C84" s="37" t="s">
        <v>358</v>
      </c>
      <c r="D84" s="40" t="s">
        <v>326</v>
      </c>
      <c r="E84" s="41">
        <v>0</v>
      </c>
      <c r="F84" s="42">
        <f t="shared" si="5"/>
        <v>6918.66</v>
      </c>
      <c r="G84" s="431">
        <f t="shared" si="3"/>
        <v>0</v>
      </c>
      <c r="H84" s="40" t="s">
        <v>326</v>
      </c>
      <c r="I84" s="41">
        <v>0</v>
      </c>
      <c r="J84" s="42">
        <v>6941.65</v>
      </c>
      <c r="K84" s="431">
        <f t="shared" si="4"/>
        <v>0</v>
      </c>
    </row>
    <row r="85" spans="3:11">
      <c r="C85" s="37" t="s">
        <v>359</v>
      </c>
      <c r="D85" s="40" t="s">
        <v>326</v>
      </c>
      <c r="E85" s="41">
        <v>0</v>
      </c>
      <c r="F85" s="42">
        <f t="shared" si="5"/>
        <v>6918.66</v>
      </c>
      <c r="G85" s="431">
        <f t="shared" si="3"/>
        <v>0</v>
      </c>
      <c r="H85" s="40" t="s">
        <v>326</v>
      </c>
      <c r="I85" s="41">
        <v>0</v>
      </c>
      <c r="J85" s="42">
        <v>6941.65</v>
      </c>
      <c r="K85" s="431">
        <f t="shared" si="4"/>
        <v>0</v>
      </c>
    </row>
    <row r="86" spans="3:11">
      <c r="C86" s="37" t="s">
        <v>359</v>
      </c>
      <c r="D86" s="40" t="s">
        <v>326</v>
      </c>
      <c r="E86" s="41">
        <v>0</v>
      </c>
      <c r="F86" s="42">
        <f t="shared" si="5"/>
        <v>6918.66</v>
      </c>
      <c r="G86" s="431">
        <f t="shared" si="3"/>
        <v>0</v>
      </c>
      <c r="H86" s="40" t="s">
        <v>326</v>
      </c>
      <c r="I86" s="41">
        <v>0</v>
      </c>
      <c r="J86" s="42">
        <v>6463.95</v>
      </c>
      <c r="K86" s="431">
        <f t="shared" si="4"/>
        <v>0</v>
      </c>
    </row>
    <row r="89" spans="3:11">
      <c r="C89" s="27" t="s">
        <v>563</v>
      </c>
    </row>
    <row r="91" spans="3:11">
      <c r="C91" s="49"/>
      <c r="D91" s="551">
        <f>+D7</f>
        <v>44469</v>
      </c>
      <c r="E91" s="552"/>
      <c r="F91" s="551">
        <f>+E7</f>
        <v>44196</v>
      </c>
      <c r="G91" s="551"/>
      <c r="H91" s="552"/>
    </row>
    <row r="92" spans="3:11" ht="48">
      <c r="C92" s="35" t="s">
        <v>360</v>
      </c>
      <c r="D92" s="50" t="s">
        <v>361</v>
      </c>
      <c r="E92" s="50" t="s">
        <v>362</v>
      </c>
      <c r="F92" s="50" t="s">
        <v>363</v>
      </c>
      <c r="G92" s="435"/>
      <c r="H92" s="50" t="s">
        <v>364</v>
      </c>
    </row>
    <row r="93" spans="3:11" ht="25.5" customHeight="1">
      <c r="C93" s="51" t="s">
        <v>365</v>
      </c>
      <c r="D93" s="52">
        <f>+D8</f>
        <v>6895.8</v>
      </c>
      <c r="E93" s="53">
        <f>+'Estado de Resultado Resol. 30'!D82</f>
        <v>3002351618</v>
      </c>
      <c r="F93" s="54">
        <v>6793.79</v>
      </c>
      <c r="G93" s="53"/>
      <c r="H93" s="53">
        <v>1170347845</v>
      </c>
      <c r="I93" s="345"/>
      <c r="J93" s="55"/>
      <c r="K93" s="55"/>
    </row>
    <row r="94" spans="3:11" ht="25.5" customHeight="1">
      <c r="C94" s="51" t="s">
        <v>366</v>
      </c>
      <c r="D94" s="52">
        <f>+D9</f>
        <v>6918.66</v>
      </c>
      <c r="E94" s="53">
        <v>0</v>
      </c>
      <c r="F94" s="54">
        <v>6820.47</v>
      </c>
      <c r="G94" s="53"/>
      <c r="H94" s="53">
        <v>203725</v>
      </c>
      <c r="J94" s="115"/>
      <c r="K94" s="115"/>
    </row>
    <row r="95" spans="3:11" ht="25.5" customHeight="1">
      <c r="C95" s="51" t="s">
        <v>367</v>
      </c>
      <c r="D95" s="52">
        <f>+D93</f>
        <v>6895.8</v>
      </c>
      <c r="E95" s="53">
        <f>+'Estado de Resultado Resol. 30'!D85</f>
        <v>1143722259</v>
      </c>
      <c r="F95" s="54">
        <v>6793.79</v>
      </c>
      <c r="G95" s="53"/>
      <c r="H95" s="53">
        <v>334213015</v>
      </c>
    </row>
    <row r="96" spans="3:11" ht="25.5" customHeight="1">
      <c r="C96" s="51" t="s">
        <v>368</v>
      </c>
      <c r="D96" s="52">
        <f>+D94</f>
        <v>6918.66</v>
      </c>
      <c r="E96" s="53">
        <v>0</v>
      </c>
      <c r="F96" s="54">
        <v>6820.47</v>
      </c>
      <c r="G96" s="53"/>
      <c r="H96" s="53">
        <v>0</v>
      </c>
    </row>
    <row r="97" spans="3:8">
      <c r="C97" s="49" t="s">
        <v>369</v>
      </c>
      <c r="D97" s="56"/>
      <c r="E97" s="56">
        <f>+E93+E94-E95-E96</f>
        <v>1858629359</v>
      </c>
      <c r="F97" s="56"/>
      <c r="G97" s="118"/>
      <c r="H97" s="56">
        <v>836338555</v>
      </c>
    </row>
    <row r="98" spans="3:8">
      <c r="E98" s="346"/>
    </row>
    <row r="99" spans="3:8">
      <c r="E99" s="345"/>
    </row>
  </sheetData>
  <sheetProtection algorithmName="SHA-512" hashValue="idYwAO6K9d8lUSyDUDIVT2A30f9kvQ5EJFHY1waXY5WoBwq7h6z8qHiaOJT8cTluGv5azOJ1dRBTb6S/HpEH1g==" saltValue="X35YKu7sLdbaA404JImCkw==" spinCount="100000" sheet="1" objects="1" scenarios="1"/>
  <mergeCells count="5">
    <mergeCell ref="D91:E91"/>
    <mergeCell ref="F91:H91"/>
    <mergeCell ref="D14:G15"/>
    <mergeCell ref="H14:K15"/>
    <mergeCell ref="C3:K3"/>
  </mergeCells>
  <hyperlinks>
    <hyperlink ref="C4" location="'Balance Gral. Resol. 30'!A1" display="'Balance Gral. Resol. 30'!A1" xr:uid="{D1FD4BF8-E469-4741-8D07-F11B178F5B36}"/>
  </hyperlinks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>
    <tabColor rgb="FF002060"/>
  </sheetPr>
  <dimension ref="B1:I105"/>
  <sheetViews>
    <sheetView showGridLines="0" topLeftCell="A55" zoomScale="125" workbookViewId="0">
      <selection activeCell="B5" sqref="B5:D5"/>
    </sheetView>
  </sheetViews>
  <sheetFormatPr baseColWidth="10" defaultColWidth="11.44140625" defaultRowHeight="12"/>
  <cols>
    <col min="1" max="1" width="5.77734375" style="25" customWidth="1"/>
    <col min="2" max="2" width="47.6640625" style="25" customWidth="1"/>
    <col min="3" max="3" width="14.6640625" style="57" bestFit="1" customWidth="1"/>
    <col min="4" max="4" width="14.109375" style="57" bestFit="1" customWidth="1"/>
    <col min="5" max="5" width="23.6640625" style="25" customWidth="1"/>
    <col min="6" max="6" width="14.44140625" style="39" bestFit="1" customWidth="1"/>
    <col min="7" max="7" width="9.33203125" style="25" bestFit="1" customWidth="1"/>
    <col min="8" max="8" width="7" style="25" bestFit="1" customWidth="1"/>
    <col min="9" max="9" width="12.33203125" style="25" bestFit="1" customWidth="1"/>
    <col min="10" max="16384" width="11.44140625" style="25"/>
  </cols>
  <sheetData>
    <row r="1" spans="2:8" ht="14.4">
      <c r="B1" s="307"/>
    </row>
    <row r="5" spans="2:8" ht="15.6">
      <c r="B5" s="560" t="s">
        <v>738</v>
      </c>
      <c r="C5" s="560"/>
      <c r="D5" s="560"/>
    </row>
    <row r="6" spans="2:8">
      <c r="B6" s="543" t="s">
        <v>686</v>
      </c>
      <c r="C6" s="543"/>
      <c r="D6" s="543"/>
      <c r="F6" s="58"/>
      <c r="G6" s="59"/>
      <c r="H6" s="59"/>
    </row>
    <row r="7" spans="2:8" ht="14.4">
      <c r="B7" s="470" t="s">
        <v>778</v>
      </c>
      <c r="C7" s="201"/>
      <c r="D7" s="201"/>
      <c r="F7" s="58"/>
      <c r="G7" s="59"/>
      <c r="H7" s="59"/>
    </row>
    <row r="8" spans="2:8">
      <c r="B8" s="60" t="s">
        <v>370</v>
      </c>
      <c r="C8" s="61">
        <v>44469</v>
      </c>
      <c r="D8" s="62">
        <v>44196</v>
      </c>
      <c r="F8" s="58"/>
      <c r="G8" s="59"/>
      <c r="H8" s="59"/>
    </row>
    <row r="9" spans="2:8">
      <c r="B9" s="63" t="s">
        <v>716</v>
      </c>
      <c r="C9" s="64">
        <v>0</v>
      </c>
      <c r="D9" s="65">
        <v>0</v>
      </c>
      <c r="F9" s="58"/>
      <c r="G9" s="59"/>
      <c r="H9" s="59"/>
    </row>
    <row r="10" spans="2:8" ht="13.8">
      <c r="B10" s="66" t="s">
        <v>573</v>
      </c>
      <c r="C10" s="67">
        <v>34479000</v>
      </c>
      <c r="D10" s="68">
        <v>1102714</v>
      </c>
      <c r="F10" s="69"/>
      <c r="G10" s="59"/>
      <c r="H10" s="70"/>
    </row>
    <row r="11" spans="2:8" ht="13.8">
      <c r="B11" s="66" t="s">
        <v>731</v>
      </c>
      <c r="C11" s="67">
        <v>4000000</v>
      </c>
      <c r="D11" s="67">
        <v>15481370</v>
      </c>
      <c r="F11" s="69"/>
      <c r="G11" s="59"/>
      <c r="H11" s="70"/>
    </row>
    <row r="12" spans="2:8" ht="13.8">
      <c r="B12" s="66" t="s">
        <v>722</v>
      </c>
      <c r="C12" s="67">
        <v>3461485</v>
      </c>
      <c r="D12" s="67">
        <v>3460246</v>
      </c>
      <c r="F12" s="69"/>
      <c r="G12" s="59"/>
      <c r="H12" s="70"/>
    </row>
    <row r="13" spans="2:8" ht="13.8">
      <c r="B13" s="66" t="s">
        <v>730</v>
      </c>
      <c r="C13" s="67">
        <v>302221</v>
      </c>
      <c r="D13" s="67">
        <v>226225</v>
      </c>
      <c r="F13" s="69"/>
      <c r="G13" s="59"/>
      <c r="H13" s="70"/>
    </row>
    <row r="14" spans="2:8" ht="13.8">
      <c r="B14" s="66" t="s">
        <v>371</v>
      </c>
      <c r="C14" s="67">
        <v>8678080</v>
      </c>
      <c r="D14" s="67">
        <v>1001679</v>
      </c>
      <c r="F14" s="69"/>
      <c r="G14" s="59"/>
      <c r="H14" s="70"/>
    </row>
    <row r="15" spans="2:8" ht="13.8">
      <c r="B15" s="66" t="s">
        <v>372</v>
      </c>
      <c r="C15" s="67">
        <v>27583131</v>
      </c>
      <c r="D15" s="67">
        <v>44565137</v>
      </c>
      <c r="F15" s="69"/>
      <c r="G15" s="59"/>
      <c r="H15" s="70"/>
    </row>
    <row r="16" spans="2:8" ht="13.8">
      <c r="B16" s="66" t="s">
        <v>373</v>
      </c>
      <c r="C16" s="67">
        <v>17748218</v>
      </c>
      <c r="D16" s="67">
        <v>17642096</v>
      </c>
      <c r="F16" s="69"/>
      <c r="G16" s="59"/>
      <c r="H16" s="70"/>
    </row>
    <row r="17" spans="2:9">
      <c r="B17" s="66" t="s">
        <v>374</v>
      </c>
      <c r="C17" s="67">
        <f>52585302-1</f>
        <v>52585301</v>
      </c>
      <c r="D17" s="68">
        <v>83765778</v>
      </c>
      <c r="F17" s="69"/>
      <c r="G17" s="196"/>
      <c r="I17" s="39"/>
    </row>
    <row r="18" spans="2:9">
      <c r="B18" s="66" t="s">
        <v>732</v>
      </c>
      <c r="C18" s="67">
        <v>80837331</v>
      </c>
      <c r="D18" s="67">
        <v>3035000</v>
      </c>
      <c r="F18" s="69"/>
      <c r="G18" s="196"/>
      <c r="I18" s="39"/>
    </row>
    <row r="19" spans="2:9">
      <c r="B19" s="66" t="s">
        <v>548</v>
      </c>
      <c r="C19" s="67">
        <v>20535692</v>
      </c>
      <c r="D19" s="67">
        <v>68012549</v>
      </c>
      <c r="F19" s="69"/>
      <c r="G19" s="59"/>
      <c r="I19" s="39"/>
    </row>
    <row r="20" spans="2:9">
      <c r="B20" s="66" t="s">
        <v>719</v>
      </c>
      <c r="C20" s="67">
        <v>6676651</v>
      </c>
      <c r="D20" s="67">
        <v>6457904</v>
      </c>
      <c r="F20" s="69"/>
      <c r="G20" s="59"/>
      <c r="I20" s="39"/>
    </row>
    <row r="21" spans="2:9">
      <c r="B21" s="66" t="s">
        <v>375</v>
      </c>
      <c r="C21" s="67">
        <v>17014656</v>
      </c>
      <c r="D21" s="67">
        <v>17295480</v>
      </c>
      <c r="F21" s="69"/>
      <c r="G21" s="196"/>
      <c r="I21" s="39"/>
    </row>
    <row r="22" spans="2:9">
      <c r="B22" s="66" t="s">
        <v>376</v>
      </c>
      <c r="C22" s="67">
        <v>14981126</v>
      </c>
      <c r="D22" s="67">
        <v>21940348</v>
      </c>
      <c r="F22" s="69"/>
      <c r="G22" s="196"/>
      <c r="I22" s="39"/>
    </row>
    <row r="23" spans="2:9">
      <c r="B23" s="66" t="s">
        <v>727</v>
      </c>
      <c r="C23" s="67">
        <v>4616595</v>
      </c>
      <c r="D23" s="67">
        <v>999990</v>
      </c>
      <c r="F23" s="69"/>
      <c r="G23" s="196"/>
      <c r="I23" s="39"/>
    </row>
    <row r="24" spans="2:9">
      <c r="B24" s="66" t="s">
        <v>377</v>
      </c>
      <c r="C24" s="67">
        <v>18567631</v>
      </c>
      <c r="D24" s="67">
        <v>12680930</v>
      </c>
      <c r="F24" s="69"/>
      <c r="G24" s="196"/>
      <c r="I24" s="39"/>
    </row>
    <row r="25" spans="2:9">
      <c r="B25" s="66" t="s">
        <v>658</v>
      </c>
      <c r="C25" s="67">
        <v>12945206</v>
      </c>
      <c r="D25" s="67">
        <v>0</v>
      </c>
      <c r="F25" s="69"/>
      <c r="G25" s="196"/>
      <c r="I25" s="39"/>
    </row>
    <row r="26" spans="2:9">
      <c r="B26" s="66" t="s">
        <v>726</v>
      </c>
      <c r="C26" s="67">
        <v>5000001</v>
      </c>
      <c r="D26" s="67">
        <v>5000001</v>
      </c>
      <c r="F26" s="69"/>
      <c r="G26" s="196"/>
      <c r="I26" s="39"/>
    </row>
    <row r="27" spans="2:9">
      <c r="B27" s="66" t="s">
        <v>378</v>
      </c>
      <c r="C27" s="67">
        <v>30243117</v>
      </c>
      <c r="D27" s="67">
        <v>1222163534</v>
      </c>
      <c r="F27" s="69"/>
      <c r="G27" s="196"/>
      <c r="I27" s="39"/>
    </row>
    <row r="28" spans="2:9">
      <c r="B28" s="66" t="s">
        <v>729</v>
      </c>
      <c r="C28" s="67">
        <v>4000020</v>
      </c>
      <c r="D28" s="67">
        <v>4000007</v>
      </c>
      <c r="F28" s="69"/>
      <c r="G28" s="196"/>
      <c r="I28" s="39"/>
    </row>
    <row r="29" spans="2:9">
      <c r="B29" s="66" t="s">
        <v>721</v>
      </c>
      <c r="C29" s="67">
        <v>34479069</v>
      </c>
      <c r="D29" s="67">
        <v>40597504</v>
      </c>
      <c r="F29" s="69"/>
      <c r="G29" s="196"/>
      <c r="I29" s="39"/>
    </row>
    <row r="30" spans="2:9">
      <c r="B30" s="66" t="s">
        <v>379</v>
      </c>
      <c r="C30" s="67">
        <v>45772390</v>
      </c>
      <c r="D30" s="67">
        <v>50399525</v>
      </c>
      <c r="F30" s="69"/>
      <c r="G30" s="196"/>
      <c r="I30" s="39"/>
    </row>
    <row r="31" spans="2:9">
      <c r="B31" s="66" t="s">
        <v>380</v>
      </c>
      <c r="C31" s="67">
        <v>1005128230</v>
      </c>
      <c r="D31" s="67">
        <v>21079147</v>
      </c>
      <c r="F31" s="69"/>
      <c r="G31" s="196"/>
      <c r="I31" s="39"/>
    </row>
    <row r="32" spans="2:9">
      <c r="B32" s="66" t="s">
        <v>381</v>
      </c>
      <c r="C32" s="67">
        <v>19413666</v>
      </c>
      <c r="D32" s="67">
        <v>14525619</v>
      </c>
      <c r="F32" s="69"/>
      <c r="G32" s="196"/>
      <c r="I32" s="39"/>
    </row>
    <row r="33" spans="2:9">
      <c r="B33" s="66" t="s">
        <v>382</v>
      </c>
      <c r="C33" s="67">
        <v>31348790</v>
      </c>
      <c r="D33" s="67">
        <v>34874145</v>
      </c>
      <c r="F33" s="69"/>
      <c r="G33" s="196"/>
      <c r="I33" s="39"/>
    </row>
    <row r="34" spans="2:9">
      <c r="B34" s="66" t="s">
        <v>547</v>
      </c>
      <c r="C34" s="67">
        <v>302343152</v>
      </c>
      <c r="D34" s="67">
        <v>5900470</v>
      </c>
      <c r="F34" s="69"/>
      <c r="G34" s="196"/>
      <c r="I34" s="39"/>
    </row>
    <row r="35" spans="2:9">
      <c r="B35" s="66" t="s">
        <v>383</v>
      </c>
      <c r="C35" s="67">
        <v>83914783</v>
      </c>
      <c r="D35" s="67">
        <v>7237041</v>
      </c>
      <c r="F35" s="69"/>
      <c r="G35" s="196"/>
      <c r="I35" s="39"/>
    </row>
    <row r="36" spans="2:9">
      <c r="B36" s="66" t="s">
        <v>734</v>
      </c>
      <c r="C36" s="67">
        <v>1003655</v>
      </c>
      <c r="D36" s="67">
        <v>1001026</v>
      </c>
      <c r="F36" s="69"/>
      <c r="G36" s="196"/>
      <c r="I36" s="39"/>
    </row>
    <row r="37" spans="2:9">
      <c r="B37" s="66" t="s">
        <v>725</v>
      </c>
      <c r="C37" s="67">
        <v>1383297</v>
      </c>
      <c r="D37" s="67">
        <v>1379426</v>
      </c>
      <c r="F37" s="69"/>
      <c r="G37" s="196"/>
      <c r="I37" s="39"/>
    </row>
    <row r="38" spans="2:9">
      <c r="B38" s="66" t="s">
        <v>384</v>
      </c>
      <c r="C38" s="67">
        <v>5881992</v>
      </c>
      <c r="D38" s="68">
        <v>54563030</v>
      </c>
      <c r="F38" s="69"/>
      <c r="G38" s="196"/>
      <c r="I38" s="39"/>
    </row>
    <row r="39" spans="2:9">
      <c r="B39" s="66" t="s">
        <v>723</v>
      </c>
      <c r="C39" s="65">
        <v>38671302</v>
      </c>
      <c r="D39" s="68">
        <v>25680546</v>
      </c>
      <c r="F39" s="69"/>
      <c r="G39" s="196"/>
      <c r="I39" s="39"/>
    </row>
    <row r="40" spans="2:9">
      <c r="B40" s="66" t="s">
        <v>385</v>
      </c>
      <c r="C40" s="67">
        <v>4365540</v>
      </c>
      <c r="D40" s="67">
        <v>82635215</v>
      </c>
      <c r="F40" s="69"/>
      <c r="G40" s="59"/>
      <c r="I40" s="39"/>
    </row>
    <row r="41" spans="2:9" ht="13.8">
      <c r="B41" s="66" t="s">
        <v>386</v>
      </c>
      <c r="C41" s="67">
        <f>48428514+15</f>
        <v>48428529</v>
      </c>
      <c r="D41" s="67">
        <v>1010502966</v>
      </c>
      <c r="F41" s="69"/>
      <c r="G41" s="196"/>
      <c r="H41" s="70"/>
    </row>
    <row r="42" spans="2:9" ht="13.8">
      <c r="B42" s="66" t="s">
        <v>387</v>
      </c>
      <c r="C42" s="67">
        <v>559167</v>
      </c>
      <c r="D42" s="67">
        <v>12090220</v>
      </c>
      <c r="F42" s="69"/>
      <c r="G42" s="196"/>
      <c r="H42" s="70"/>
    </row>
    <row r="43" spans="2:9" ht="13.8">
      <c r="B43" s="66" t="s">
        <v>388</v>
      </c>
      <c r="C43" s="67">
        <v>80761886</v>
      </c>
      <c r="D43" s="67">
        <v>10725268</v>
      </c>
      <c r="F43" s="69"/>
      <c r="G43" s="59"/>
      <c r="H43" s="70"/>
    </row>
    <row r="44" spans="2:9" ht="13.8">
      <c r="B44" s="66" t="s">
        <v>549</v>
      </c>
      <c r="C44" s="67">
        <v>-1807093567</v>
      </c>
      <c r="D44" s="67">
        <v>21798092</v>
      </c>
      <c r="F44" s="69"/>
      <c r="G44" s="59"/>
      <c r="H44" s="70"/>
    </row>
    <row r="45" spans="2:9" ht="13.8">
      <c r="B45" s="66" t="s">
        <v>389</v>
      </c>
      <c r="C45" s="67">
        <v>2277207</v>
      </c>
      <c r="D45" s="67">
        <v>-12556862</v>
      </c>
      <c r="F45" s="69"/>
      <c r="G45" s="59"/>
      <c r="H45" s="70"/>
    </row>
    <row r="46" spans="2:9" ht="13.8">
      <c r="B46" s="66" t="s">
        <v>390</v>
      </c>
      <c r="C46" s="67">
        <v>11535449652</v>
      </c>
      <c r="D46" s="67">
        <v>393714782</v>
      </c>
      <c r="F46" s="69"/>
      <c r="G46" s="59"/>
      <c r="H46" s="70"/>
    </row>
    <row r="47" spans="2:9" ht="13.8">
      <c r="B47" s="66" t="s">
        <v>391</v>
      </c>
      <c r="C47" s="67">
        <v>3902805031</v>
      </c>
      <c r="D47" s="68">
        <v>1325738</v>
      </c>
      <c r="F47" s="69"/>
      <c r="G47" s="59"/>
      <c r="H47" s="70"/>
    </row>
    <row r="48" spans="2:9" ht="13.8">
      <c r="B48" s="66" t="s">
        <v>392</v>
      </c>
      <c r="C48" s="67">
        <v>1297927</v>
      </c>
      <c r="D48" s="68">
        <v>36674669</v>
      </c>
      <c r="F48" s="69"/>
      <c r="G48" s="59"/>
      <c r="H48" s="70"/>
    </row>
    <row r="49" spans="2:8" ht="13.8">
      <c r="B49" s="66" t="s">
        <v>393</v>
      </c>
      <c r="C49" s="67">
        <v>242424528</v>
      </c>
      <c r="D49" s="67">
        <v>91705807</v>
      </c>
      <c r="F49" s="69"/>
      <c r="G49" s="59"/>
      <c r="H49" s="70"/>
    </row>
    <row r="50" spans="2:8" ht="13.8">
      <c r="B50" s="66" t="s">
        <v>394</v>
      </c>
      <c r="C50" s="67">
        <v>1129889311</v>
      </c>
      <c r="D50" s="67">
        <v>128053306</v>
      </c>
      <c r="F50" s="69"/>
      <c r="G50" s="59"/>
      <c r="H50" s="70"/>
    </row>
    <row r="51" spans="2:8" ht="13.8">
      <c r="B51" s="66" t="s">
        <v>395</v>
      </c>
      <c r="C51" s="67">
        <v>-899544835</v>
      </c>
      <c r="D51" s="67">
        <v>689196</v>
      </c>
      <c r="F51" s="69"/>
      <c r="G51" s="59"/>
      <c r="H51" s="70"/>
    </row>
    <row r="52" spans="2:8" ht="13.8">
      <c r="B52" s="66" t="s">
        <v>733</v>
      </c>
      <c r="C52" s="67">
        <v>32938621</v>
      </c>
      <c r="D52" s="67">
        <v>11555610</v>
      </c>
      <c r="F52" s="69"/>
      <c r="G52" s="59"/>
      <c r="H52" s="70"/>
    </row>
    <row r="53" spans="2:8" ht="13.8">
      <c r="B53" s="66" t="s">
        <v>724</v>
      </c>
      <c r="C53" s="67">
        <v>11655626</v>
      </c>
      <c r="D53" s="67">
        <v>254207739</v>
      </c>
      <c r="F53" s="69"/>
      <c r="G53" s="59"/>
      <c r="H53" s="70"/>
    </row>
    <row r="54" spans="2:8" ht="13.8">
      <c r="B54" s="66" t="s">
        <v>396</v>
      </c>
      <c r="C54" s="67">
        <v>5000000</v>
      </c>
      <c r="D54" s="67">
        <v>5000000</v>
      </c>
      <c r="F54" s="69"/>
      <c r="G54" s="59"/>
      <c r="H54" s="70"/>
    </row>
    <row r="55" spans="2:8" ht="13.8">
      <c r="B55" s="66" t="s">
        <v>397</v>
      </c>
      <c r="C55" s="67">
        <v>46523204</v>
      </c>
      <c r="D55" s="67">
        <v>39723120</v>
      </c>
      <c r="F55" s="69"/>
      <c r="G55" s="59"/>
      <c r="H55" s="70"/>
    </row>
    <row r="56" spans="2:8" ht="13.8">
      <c r="B56" s="66" t="s">
        <v>398</v>
      </c>
      <c r="C56" s="67">
        <v>4837878</v>
      </c>
      <c r="D56" s="67">
        <v>21738586</v>
      </c>
      <c r="F56" s="69"/>
      <c r="G56" s="59"/>
      <c r="H56" s="70"/>
    </row>
    <row r="57" spans="2:8" ht="13.8">
      <c r="B57" s="66" t="s">
        <v>720</v>
      </c>
      <c r="C57" s="67">
        <v>689580</v>
      </c>
      <c r="D57" s="67">
        <v>606493</v>
      </c>
      <c r="F57" s="69"/>
      <c r="G57" s="59"/>
      <c r="H57" s="70"/>
    </row>
    <row r="58" spans="2:8" ht="13.8">
      <c r="B58" s="66" t="s">
        <v>728</v>
      </c>
      <c r="C58" s="67">
        <v>186341797</v>
      </c>
      <c r="D58" s="67">
        <v>3000000</v>
      </c>
      <c r="F58" s="69"/>
      <c r="G58" s="59"/>
      <c r="H58" s="70"/>
    </row>
    <row r="59" spans="2:8">
      <c r="B59" s="63" t="s">
        <v>715</v>
      </c>
      <c r="C59" s="71">
        <f>SUM(C9:C58)</f>
        <v>16463202870</v>
      </c>
      <c r="D59" s="71">
        <v>3899258412</v>
      </c>
      <c r="F59" s="59"/>
      <c r="G59" s="59"/>
      <c r="H59" s="59"/>
    </row>
    <row r="60" spans="2:8">
      <c r="F60" s="25"/>
    </row>
    <row r="61" spans="2:8">
      <c r="B61" s="543" t="s">
        <v>735</v>
      </c>
      <c r="C61" s="543"/>
      <c r="D61" s="543"/>
      <c r="F61" s="25"/>
    </row>
    <row r="62" spans="2:8">
      <c r="B62" s="60" t="s">
        <v>370</v>
      </c>
      <c r="C62" s="61">
        <v>44469</v>
      </c>
      <c r="D62" s="62">
        <v>44196</v>
      </c>
      <c r="F62" s="25"/>
    </row>
    <row r="63" spans="2:8">
      <c r="B63" s="437" t="s">
        <v>40</v>
      </c>
      <c r="C63" s="64">
        <v>0</v>
      </c>
      <c r="D63" s="65">
        <v>0</v>
      </c>
      <c r="F63" s="25">
        <v>0</v>
      </c>
    </row>
    <row r="64" spans="2:8">
      <c r="B64" s="66" t="s">
        <v>717</v>
      </c>
      <c r="C64" s="67">
        <v>570693</v>
      </c>
      <c r="D64" s="68">
        <v>0</v>
      </c>
      <c r="F64" s="25"/>
    </row>
    <row r="65" spans="2:4">
      <c r="B65" s="66" t="s">
        <v>718</v>
      </c>
      <c r="C65" s="67">
        <v>522476</v>
      </c>
      <c r="D65" s="67">
        <v>0</v>
      </c>
    </row>
    <row r="66" spans="2:4">
      <c r="B66" s="63" t="s">
        <v>736</v>
      </c>
      <c r="C66" s="71">
        <f>SUM(C63:C65)</f>
        <v>1093169</v>
      </c>
      <c r="D66" s="71">
        <f>SUM(D63:D65)</f>
        <v>0</v>
      </c>
    </row>
    <row r="68" spans="2:4">
      <c r="B68" s="63" t="s">
        <v>399</v>
      </c>
      <c r="C68" s="71">
        <f>+C59+C66</f>
        <v>16464296039</v>
      </c>
      <c r="D68" s="71">
        <f>+D59+D66</f>
        <v>3899258412</v>
      </c>
    </row>
    <row r="69" spans="2:4">
      <c r="B69" s="25" t="s">
        <v>400</v>
      </c>
    </row>
    <row r="70" spans="2:4">
      <c r="B70" s="25" t="s">
        <v>400</v>
      </c>
      <c r="C70" s="57">
        <f>+C68-'Balance Gral. Resol. 30'!D14</f>
        <v>0</v>
      </c>
      <c r="D70" s="57">
        <f>+D68-'Balance Gral. Resol. 30'!E14</f>
        <v>0</v>
      </c>
    </row>
    <row r="71" spans="2:4">
      <c r="B71" s="25" t="s">
        <v>400</v>
      </c>
    </row>
    <row r="72" spans="2:4">
      <c r="B72" s="25" t="s">
        <v>400</v>
      </c>
    </row>
    <row r="73" spans="2:4">
      <c r="B73" s="25" t="s">
        <v>400</v>
      </c>
    </row>
    <row r="74" spans="2:4">
      <c r="B74" s="25" t="s">
        <v>400</v>
      </c>
    </row>
    <row r="75" spans="2:4">
      <c r="B75" s="25" t="s">
        <v>400</v>
      </c>
    </row>
    <row r="76" spans="2:4">
      <c r="B76" s="25" t="s">
        <v>400</v>
      </c>
    </row>
    <row r="77" spans="2:4">
      <c r="B77" s="25" t="s">
        <v>400</v>
      </c>
    </row>
    <row r="78" spans="2:4">
      <c r="B78" s="25" t="s">
        <v>400</v>
      </c>
    </row>
    <row r="79" spans="2:4">
      <c r="B79" s="25" t="s">
        <v>400</v>
      </c>
    </row>
    <row r="80" spans="2:4">
      <c r="B80" s="25" t="s">
        <v>400</v>
      </c>
    </row>
    <row r="81" spans="2:2">
      <c r="B81" s="25" t="s">
        <v>400</v>
      </c>
    </row>
    <row r="82" spans="2:2">
      <c r="B82" s="25" t="s">
        <v>400</v>
      </c>
    </row>
    <row r="83" spans="2:2">
      <c r="B83" s="25" t="s">
        <v>400</v>
      </c>
    </row>
    <row r="84" spans="2:2">
      <c r="B84" s="25" t="s">
        <v>400</v>
      </c>
    </row>
    <row r="85" spans="2:2">
      <c r="B85" s="25" t="s">
        <v>400</v>
      </c>
    </row>
    <row r="86" spans="2:2">
      <c r="B86" s="25" t="s">
        <v>400</v>
      </c>
    </row>
    <row r="87" spans="2:2">
      <c r="B87" s="25" t="s">
        <v>400</v>
      </c>
    </row>
    <row r="104" spans="5:5">
      <c r="E104" s="25" t="s">
        <v>400</v>
      </c>
    </row>
    <row r="105" spans="5:5">
      <c r="E105" s="25" t="s">
        <v>400</v>
      </c>
    </row>
  </sheetData>
  <sheetProtection algorithmName="SHA-512" hashValue="YLGvG1d0iGy51N8BxpIbtA2OSEwh2PaxxRQJdFUcPrF3mxeIRsQUGfNq+i8Yisc2baE9WPh8drFhkrL41QS6BQ==" saltValue="PvW7NN62mml4BemCihCXAg==" spinCount="100000" sheet="1" objects="1" scenarios="1"/>
  <autoFilter ref="B8:D66" xr:uid="{00000000-0001-0000-0700-000000000000}"/>
  <sortState xmlns:xlrd2="http://schemas.microsoft.com/office/spreadsheetml/2017/richdata2" ref="B10:D58">
    <sortCondition ref="B58"/>
  </sortState>
  <mergeCells count="3">
    <mergeCell ref="B6:D6"/>
    <mergeCell ref="B61:D61"/>
    <mergeCell ref="B5:D5"/>
  </mergeCells>
  <hyperlinks>
    <hyperlink ref="B7" location="'Balance Gral. Resol. 30'!A1" display="'Balance Gral. Resol. 30'!A1" xr:uid="{E325D826-3525-45E1-837C-11B4BB55A406}"/>
  </hyperlinks>
  <pageMargins left="0.7" right="0.7" top="0.75" bottom="0.75" header="0.3" footer="0.3"/>
  <pageSetup paperSize="9" orientation="portrait" horizontalDpi="300" verticalDpi="300" r:id="rId1"/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Wf8Xz7rQCK/1hb57z/44BN/EMWVlLAaSYBWDePZKYLQ=</DigestValue>
    </Reference>
    <Reference Type="http://www.w3.org/2000/09/xmldsig#Object" URI="#idOfficeObject">
      <DigestMethod Algorithm="http://www.w3.org/2001/04/xmlenc#sha256"/>
      <DigestValue>FTlRC+c/uGr8bK+HWZ6vtNKFFQgVFxrUPrJhcnn0uwI=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ye/8mU65rpNgMHl0rMPvWlsqyKK8XmuY4UgesRKquOs=</DigestValue>
    </Reference>
    <Reference Type="http://www.w3.org/2000/09/xmldsig#Object" URI="#idValidSigLnImg">
      <DigestMethod Algorithm="http://www.w3.org/2001/04/xmlenc#sha256"/>
      <DigestValue>IvmcLyy3fSYgxyr6+rwwdHKMHb+hxH9FgHHWMZpIXm0=</DigestValue>
    </Reference>
    <Reference Type="http://www.w3.org/2000/09/xmldsig#Object" URI="#idInvalidSigLnImg">
      <DigestMethod Algorithm="http://www.w3.org/2001/04/xmlenc#sha256"/>
      <DigestValue>Tw7fMe8Rk/tVHKdQQATplJxMBdhPyyiDN1ldP0vTRc0=</DigestValue>
    </Reference>
  </SignedInfo>
  <SignatureValue>Nwm6TVf+0TKtdBxqZTHn5xNISQZqEoYPyVpqUrJcdzwJu7mfMPWAbY5AbL0pVaa5SqPl2nrqKubH
R1TdmiCl/YwrmUtPjragjxZtwlLBJf0x9bAzL/+V7187hPuhy/kFY4w3BJsobiJf5TruuxHUYhUF
J/FKu5AoBXvmANQjCQmAhPCUasM/vasrvr8B2CHQNtfYys2/eGGJ0GsVCoHnkIJxterNlK7mnG0o
ECy2qai7jH5vJa2qGYKQ/w92dhohjtNNb3jeOAoNA4PrCPms1yp9Vevkj+WJaCK6qEsCXTY6g94e
FEg4oDQ7NLVs+W+5CfaSVbxw/Sk/HnXoCuNvkg==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XSOv0XtT8CygNMveNSd+6nSYbnOYBMFeiipT8yEZGn4=</DigestValue>
      </Reference>
      <Reference URI="/xl/calcChain.xml?ContentType=application/vnd.openxmlformats-officedocument.spreadsheetml.calcChain+xml">
        <DigestMethod Algorithm="http://www.w3.org/2001/04/xmlenc#sha256"/>
        <DigestValue>aq5tRlB0bMCROA38k1WhkUiztm3Edd73ak6Ndox6xI8=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S9Sj+Tzwipf0w/2Q1Awt/nmWcha+RGDwfrceJMwrk+Q=</DigestValue>
      </Reference>
      <Reference URI="/xl/drawings/drawing1.xml?ContentType=application/vnd.openxmlformats-officedocument.drawing+xml">
        <DigestMethod Algorithm="http://www.w3.org/2001/04/xmlenc#sha256"/>
        <DigestValue>F3SqR04cQL4AtNia0EMIRvGy3tJC5nkwlEBwWs9K/+0=</DigestValue>
      </Reference>
      <Reference URI="/xl/drawings/drawing10.xml?ContentType=application/vnd.openxmlformats-officedocument.drawing+xml">
        <DigestMethod Algorithm="http://www.w3.org/2001/04/xmlenc#sha256"/>
        <DigestValue>EmJ3yZuiyReo4iZHgFC8G72duB28MCGBhEc1ha/1NUQ=</DigestValue>
      </Reference>
      <Reference URI="/xl/drawings/drawing11.xml?ContentType=application/vnd.openxmlformats-officedocument.drawing+xml">
        <DigestMethod Algorithm="http://www.w3.org/2001/04/xmlenc#sha256"/>
        <DigestValue>4hc8dSd9AlXkhyJrcamMMzJFdjFn1e8T/EwGPUSFYZw=</DigestValue>
      </Reference>
      <Reference URI="/xl/drawings/drawing12.xml?ContentType=application/vnd.openxmlformats-officedocument.drawing+xml">
        <DigestMethod Algorithm="http://www.w3.org/2001/04/xmlenc#sha256"/>
        <DigestValue>aTtTWauz0UZRIJ4dOrD1br5D9ngYHYd1qQ8SJezDZ/s=</DigestValue>
      </Reference>
      <Reference URI="/xl/drawings/drawing13.xml?ContentType=application/vnd.openxmlformats-officedocument.drawing+xml">
        <DigestMethod Algorithm="http://www.w3.org/2001/04/xmlenc#sha256"/>
        <DigestValue>fyeQDtB1L4fKHdjXMfadAzJ+XttcElZnTKQrn0aJLMA=</DigestValue>
      </Reference>
      <Reference URI="/xl/drawings/drawing14.xml?ContentType=application/vnd.openxmlformats-officedocument.drawing+xml">
        <DigestMethod Algorithm="http://www.w3.org/2001/04/xmlenc#sha256"/>
        <DigestValue>ztZuFdGbzaDM73nxloBhbqlheY2rW8zFiatDM82naGM=</DigestValue>
      </Reference>
      <Reference URI="/xl/drawings/drawing15.xml?ContentType=application/vnd.openxmlformats-officedocument.drawing+xml">
        <DigestMethod Algorithm="http://www.w3.org/2001/04/xmlenc#sha256"/>
        <DigestValue>7Crfh4OCAXT2h7joD66S11h4PGEa3o4qFg3GzIvC76c=</DigestValue>
      </Reference>
      <Reference URI="/xl/drawings/drawing16.xml?ContentType=application/vnd.openxmlformats-officedocument.drawing+xml">
        <DigestMethod Algorithm="http://www.w3.org/2001/04/xmlenc#sha256"/>
        <DigestValue>fYLaJKG0Xk4M6RUvvnwf5ws19FEUiovaWFUqhno/7T8=</DigestValue>
      </Reference>
      <Reference URI="/xl/drawings/drawing17.xml?ContentType=application/vnd.openxmlformats-officedocument.drawing+xml">
        <DigestMethod Algorithm="http://www.w3.org/2001/04/xmlenc#sha256"/>
        <DigestValue>vxiR4qhlAeIQmtfSer2lD7px7ow90iv2e+T9Wh7JrbU=</DigestValue>
      </Reference>
      <Reference URI="/xl/drawings/drawing18.xml?ContentType=application/vnd.openxmlformats-officedocument.drawing+xml">
        <DigestMethod Algorithm="http://www.w3.org/2001/04/xmlenc#sha256"/>
        <DigestValue>bCX7Bp53w98Tmk+hbu3eEPr6FbvILmYIWFi2Iin1BqM=</DigestValue>
      </Reference>
      <Reference URI="/xl/drawings/drawing19.xml?ContentType=application/vnd.openxmlformats-officedocument.drawing+xml">
        <DigestMethod Algorithm="http://www.w3.org/2001/04/xmlenc#sha256"/>
        <DigestValue>m8T33RE26ElQ9oW/C8Rj01MTKyGg+IL1rSwHl3ELb/g=</DigestValue>
      </Reference>
      <Reference URI="/xl/drawings/drawing2.xml?ContentType=application/vnd.openxmlformats-officedocument.drawing+xml">
        <DigestMethod Algorithm="http://www.w3.org/2001/04/xmlenc#sha256"/>
        <DigestValue>Nms7uEOzim4F0UWfIuxfdXTHfkBS3FXqT0495W5w74c=</DigestValue>
      </Reference>
      <Reference URI="/xl/drawings/drawing20.xml?ContentType=application/vnd.openxmlformats-officedocument.drawing+xml">
        <DigestMethod Algorithm="http://www.w3.org/2001/04/xmlenc#sha256"/>
        <DigestValue>yIcaiQDVET+cRcCWVoALoJYf1Jxq4p5//g+8WvGDwyk=</DigestValue>
      </Reference>
      <Reference URI="/xl/drawings/drawing21.xml?ContentType=application/vnd.openxmlformats-officedocument.drawing+xml">
        <DigestMethod Algorithm="http://www.w3.org/2001/04/xmlenc#sha256"/>
        <DigestValue>LMvkHID9Pn6LwATk2RAY/3meEyHRcoLB5hmMQTYdYAo=</DigestValue>
      </Reference>
      <Reference URI="/xl/drawings/drawing22.xml?ContentType=application/vnd.openxmlformats-officedocument.drawing+xml">
        <DigestMethod Algorithm="http://www.w3.org/2001/04/xmlenc#sha256"/>
        <DigestValue>5ohmp2zr/qVHttXG8Lv5qz+iVpCn5Wcy73y9C3tq/N0=</DigestValue>
      </Reference>
      <Reference URI="/xl/drawings/drawing23.xml?ContentType=application/vnd.openxmlformats-officedocument.drawing+xml">
        <DigestMethod Algorithm="http://www.w3.org/2001/04/xmlenc#sha256"/>
        <DigestValue>fnZ96SpsZu7GPtyrxW00eIwAOzdhe8bNv4pcuX/mnrM=</DigestValue>
      </Reference>
      <Reference URI="/xl/drawings/drawing24.xml?ContentType=application/vnd.openxmlformats-officedocument.drawing+xml">
        <DigestMethod Algorithm="http://www.w3.org/2001/04/xmlenc#sha256"/>
        <DigestValue>A/lGg1SjF3QA3djjuD4kzN39xmNc1nZUAOmfF8sfCKI=</DigestValue>
      </Reference>
      <Reference URI="/xl/drawings/drawing25.xml?ContentType=application/vnd.openxmlformats-officedocument.drawing+xml">
        <DigestMethod Algorithm="http://www.w3.org/2001/04/xmlenc#sha256"/>
        <DigestValue>vQN4cJPp77OzD/c3vh0BkhB+Rdmsijbc/fKfCT6U4Wg=</DigestValue>
      </Reference>
      <Reference URI="/xl/drawings/drawing26.xml?ContentType=application/vnd.openxmlformats-officedocument.drawing+xml">
        <DigestMethod Algorithm="http://www.w3.org/2001/04/xmlenc#sha256"/>
        <DigestValue>WFyrPZBqtkATyBesyIiavbgO3LSTVisN+OzoI0sIgFA=</DigestValue>
      </Reference>
      <Reference URI="/xl/drawings/drawing27.xml?ContentType=application/vnd.openxmlformats-officedocument.drawing+xml">
        <DigestMethod Algorithm="http://www.w3.org/2001/04/xmlenc#sha256"/>
        <DigestValue>pW57+saTM9Fbo2D5EmFmfWyFKKWMtBCvRAH1fDRFiwQ=</DigestValue>
      </Reference>
      <Reference URI="/xl/drawings/drawing3.xml?ContentType=application/vnd.openxmlformats-officedocument.drawing+xml">
        <DigestMethod Algorithm="http://www.w3.org/2001/04/xmlenc#sha256"/>
        <DigestValue>kt/OlWWnvr+vvhr9PnIeZDO2BKLpigNNgU8wgiIkB2w=</DigestValue>
      </Reference>
      <Reference URI="/xl/drawings/drawing4.xml?ContentType=application/vnd.openxmlformats-officedocument.drawing+xml">
        <DigestMethod Algorithm="http://www.w3.org/2001/04/xmlenc#sha256"/>
        <DigestValue>2uBupDAdo1pFs+a8jrxo3T9KmL7j4HJV1g00DfMhWIg=</DigestValue>
      </Reference>
      <Reference URI="/xl/drawings/drawing5.xml?ContentType=application/vnd.openxmlformats-officedocument.drawing+xml">
        <DigestMethod Algorithm="http://www.w3.org/2001/04/xmlenc#sha256"/>
        <DigestValue>ZkyNqP0EibsqteNA+atRNFD2XfUAdd3+Ehg3Q3a75O0=</DigestValue>
      </Reference>
      <Reference URI="/xl/drawings/drawing6.xml?ContentType=application/vnd.openxmlformats-officedocument.drawing+xml">
        <DigestMethod Algorithm="http://www.w3.org/2001/04/xmlenc#sha256"/>
        <DigestValue>Z53XPcLNYzeulW7rSS34/nEYpgVE/gShWDB802YMLos=</DigestValue>
      </Reference>
      <Reference URI="/xl/drawings/drawing7.xml?ContentType=application/vnd.openxmlformats-officedocument.drawing+xml">
        <DigestMethod Algorithm="http://www.w3.org/2001/04/xmlenc#sha256"/>
        <DigestValue>tPpxSYJJo1ETDtQDYVpTIr+0DRq5aS5xFyv++sPA2HU=</DigestValue>
      </Reference>
      <Reference URI="/xl/drawings/drawing8.xml?ContentType=application/vnd.openxmlformats-officedocument.drawing+xml">
        <DigestMethod Algorithm="http://www.w3.org/2001/04/xmlenc#sha256"/>
        <DigestValue>m5abhA6aOBcxAabvSe7ij2Z8jhQXUJQYuO0nAv9+p8I=</DigestValue>
      </Reference>
      <Reference URI="/xl/drawings/drawing9.xml?ContentType=application/vnd.openxmlformats-officedocument.drawing+xml">
        <DigestMethod Algorithm="http://www.w3.org/2001/04/xmlenc#sha256"/>
        <DigestValue>P2k5qQkiIReU8qQuG4KDGuRxUR4hS7bSWAmxuZOX28Q=</DigestValue>
      </Reference>
      <Reference URI="/xl/drawings/vmlDrawing1.vml?ContentType=application/vnd.openxmlformats-officedocument.vmlDrawing">
        <DigestMethod Algorithm="http://www.w3.org/2001/04/xmlenc#sha256"/>
        <DigestValue>QDSMTR7kf85JpM5d/DjCblE4o8qwc7wRLcEifDIG6Xk=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Bp6nMcbK6HxDExnu3n6yXJPea6twKxo/ZO8FGh7WPco=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dx+pAptznXdPgG/mRHGPa2UyUfEVSTWmn6kj1sohP9s=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iAxfY//ZMROkxXIiMFom0b755W/ea7udeDBKwcMAZuo=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SdQJjQY5jEz+g68sWENVY3xBDeTUwuwYeHFyBdpKr1E=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mM4C6vLpjYA9G+IudnmCrADZETz3+355H7kd0oIz2Q8=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RRL8SjdUyJpsxlIjdku22A0YH5wV4QSMrdwlmMvSrcw=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R57m5EpyXJI/iumAHKMEXpqMNwkFOdxjxQZxj2XoWos=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YEYVjQKD3wsuCmdZviRvL8fWn5aozppQPDsPA+1M48s=</DigestValue>
      </Reference>
      <Reference URI="/xl/media/image1.png?ContentType=image/png">
        <DigestMethod Algorithm="http://www.w3.org/2001/04/xmlenc#sha256"/>
        <DigestValue>kR7d6y9y6vB05DHeg434VEOzOc3IrU3GNAUtpCeAj2M=</DigestValue>
      </Reference>
      <Reference URI="/xl/media/image2.emf?ContentType=image/x-emf">
        <DigestMethod Algorithm="http://www.w3.org/2001/04/xmlenc#sha256"/>
        <DigestValue>XHVdL5VfArFMOfCEK3V5IyifE6qNqIOh7tUNoUvRJic=</DigestValue>
      </Reference>
      <Reference URI="/xl/media/image3.emf?ContentType=image/x-emf">
        <DigestMethod Algorithm="http://www.w3.org/2001/04/xmlenc#sha256"/>
        <DigestValue>/4cZIYAB6y34GcTWehx9tQUAK4jWdVasXUhi9bgksWo=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26HqXRIPb6BZwT7U9IC6VtEL0dFpmbYLuhHRicgLN3w=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FdrMkMhojDKV1MN7NEh+s4YsYgJw60tznXdi8xGJ3nE=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HMStnFlJ2OY5e7lSczgjP6b305sFG5lYQFD0ohxGf30=</DigestValue>
      </Reference>
      <Reference URI="/xl/styles.xml?ContentType=application/vnd.openxmlformats-officedocument.spreadsheetml.styles+xml">
        <DigestMethod Algorithm="http://www.w3.org/2001/04/xmlenc#sha256"/>
        <DigestValue>OTRP3nklfi70wSw4YYkiuFw27NFIwOjlHfHzam9x+8k=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Vl2Pv2PH+AQ4kRZR/Mo2++6IHskg2ILSa5Oz0k6nuRA=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u3TVO4lHIDAXQzmMvS3JK7CEvDjkOIsYQ8kWsGlA/Cg=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EhgEwQpnoBkaJ5GDhG7watcbCxRNooJcutk11/o397k=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ouUjUhk6XB4ZDAvQfTJvq7L+desPAVXUVwo9mge5p6U=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mc/2OxhBel9uRxpmH0N92+Nuac3WoNV992syZxu9cZQ=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iWCU4DBPtwuredku8ZlsYqjq4AgU3pXVRB544N8Fhb0=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+pRc/PukNoQmuEsh9drmfpwgDyaxjlLdykDmuPXzan0=</DigestValue>
      </Reference>
      <Reference URI="/xl/worksheets/sheet1.xml?ContentType=application/vnd.openxmlformats-officedocument.spreadsheetml.worksheet+xml">
        <DigestMethod Algorithm="http://www.w3.org/2001/04/xmlenc#sha256"/>
        <DigestValue>SNDhTMFGhryB31oEeYiadIvggO550nFIKMX6wVLTyJs=</DigestValue>
      </Reference>
      <Reference URI="/xl/worksheets/sheet10.xml?ContentType=application/vnd.openxmlformats-officedocument.spreadsheetml.worksheet+xml">
        <DigestMethod Algorithm="http://www.w3.org/2001/04/xmlenc#sha256"/>
        <DigestValue>FS3pxqvXdWOX/5p5Xil5yM4jp3rRZCfYmp5IGVYkAsE=</DigestValue>
      </Reference>
      <Reference URI="/xl/worksheets/sheet11.xml?ContentType=application/vnd.openxmlformats-officedocument.spreadsheetml.worksheet+xml">
        <DigestMethod Algorithm="http://www.w3.org/2001/04/xmlenc#sha256"/>
        <DigestValue>3Qx8UFfNkusIA5ShyUFpNY3BCsaxkFXxbvWnBKo2yvg=</DigestValue>
      </Reference>
      <Reference URI="/xl/worksheets/sheet12.xml?ContentType=application/vnd.openxmlformats-officedocument.spreadsheetml.worksheet+xml">
        <DigestMethod Algorithm="http://www.w3.org/2001/04/xmlenc#sha256"/>
        <DigestValue>BSek2pS4pXHVzfUg/uRZLiNzjW8iJI5gDJBxel9f+Cc=</DigestValue>
      </Reference>
      <Reference URI="/xl/worksheets/sheet13.xml?ContentType=application/vnd.openxmlformats-officedocument.spreadsheetml.worksheet+xml">
        <DigestMethod Algorithm="http://www.w3.org/2001/04/xmlenc#sha256"/>
        <DigestValue>zyy/6hcQ9378EF6ZVaC6Xgw3ETGFw1vhJQ13KkybLlM=</DigestValue>
      </Reference>
      <Reference URI="/xl/worksheets/sheet14.xml?ContentType=application/vnd.openxmlformats-officedocument.spreadsheetml.worksheet+xml">
        <DigestMethod Algorithm="http://www.w3.org/2001/04/xmlenc#sha256"/>
        <DigestValue>y7D6PJMAUwxQ1yIpkm+FxsMr3TR4pDPEZXHM1fPq4b8=</DigestValue>
      </Reference>
      <Reference URI="/xl/worksheets/sheet15.xml?ContentType=application/vnd.openxmlformats-officedocument.spreadsheetml.worksheet+xml">
        <DigestMethod Algorithm="http://www.w3.org/2001/04/xmlenc#sha256"/>
        <DigestValue>+W+iYWOdVkS/1Z4VCSNaeZxdNgRASPP6urJh4weDGmE=</DigestValue>
      </Reference>
      <Reference URI="/xl/worksheets/sheet16.xml?ContentType=application/vnd.openxmlformats-officedocument.spreadsheetml.worksheet+xml">
        <DigestMethod Algorithm="http://www.w3.org/2001/04/xmlenc#sha256"/>
        <DigestValue>9yv2PIr2udElM/RF2qa3ynT7qPv4EK6geHWOV4KxBxI=</DigestValue>
      </Reference>
      <Reference URI="/xl/worksheets/sheet17.xml?ContentType=application/vnd.openxmlformats-officedocument.spreadsheetml.worksheet+xml">
        <DigestMethod Algorithm="http://www.w3.org/2001/04/xmlenc#sha256"/>
        <DigestValue>mPabFS6pMagWgw+dkPZcxybmcaDFsjghGfODKZCHdQ0=</DigestValue>
      </Reference>
      <Reference URI="/xl/worksheets/sheet18.xml?ContentType=application/vnd.openxmlformats-officedocument.spreadsheetml.worksheet+xml">
        <DigestMethod Algorithm="http://www.w3.org/2001/04/xmlenc#sha256"/>
        <DigestValue>0QwNz5tKPKoiXbwRF0OERCX9e5UMw2AHdzZnwHIl5ag=</DigestValue>
      </Reference>
      <Reference URI="/xl/worksheets/sheet19.xml?ContentType=application/vnd.openxmlformats-officedocument.spreadsheetml.worksheet+xml">
        <DigestMethod Algorithm="http://www.w3.org/2001/04/xmlenc#sha256"/>
        <DigestValue>5uFkXDZnvOjacEk7Jz9e3i9Ys5GrKLoqWtznTrYHVco=</DigestValue>
      </Reference>
      <Reference URI="/xl/worksheets/sheet2.xml?ContentType=application/vnd.openxmlformats-officedocument.spreadsheetml.worksheet+xml">
        <DigestMethod Algorithm="http://www.w3.org/2001/04/xmlenc#sha256"/>
        <DigestValue>NUJx5woN2reg93dsBlFSQaOymhIYpHXUg+W5uWw33DM=</DigestValue>
      </Reference>
      <Reference URI="/xl/worksheets/sheet20.xml?ContentType=application/vnd.openxmlformats-officedocument.spreadsheetml.worksheet+xml">
        <DigestMethod Algorithm="http://www.w3.org/2001/04/xmlenc#sha256"/>
        <DigestValue>k+vw0+k16RFLzc4JhzYKV3WM3JjX1ZHXpVQJdJkeVjo=</DigestValue>
      </Reference>
      <Reference URI="/xl/worksheets/sheet21.xml?ContentType=application/vnd.openxmlformats-officedocument.spreadsheetml.worksheet+xml">
        <DigestMethod Algorithm="http://www.w3.org/2001/04/xmlenc#sha256"/>
        <DigestValue>FJNK3oW1psGc59nswMZ6wuzksBUKqWcinC0kVOHb+tI=</DigestValue>
      </Reference>
      <Reference URI="/xl/worksheets/sheet22.xml?ContentType=application/vnd.openxmlformats-officedocument.spreadsheetml.worksheet+xml">
        <DigestMethod Algorithm="http://www.w3.org/2001/04/xmlenc#sha256"/>
        <DigestValue>+k1epWW8dq/FL7l6gfeOCUqRftaP2CAdYA1j5uhchcE=</DigestValue>
      </Reference>
      <Reference URI="/xl/worksheets/sheet23.xml?ContentType=application/vnd.openxmlformats-officedocument.spreadsheetml.worksheet+xml">
        <DigestMethod Algorithm="http://www.w3.org/2001/04/xmlenc#sha256"/>
        <DigestValue>pvN1XCey2NprQIG5KLgbtFYJKYVz8xi7hv+igYOAMNY=</DigestValue>
      </Reference>
      <Reference URI="/xl/worksheets/sheet24.xml?ContentType=application/vnd.openxmlformats-officedocument.spreadsheetml.worksheet+xml">
        <DigestMethod Algorithm="http://www.w3.org/2001/04/xmlenc#sha256"/>
        <DigestValue>CqKVyiqojstxeN2aMYlTNHI6CvIUKAktPXKUMZ29gLU=</DigestValue>
      </Reference>
      <Reference URI="/xl/worksheets/sheet25.xml?ContentType=application/vnd.openxmlformats-officedocument.spreadsheetml.worksheet+xml">
        <DigestMethod Algorithm="http://www.w3.org/2001/04/xmlenc#sha256"/>
        <DigestValue>A8N2kYw0zDg29puYu/HhQtEvsSxUbMtp6hzaNBgg4zo=</DigestValue>
      </Reference>
      <Reference URI="/xl/worksheets/sheet26.xml?ContentType=application/vnd.openxmlformats-officedocument.spreadsheetml.worksheet+xml">
        <DigestMethod Algorithm="http://www.w3.org/2001/04/xmlenc#sha256"/>
        <DigestValue>4qg+CLQvuZ73gPG8auz0WygjGwNC5tghMWCclLs+GFs=</DigestValue>
      </Reference>
      <Reference URI="/xl/worksheets/sheet27.xml?ContentType=application/vnd.openxmlformats-officedocument.spreadsheetml.worksheet+xml">
        <DigestMethod Algorithm="http://www.w3.org/2001/04/xmlenc#sha256"/>
        <DigestValue>HX5eqmA1F7/cDy+7VoZLYyHbqiP3I6wjluRORSeZYGY=</DigestValue>
      </Reference>
      <Reference URI="/xl/worksheets/sheet3.xml?ContentType=application/vnd.openxmlformats-officedocument.spreadsheetml.worksheet+xml">
        <DigestMethod Algorithm="http://www.w3.org/2001/04/xmlenc#sha256"/>
        <DigestValue>VH60ZIyhkqv4jTmBp/nUWiCPBLATHE+ELND4mb1IUf4=</DigestValue>
      </Reference>
      <Reference URI="/xl/worksheets/sheet4.xml?ContentType=application/vnd.openxmlformats-officedocument.spreadsheetml.worksheet+xml">
        <DigestMethod Algorithm="http://www.w3.org/2001/04/xmlenc#sha256"/>
        <DigestValue>gfsrE6CupDjHdjS6xy0YVtA3wCSiww9nmqPAH8fCCqw=</DigestValue>
      </Reference>
      <Reference URI="/xl/worksheets/sheet5.xml?ContentType=application/vnd.openxmlformats-officedocument.spreadsheetml.worksheet+xml">
        <DigestMethod Algorithm="http://www.w3.org/2001/04/xmlenc#sha256"/>
        <DigestValue>B68SIGKdORrdCv8QyUpfnzy57KYUBwY3zvOBuxrxWqg=</DigestValue>
      </Reference>
      <Reference URI="/xl/worksheets/sheet6.xml?ContentType=application/vnd.openxmlformats-officedocument.spreadsheetml.worksheet+xml">
        <DigestMethod Algorithm="http://www.w3.org/2001/04/xmlenc#sha256"/>
        <DigestValue>AJbk9xLGxJ4T9eHsfphIDMv9GUTJaJlwe5T3LlgBPGA=</DigestValue>
      </Reference>
      <Reference URI="/xl/worksheets/sheet7.xml?ContentType=application/vnd.openxmlformats-officedocument.spreadsheetml.worksheet+xml">
        <DigestMethod Algorithm="http://www.w3.org/2001/04/xmlenc#sha256"/>
        <DigestValue>tC7EOsnUy2v4hR0IVn0IufzgFUrFFPiO40tqxD9LeWw=</DigestValue>
      </Reference>
      <Reference URI="/xl/worksheets/sheet8.xml?ContentType=application/vnd.openxmlformats-officedocument.spreadsheetml.worksheet+xml">
        <DigestMethod Algorithm="http://www.w3.org/2001/04/xmlenc#sha256"/>
        <DigestValue>mdm7byIaIh9X4pCLgmpHxrn4YtlBwGQIn4vUs+hhhBU=</DigestValue>
      </Reference>
      <Reference URI="/xl/worksheets/sheet9.xml?ContentType=application/vnd.openxmlformats-officedocument.spreadsheetml.worksheet+xml">
        <DigestMethod Algorithm="http://www.w3.org/2001/04/xmlenc#sha256"/>
        <DigestValue>M78C7eE6TgKE3gvkvShhQ1RoZjAkvVuqUDh6LlG5aaE=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2021-11-15T14:42:47Z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Sady Pereira</SignatureText>
          <SignatureImage/>
          <SignatureComments/>
          <WindowsVersion>10.0</WindowsVersion>
          <OfficeVersion>16.0.14527/23</OfficeVersion>
          <ApplicationVersion>16.0.14527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2021-11-15T14:42:47Z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mFgAALAsAACBFTUYAAAEAO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sNrL+n8AAACw2sv6fwAArPa+y/p/AAAAAGsd+38AAFXqL8v6fwAAMBZrHft/AACs9r7L+n8AAKAWAAAAAAAAQAAAwPp/AAAAAGsd+38AACHtL8v6fwAABAAAAAAAAAAwFmsd+38AACC6LxPwAAAArPa+ywAAAABIAAAAAAAAAKz2vsv6fwAAoLPay/p/AAAA+77L+n8AAAEAAAAAAAAARiC/y/p/AAAAAGsd+38AAAAAAAAAAAAAAAAAAKACAAAAHJ3loAIAAKD6Qt+gAgAAu6bbHPt/AADwui8T8AAAAIm7LxPwAAAAAAAAAAAAAAAAAAAAZHYACAAAAAAlAAAADAAAAAEAAAAYAAAADAAAAAAAAAASAAAADAAAAAEAAAAeAAAAGAAAAO4AAAAFAAAAMgEAABYAAAAlAAAADAAAAAEAAABUAAAAiAAAAO8AAAAFAAAAMAEAABUAAAABAAAAVVWPQYX2jkHvAAAABQAAAAoAAABMAAAAAAAAAAAAAAAAAAAA//////////9gAAAAMQA1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EAAAAAAAAAOBYuE/AAAAAAAAAAAAAAAIi+/hz7fwAAAAAAAAAAAAAJAAAAAAAAADj5d+agAgAAlOwvy/p/AAAAAAAAAAAAAAAAAAAAAAAAmdZyO6lwAAC4Fy4T8AAAAHgYLhPwAAAAwCud5aACAACg+kLfoAIAAOAYLhMAAAAAsN/f+6ACAAAHAAAAAAAAAAAAAAAAAAAAHBguE/AAAABZGC4T8AAAAIG31xz7fwAAkPEP5qACAAAQCynLAAAAAAAAAAAAAAAAkPEP5qACAACg+kLfoAIAALum2xz7fwAAwBcuE/AAAABZGC4T8AAAAAAAAAAAAA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kCxA36ACAADgw0L8oAIAABCl08r6fwAAiL7+HPt/AAAAAAAAAAAAAOAWLhPwAAAAONwB5qACAAD/jjXK+n8AAAAAAAAAAAAAAAAAAAAAAAAZ13I7qXAAABCl08r6fwAA4MNC/KACAADg////AAAAAKD6Qt+gAgAAeBguEwAAAAAAAAAAAAAAAAYAAAAAAAAAAAAAAAAAAACcFy4T8AAAANkXLhPwAAAAgbfXHPt/AAA4+XfmoAIAAAAAAAAAAAAAOPl35qACAACAFy4T8AAAAKD6Qt+gAgAAu6bbHPt/AABAFy4T8AAAANkXLhPwAAAAAAAAAAAAAAAAAAAAZHYACAAAAAAlAAAADAAAAAMAAAAYAAAADAAAAAAAAAASAAAADAAAAAEAAAAWAAAADAAAAAgAAABUAAAAVAAAAAwAAAA3AAAAIAAAAFoAAAABAAAAVVWPQYX2jkEMAAAAWwAAAAEAAABMAAAABAAAAAsAAAA3AAAAIgAAAFsAAABQAAAAWADhqh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CdAAAAVgAAADAAAAA7AAAAbgAAABwAAAAhAPAAAAAAAAAAAAAAAIA/AAAAAAAAAAAAAIA/AAAAAAAAAAAAAAAAAAAAAAAAAAAAAAAAAAAAAAAAAAAlAAAADAAAAAAAAIAoAAAADAAAAAQAAABSAAAAcAEAAAQAAADs////AAAAAAAAAAAAAAAAkAEAAAAAAAEAAAAAcwBlAGcAbwBlACAAdQBpAAAAAAAAAAAAAAAAAAAAAAAAAAAAAAAAAAAAAAAAAAAAAAAAAAAAAAAAAAAAAAAAAAAAAAAAAAAAAAAAAAAAAAD6fwAAAAgAAAAAAACIvv4c+38AAAAAAAAAAAAAAAAAAAAAAAB4suH7oAIAAJDn3/ugAgAAAAAAAAAAAAAAAAAAAAAAAGnXcjupcAAAoFqtyvp/AACQLEDfoAIAAOz///8AAAAAoPpC36ACAACIGC4TAAAAAAAAAAAAAAAACQAAAAAAAAAAAAAAAAAAAKwXLhPwAAAA6RcuE/AAAACBt9cc+38AADCc7/qgAgAAAAAAAAAAAAAwnO/6oAIAAAAAAAAAAAAAoPpC36ACAAC7ptsc+38AAFAXLhPwAAAA6RcuE/AAAAAAAAAAAAAAAAAAAABkdgAIAAAAACUAAAAMAAAABAAAABgAAAAMAAAAAAAAABIAAAAMAAAAAQAAAB4AAAAYAAAAMAAAADsAAACeAAAAVwAAACUAAAAMAAAABAAAAFQAAACUAAAAMQAAADsAAACcAAAAVgAAAAEAAABVVY9BhfaOQTEAAAA7AAAADAAAAEwAAAAAAAAAAAAAAAAAAAD//////////2QAAABTAGEAZAB5ACAAUABlAHIAZQBpAHIAYQALAAAACgAAAAwAAAAKAAAABQAAAAsAAAAKAAAABwAAAAoAAAAFAAAABwAAAAoAAABLAAAAQAAAADAAAAAFAAAAIAAAAAEAAAABAAAAEAAAAAAAAAAAAAAAQAEAAKAAAAAAAAAAAAAAAEABAACgAAAAJQAAAAwAAAACAAAAJwAAABgAAAAFAAAAAAAAAP///wAAAAAAJQAAAAwAAAAFAAAATAAAAGQAAAAAAAAAYQAAAD8BAACbAAAAAAAAAGEAAABAAQAAOwAAACEA8AAAAAAAAAAAAAAAgD8AAAAAAAAAAAAAgD8AAAAAAAAAAAAAAAAAAAAAAAAAAAAAAAAAAAAAAAAAACUAAAAMAAAAAAAAgCgAAAAMAAAABQAAACcAAAAYAAAABQAAAAAAAAD///8AAAAAACUAAAAMAAAABQAAAEwAAABkAAAADgAAAGEAAAAxAQAAcQAAAA4AAABhAAAAJAEAABEAAAAhAPAAAAAAAAAAAAAAAIA/AAAAAAAAAAAAAIA/AAAAAAAAAAAAAAAAAAAAAAAAAAAAAAAAAAAAAAAAAAAlAAAADAAAAAAAAIAoAAAADAAAAAUAAAAlAAAADAAAAAEAAAAYAAAADAAAAAAAAAASAAAADAAAAAEAAAAeAAAAGAAAAA4AAABhAAAAMgEAAHIAAAAlAAAADAAAAAEAAABUAAAAlAAAAA8AAABhAAAAVwAAAHEAAAABAAAAVVWPQYX2jkEPAAAAYQAAAAwAAABMAAAAAAAAAAAAAAAAAAAA//////////9kAAAAUwBhAGQAeQAgAFAAZQByAGUAaQByAGE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fAAAAA8AAAB2AAAARQAAAIYAAAABAAAAVVWPQYX2jkEPAAAAdgAAAAgAAABMAAAAAAAAAAAAAAAAAAAA//////////9cAAAAQwBvAG4AdABhAGQAbwByAAgAAAAIAAAABwAAAAQAAAAHAAAACAAAAAgAAAAF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  <Object Id="idInvalidSigLnImg">AQAAAGwAAAAAAAAAAAAAAD8BAACfAAAAAAAAAAAAAABmFgAALAsAACBFTUYAAAEAtCE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LAFAAAQAAAABQAAAB8AAAAUAAAAEAAAAAUAAAAQAAAAEAAAAAAA/wEAAAAAAAAAAAAAgD8AAAAAAAAAAAAAgD8AAAAAAAAAAP///wAAAAAAbAAAADQAAACgAAAAEAUAABAAAAAQAAAAKAAAABIAAAASAAAAAQAgAAMAAAAQBQAAAAAAAAAAAAAAAAAAAAAAAAAA/wAA/wAA/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/PkBA+SEiIpcLCwsxBgYGHBMTS1E1N9bmExNLUQAAAAATE0tRNTfW5hMTS1EAAAAAAAAAAAAAAAAAAAAAAAAAAAAAAAA4Ojr/5eXl/3R2dvg4Ojr/g4SE5h4eHh8TE0tRNTfW5h4fd4A1N9bmExNLUQAAAAAAAAAAAAAAAAAAAAAAAAAAAAAAAAAAAAA4Ojr/+vr6//r6+v/6+vr/+vr6/8HBwcUAAAAAHh93gDs97f8eH3eAAAAAAAAAAAAAAAAAAAAAAAAAAAAAAAAAAAAAAAAAAAA4Ojr/+vr6//r6+v/6+vr/3t7e4h4eHh8TE0tRNTfW5h4fd4A1N9bmExNLUQAAAAAAAAAAAAAAAAAAAAAAAAAAAAAAAAAAAAA4Ojr/+vr6//r6+v/e3t7iHh4eHxMTS1E1N9bmExNLUQAAAAATE0tRNTfW5hMTS1EAAAAAAAAAAAAAAAAAAAAAAAAAAAAAAAA4Ojr/+vr6//r6+v88PDw9AAAAAC0us8ETE0tRAAAAAAAAAAAAAAAAExNLUS0us8EAAAAAAAAAAAAAAAAAAAAAAAAAAAAAAAA4Ojr/kZKS/05QUP9UVlb6ISEhOAAAAAAGBgYcAAAAAAAAAAAAAAAAAAAAAAAAAAAAAAAAAAAAAAAAAAAAAAAAAAAAAAAAAAA4Ojr/cXJy/9XV1f/6+vr/zMzM5Ts7O1JERkbpAAAAAAAAAAAAAAAAAAAAAAAAAAAAAAAAAAAAAAAAAAAAAAAAAAAAAB4fH4poaWn3+vr6//r6+v/6+vr/+vr6//r6+v9oaWn3Hh8figAAAAAAAAAAAAAAAAAAAAAAAAAAAAAAAAAAAAAAAAAAAAAAAEJERPLV1dX/+vr6//r6+v/6+vr/+vr6//r6+v/V1dX/QkRE8gAAAAAAAAAAAAAAAAAAAAAAAAAAAAAAAAAAAAAAAAAAAAAAADg6Ov/6+vr/+vr6//r6+v/6+vr/+vr6//r6+v/6+vr/ODo6/wAAAAAAAAAAAAAAAAAAAAAAAAAAAAAAAAAAAAAAAAAAAAAAAERGRvTV1dX/+vr6//r6+v/6+vr/+vr6//r6+v/V1dX/REZG9AAAAAAAAAAAAAAAAAAAAAAAAAAAAAAAAAAAAAAAAAAAAAAAACwtLZhub2/8+vr6//r6+v/6+vr/+vr6//r6+v9ub2/8LC0tmAAAAAAAAAAAAAAAAAAAAAAAAAAAAAAAAAAAAAAAAAAAAAAAAAYGBhxERkbpbm9v/NXV1f/6+vr/1dXV/25vb/xHSUnsBgYGHAAAAAAAAAAAAAAAAAAAAAAAAAAAAAAAAAAAAAAAAAAAAAAAAAAAAAAGBgYcOjs7pkVHR/Y4Ojr/RUdH9jo7O6YGBgYcAAAAAAAAAAAAAAAAAAAAAAAAAAAAAAAAAAAAACcAAAAYAAAAAQAAAAAAAAD///8AAAAAACUAAAAMAAAAAQAAAEwAAABkAAAAMAAAAAUAAACKAAAAFQAAADAAAAAFAAAAWwAAABEAAAAhAPAAAAAAAAAAAAAAAIA/AAAAAAAAAAAAAIA/AAAAAAAAAAAAAAAAAAAAAAAAAAAAAAAAAAAAAAAAAAAlAAAADAAAAAAAAIAoAAAADAAAAAEAAABSAAAAcAEAAAEAAADz////AAAAAAAAAAAAAAAAkAEAAAAAAAEAAAAAcwBlAGcAbwBlACAAdQBpAAAAAAAAAAAAAAAAAAAAAAAAAAAAAAAAAAAAAAAAAAAAAAAAAAAAAAAAAAAAAAAAAAAAAAAAIAAAAAAAAACw2sv6fwAAALDay/p/AACs9r7L+n8AAAAAax37fwAAVeovy/p/AAAwFmsd+38AAKz2vsv6fwAAoBYAAAAAAABAAADA+n8AAAAAax37fwAAIe0vy/p/AAAEAAAAAAAAADAWax37fwAAILovE/AAAACs9r7LAAAAAEgAAAAAAAAArPa+y/p/AACgs9rL+n8AAAD7vsv6fwAAAQAAAAAAAABGIL/L+n8AAAAAax37fwAAAAAAAAAAAAAAAAAAoAIAAAAcneWgAgAAoPpC36ACAAC7ptsc+38AAPC6LxPwAAAAibsvE/AAAAAAAAAAAAAAAAAAAABkdgAIAAAAACUAAAAMAAAAAQAAABgAAAAMAAAA/wAAABIAAAAMAAAAAQAAAB4AAAAYAAAAMAAAAAUAAACLAAAAFgAAACUAAAAMAAAAAQAAAFQAAACoAAAAMQAAAAUAAACJAAAAFQAAAAEAAABVVY9BhfaOQTEAAAAFAAAADwAAAEwAAAAAAAAAAAAAAAAAAAD//////////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DgWLhPwAAAAAAAAAAAAAACIvv4c+38AAAAAAAAAAAAACQAAAAAAAAA4+XfmoAIAAJTsL8v6fwAAAAAAAAAAAAAAAAAAAAAAAJnWcjupcAAAuBcuE/AAAAB4GC4T8AAAAMArneWgAgAAoPpC36ACAADgGC4TAAAAALDf3/ugAgAABwAAAAAAAAAAAAAAAAAAABwYLhPwAAAAWRguE/AAAACBt9cc+38AAJDxD+agAgAAEAspywAAAAAAAAAAAAAAAJDxD+agAgAAoPpC36ACAAC7ptsc+38AAMAXLhPwAAAAWRguE/AAAAAAAAAAAAAAAAAAAABkdgAIAAAAACUAAAAMAAAAAgAAACcAAAAYAAAAAwAAAAAAAAAAAAAAAAAAACUAAAAMAAAAAwAAAEwAAABkAAAAAAAAAAAAAAD//////////wAAAAAcAAAAAAAAAD8AAAAhAPAAAAAAAAAAAAAAAIA/AAAAAAAAAAAAAIA/AAAAAAAAAAAAAAAAAAAAAAAAAAAAAAAAAAAAAAAAAAAlAAAADAAAAAAAAIAoAAAADAAAAAMAAAAnAAAAGAAAAAMAAAAAAAAAAAAAAAAAAAAlAAAADAAAAAMAAABMAAAAZAAAAAAAAAAAAAAA//////////8AAAAAHAAAAEABAAAAAAAAIQDwAAAAAAAAAAAAAACAPwAAAAAAAAAAAACAPwAAAAAAAAAAAAAAAAAAAAAAAAAAAAAAAAAAAAAAAAAAJQAAAAwAAAAAAACAKAAAAAwAAAADAAAAJwAAABgAAAADAAAAAAAAAAAAAAAAAAAAJQAAAAwAAAADAAAATAAAAGQAAAAAAAAAAAAAAP//////////QAEAABwAAAAAAAAAPwAAACEA8AAAAAAAAAAAAAAAgD8AAAAAAAAAAAAAgD8AAAAAAAAAAAAAAAAAAAAAAAAAAAAAAAAAAAAAAAAAACUAAAAMAAAAAAAAgCgAAAAMAAAAAwAAACcAAAAYAAAAAwAAAAAAAAAAAAAAAAAAACUAAAAMAAAAAwAAAEwAAABkAAAAAAAAAFsAAAA/AQAAXAAAAAAAAABbAAAAQAEAAAIAAAAhAPAAAAAAAAAAAAAAAIA/AAAAAAAAAAAAAIA/AAAAAAAAAAAAAAAAAAAAAAAAAAAAAAAAAAAAAAAAAAAlAAAADAAAAAAAAIAoAAAADAAAAAMAAAAnAAAAGAAAAAMAAAAAAAAA////AAAAAAAlAAAADAAAAAMAAABMAAAAZAAAAAAAAAAcAAAAPwEAAFoAAAAAAAAAHAAAAEABAAA/AAAAIQDwAAAAAAAAAAAAAACAPwAAAAAAAAAAAACAPwAAAAAAAAAAAAAAAAAAAAAAAAAAAAAAAAAAAAAAAAAAJQAAAAwAAAAAAACAKAAAAAwAAAADAAAAJwAAABgAAAADAAAAAAAAAP///wAAAAAAJQAAAAwAAAADAAAATAAAAGQAAAALAAAANwAAACEAAABaAAAACwAAADcAAAAXAAAAJAAAACEA8AAAAAAAAAAAAAAAgD8AAAAAAAAAAAAAgD8AAAAAAAAAAAAAAAAAAAAAAAAAAAAAAAAAAAAAAAAAACUAAAAMAAAAAAAAgCgAAAAMAAAAAwAAAFIAAABwAQAAAwAAAOD///8AAAAAAAAAAAAAAACQAQAAAAAAAQAAAABhAHIAaQBhAGwAAAAAAAAAAAAAAAAAAAAAAAAAAAAAAAAAAAAAAAAAAAAAAAAAAAAAAAAAAAAAAAAAAAAAAAAAAAAAAJAsQN+gAgAA4MNC/KACAAAQpdPK+n8AAIi+/hz7fwAAAAAAAAAAAADgFi4T8AAAADjcAeagAgAA/441yvp/AAAAAAAAAAAAAAAAAAAAAAAAGddyO6lwAAAQpdPK+n8AAODDQvygAgAA4P///wAAAACg+kLfoAIAAHgYLhMAAAAAAAAAAAAAAAAGAAAAAAAAAAAAAAAAAAAAnBcuE/AAAADZFy4T8AAAAIG31xz7fwAAOPl35qACAAAAAAAAAAAAADj5d+agAgAAgBcuE/AAAACg+kLfoAIAALum2xz7fwAAQBcuE/AAAADZFy4T8AAAAAAAAAAAAAAAAAAAAGR2AAgAAAAAJQAAAAwAAAADAAAAGAAAAAwAAAAAAAAAEgAAAAwAAAABAAAAFgAAAAwAAAAIAAAAVAAAAFQAAAAMAAAANwAAACAAAABaAAAAAQAAAFVVj0GF9o5BDAAAAFsAAAABAAAATAAAAAQAAAALAAAANwAAACIAAABbAAAAUAAAAFgAAAAVAAAAFgAAAAwAAAAAAAAAJQAAAAwAAAACAAAAJwAAABgAAAAEAAAAAAAAAP///wAAAAAAJQAAAAwAAAAEAAAATAAAAGQAAAAwAAAAIAAAADQBAABaAAAAMAAAACAAAAAFAQAAOwAAACEA8AAAAAAAAAAAAAAAgD8AAAAAAAAAAAAAgD8AAAAAAAAAAAAAAAAAAAAAAAAAAAAAAAAAAAAAAAAAACUAAAAMAAAAAAAAgCgAAAAMAAAABAAAACcAAAAYAAAABAAAAAAAAAD///8AAAAAACUAAAAMAAAABAAAAEwAAABkAAAAMAAAACAAAAA0AQAAVgAAADAAAAAgAAAABQEAADcAAAAhAPAAAAAAAAAAAAAAAIA/AAAAAAAAAAAAAIA/AAAAAAAAAAAAAAAAAAAAAAAAAAAAAAAAAAAAAAAAAAAlAAAADAAAAAAAAIAoAAAADAAAAAQAAAAnAAAAGAAAAAQAAAAAAAAA////AAAAAAAlAAAADAAAAAQAAABMAAAAZAAAADAAAAA7AAAAnQAAAFYAAAAwAAAAOwAAAG4AAAAcAAAAIQDwAAAAAAAAAAAAAACAPwAAAAAAAAAAAACAPwAAAAAAAAAAAAAAAAAAAAAAAAAAAAAAAAAAAAAAAAAAJQAAAAwAAAAAAACAKAAAAAwAAAAEAAAAUgAAAHABAAAEAAAA7P///wAAAAAAAAAAAAAAAJABAAAAAAABAAAAAHMAZQBnAG8AZQAgAHUAaQAAAAAAAAAAAAAAAAAAAAAAAAAAAAAAAAAAAAAAAAAAAAAAAAAAAAAAAAAAAAAAAAAAAAAAAAAAAAAAAAAAAAAA+n8AAAAIAAAAAAAAiL7+HPt/AAAAAAAAAAAAAAAAAAAAAAAAeLLh+6ACAACQ59/7oAIAAAAAAAAAAAAAAAAAAAAAAABp13I7qXAAAKBarcr6fwAAkCxA36ACAADs////AAAAAKD6Qt+gAgAAiBguEwAAAAAAAAAAAAAAAAkAAAAAAAAAAAAAAAAAAACsFy4T8AAAAOkXLhPwAAAAgbfXHPt/AAAwnO/6oAIAAAAAAAAAAAAAMJzv+qACAAAAAAAAAAAAAKD6Qt+gAgAAu6bbHPt/AABQFy4T8AAAAOkXLhPwAAAAAAAAAAAAAAAAAAAAZHYACAAAAAAlAAAADAAAAAQAAAAYAAAADAAAAAAAAAASAAAADAAAAAEAAAAeAAAAGAAAADAAAAA7AAAAngAAAFcAAAAlAAAADAAAAAQAAABUAAAAlAAAADEAAAA7AAAAnAAAAFYAAAABAAAAVVWPQYX2jkExAAAAOwAAAAwAAABMAAAAAAAAAAAAAAAAAAAA//////////9kAAAAUwBhAGQAeQAgAFAAZQByAGUAaQByAGEACwAAAAoAAAAMAAAACgAAAAUAAAALAAAACgAAAAcAAAAKAAAABQAAAAcAAAAK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JQAAAAPAAAAYQAAAFcAAABxAAAAAQAAAFVVj0GF9o5BDwAAAGEAAAAMAAAATAAAAAAAAAAAAAAAAAAAAP//////////ZAAAAFMAYQBkAHkAIABQAGUAcgBlAGkAcgBhAAcAAAAHAAAACAAAAAYAAAAEAAAABwAAAAcAAAAFAAAABwAAAAMAAAAF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//////////XAAAAEMAbwBuAHQAYQBkAG8AcgAIAAAACAAAAAcAAAAEAAAABwAAAAgAAAAIAAAABQAAAEsAAABAAAAAMAAAAAUAAAAgAAAAAQAAAAEAAAAQAAAAAAAAAAAAAABAAQAAoAAAAAAAAAAAAAAAQAEAAKAAAAAlAAAADAAAAAIAAAAnAAAAGAAAAAUAAAAAAAAA////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fqSnJjMqx4ZbUPG0yKZwzGiCtcS1P72HHuYI12rH07M=</DigestValue>
    </Reference>
    <Reference Type="http://www.w3.org/2000/09/xmldsig#Object" URI="#idOfficeObject">
      <DigestMethod Algorithm="http://www.w3.org/2001/04/xmlenc#sha256"/>
      <DigestValue>gAi78CYoKNzMXy1C1D19oPUwjXTnhgBnX1OK2lfuIZs=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c9zK8fjmZScuahsP6vzOldCnsx9hYWoW6Ko+YUmrqLE=</DigestValue>
    </Reference>
    <Reference Type="http://www.w3.org/2000/09/xmldsig#Object" URI="#idValidSigLnImg">
      <DigestMethod Algorithm="http://www.w3.org/2001/04/xmlenc#sha256"/>
      <DigestValue>3rvFRvWJP7u6XJ5HIiK9eNTjrr9gaPXsMcTNAorPtyQ=</DigestValue>
    </Reference>
    <Reference Type="http://www.w3.org/2000/09/xmldsig#Object" URI="#idInvalidSigLnImg">
      <DigestMethod Algorithm="http://www.w3.org/2001/04/xmlenc#sha256"/>
      <DigestValue>p3H0qbcn98huLRTGoV8dpnDf4mv4jzD46ECzFVLAexQ=</DigestValue>
    </Reference>
  </SignedInfo>
  <SignatureValue>0uKNhm093e6S0VD5m8CAuH0w7G0xVeL30jektRNQiX1foYgIcG922WYikBYGY3csL5wzOHBzquld
LvOHicOK3XZFFKqEJHlfMLW5mQ4EdUFxlBt5Qe+2dWJvSdzSHctwCteEozeT3rC+VkJT0aektlfV
ZsufgaITz28PZJFPQZ86tjqkicC0cXEmyPqj97IYykmVQjS3Qe1QL7TQip8p13cHNjOG9fd/nJc9
qtpbtJX1xX35Si6BonBGo/sXuRdGM2AIlB90GD/UrFBX1Yhdqv5MNFjCfvQJqn3kGp+bNn754vy1
8OJMU/kI4+3qUgtKj7CtpmjPuIb0pn4iaH5wrg==</SignatureValue>
  <KeyInfo>
    <X509Data>
      <X509Certificate>MIIIHTCCBgWgAwIBAgIIQBLFYaXZOhUwDQYJKoZIhvcNAQELBQAwWzEXMBUGA1UEBRMOUlVDIDgwMDUwMTcyLTExGjAYBgNVBAMTEUNBLURPQ1VNRU5UQSBTLkEuMRcwFQYDVQQKEw5ET0NVTUVOVEEgUy5BLjELMAkGA1UEBhMCUFkwHhcNMjEwMzA5MTIyODMwWhcNMjMwMzA5MTIzODMwWjCBvTELMAkGA1UEBhMCUFkxHjAcBgNVBAQMFU9QT1JUTyBMRUlWQSBFU1BJTk9MQTESMBAGA1UEBRMJQ0k3MTczOTkzMRswGQYDVQQqDBJGRURFUklDTyBTRUJBU1RJQU4xFzAVBgNVBAoMDlBFUlNPTkEgRklTSUNBMREwDwYDVQQLDAhGSVJNQSBGMjExMC8GA1UEAwwoRkVERVJJQ08gU0VCQVNUSUFOIE9QT1JUTyBMRUlWQSBFU1BJTk9MQTCCASIwDQYJKoZIhvcNAQEBBQADggEPADCCAQoCggEBANXxourNpqnBK9YFT59B5dcgWZW2RlIqwBhNUc2Im0VoZSg8AQ4F7omaGTIzPY3hArf/N7JneusXPu3foxPTTGWk1hvWf2CHm4D35vrebO1h2YaDD6Hz23tAgqr/+AhpbA4CJ/ieQUWE61Oa4jqdMXiHJOxYAtG7mUx7om2sWssXj/KxWdUUC3ITRPiZnBc1ZjlNjNsW6Z/Sj+RRjzAu+4wxIFtLLVa1f89gOoWVYvyCSeLFZYn/7PyL+/DbKVknT4QhZGShQ2ih7Fczh/4VSkQWlIY5q6mXbN5RAkjnvbO07xYEHEuEhcTmKrHI/eyvyDwHbodYYr8R2oAg+AV+3OECAwEAAaOCA4AwggN8MAwGA1UdEwEB/wQCMAAwDgYDVR0PAQH/BAQDAgXgMCoGA1UdJQEB/wQgMB4GCCsGAQUFBwMBBggrBgEFBQcDAgYIKwYBBQUHAwQwHQYDVR0OBBYEFEs6XtTt3z38s5GbxNOJ5gHo0UBN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zZWJhc3RpYW5vcG9ydG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qTuxm0RUNLqAZD4t3TsnJmK0B+f1/E/C4rwfgyWbGzZSYD5VuZ+bFEuyVIPmuwPxNMxIrvV/ZFUPuCSHIcuJ8tyBMjkssR0CNigmjpxEWYeYNstFR2Qz3kKd6U8aVfmEd1py0uQm9SfhpZ+3bGIWLlS+EdbX1kDnZs17GFGwMA7RRCME1zacDpuFj1RyG8ViiYSG+L8v/kWEcbbryHxIL+CSEPfmOt3hNJkQXGzeTznpzmgf2UI7mKAZq9L5cciTaNDtr+nhLtcfVmrhv0e4uVTprJwteMMJ6576Szd03zX0l3XRDH/+iNAILrnyBfIa793Zgr09oNHBBvH5LQwhQ2dYp5TlCJONRuSlQGMxN6R2S8dWSf2W7+Dz3b6kmR7FBLR0zl3tl+ckEo3ofT3LjqINqmxvi67B8i97Gn2CPnSlyChPuAdLWEEhEnlw4AqSY9oAZfEV4InYzNcVrtJ78oAK/6RvHlRJoIzXr7gQekWm7HFfyH31o+4RLNg1D6dgiycXjvPiAaDqEUd9xcXnaYVajHHDafzoPV8nulzxbtCWbQOc3w+AMeBwhXoNo/A1IYxbZ8IpRFsq3NEQYJnEmuaqVHLxOHOaTgooqmZ71AIIy4HHI1g/Vw/TfPAysNZmJ5bZh2KDuPIm2yWupbDAJg9Ag6Wf83fCsdvjLMAhIS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3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8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</Transform>
          <Transform Algorithm="http://www.w3.org/TR/2001/REC-xml-c14n-20010315"/>
        </Transforms>
        <DigestMethod Algorithm="http://www.w3.org/2001/04/xmlenc#sha256"/>
        <DigestValue>XSOv0XtT8CygNMveNSd+6nSYbnOYBMFeiipT8yEZGn4=</DigestValue>
      </Reference>
      <Reference URI="/xl/calcChain.xml?ContentType=application/vnd.openxmlformats-officedocument.spreadsheetml.calcChain+xml">
        <DigestMethod Algorithm="http://www.w3.org/2001/04/xmlenc#sha256"/>
        <DigestValue>aq5tRlB0bMCROA38k1WhkUiztm3Edd73ak6Ndox6xI8=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S9Sj+Tzwipf0w/2Q1Awt/nmWcha+RGDwfrceJMwrk+Q=</DigestValue>
      </Reference>
      <Reference URI="/xl/drawings/drawing1.xml?ContentType=application/vnd.openxmlformats-officedocument.drawing+xml">
        <DigestMethod Algorithm="http://www.w3.org/2001/04/xmlenc#sha256"/>
        <DigestValue>F3SqR04cQL4AtNia0EMIRvGy3tJC5nkwlEBwWs9K/+0=</DigestValue>
      </Reference>
      <Reference URI="/xl/drawings/drawing10.xml?ContentType=application/vnd.openxmlformats-officedocument.drawing+xml">
        <DigestMethod Algorithm="http://www.w3.org/2001/04/xmlenc#sha256"/>
        <DigestValue>EmJ3yZuiyReo4iZHgFC8G72duB28MCGBhEc1ha/1NUQ=</DigestValue>
      </Reference>
      <Reference URI="/xl/drawings/drawing11.xml?ContentType=application/vnd.openxmlformats-officedocument.drawing+xml">
        <DigestMethod Algorithm="http://www.w3.org/2001/04/xmlenc#sha256"/>
        <DigestValue>4hc8dSd9AlXkhyJrcamMMzJFdjFn1e8T/EwGPUSFYZw=</DigestValue>
      </Reference>
      <Reference URI="/xl/drawings/drawing12.xml?ContentType=application/vnd.openxmlformats-officedocument.drawing+xml">
        <DigestMethod Algorithm="http://www.w3.org/2001/04/xmlenc#sha256"/>
        <DigestValue>aTtTWauz0UZRIJ4dOrD1br5D9ngYHYd1qQ8SJezDZ/s=</DigestValue>
      </Reference>
      <Reference URI="/xl/drawings/drawing13.xml?ContentType=application/vnd.openxmlformats-officedocument.drawing+xml">
        <DigestMethod Algorithm="http://www.w3.org/2001/04/xmlenc#sha256"/>
        <DigestValue>fyeQDtB1L4fKHdjXMfadAzJ+XttcElZnTKQrn0aJLMA=</DigestValue>
      </Reference>
      <Reference URI="/xl/drawings/drawing14.xml?ContentType=application/vnd.openxmlformats-officedocument.drawing+xml">
        <DigestMethod Algorithm="http://www.w3.org/2001/04/xmlenc#sha256"/>
        <DigestValue>ztZuFdGbzaDM73nxloBhbqlheY2rW8zFiatDM82naGM=</DigestValue>
      </Reference>
      <Reference URI="/xl/drawings/drawing15.xml?ContentType=application/vnd.openxmlformats-officedocument.drawing+xml">
        <DigestMethod Algorithm="http://www.w3.org/2001/04/xmlenc#sha256"/>
        <DigestValue>7Crfh4OCAXT2h7joD66S11h4PGEa3o4qFg3GzIvC76c=</DigestValue>
      </Reference>
      <Reference URI="/xl/drawings/drawing16.xml?ContentType=application/vnd.openxmlformats-officedocument.drawing+xml">
        <DigestMethod Algorithm="http://www.w3.org/2001/04/xmlenc#sha256"/>
        <DigestValue>fYLaJKG0Xk4M6RUvvnwf5ws19FEUiovaWFUqhno/7T8=</DigestValue>
      </Reference>
      <Reference URI="/xl/drawings/drawing17.xml?ContentType=application/vnd.openxmlformats-officedocument.drawing+xml">
        <DigestMethod Algorithm="http://www.w3.org/2001/04/xmlenc#sha256"/>
        <DigestValue>vxiR4qhlAeIQmtfSer2lD7px7ow90iv2e+T9Wh7JrbU=</DigestValue>
      </Reference>
      <Reference URI="/xl/drawings/drawing18.xml?ContentType=application/vnd.openxmlformats-officedocument.drawing+xml">
        <DigestMethod Algorithm="http://www.w3.org/2001/04/xmlenc#sha256"/>
        <DigestValue>bCX7Bp53w98Tmk+hbu3eEPr6FbvILmYIWFi2Iin1BqM=</DigestValue>
      </Reference>
      <Reference URI="/xl/drawings/drawing19.xml?ContentType=application/vnd.openxmlformats-officedocument.drawing+xml">
        <DigestMethod Algorithm="http://www.w3.org/2001/04/xmlenc#sha256"/>
        <DigestValue>m8T33RE26ElQ9oW/C8Rj01MTKyGg+IL1rSwHl3ELb/g=</DigestValue>
      </Reference>
      <Reference URI="/xl/drawings/drawing2.xml?ContentType=application/vnd.openxmlformats-officedocument.drawing+xml">
        <DigestMethod Algorithm="http://www.w3.org/2001/04/xmlenc#sha256"/>
        <DigestValue>Nms7uEOzim4F0UWfIuxfdXTHfkBS3FXqT0495W5w74c=</DigestValue>
      </Reference>
      <Reference URI="/xl/drawings/drawing20.xml?ContentType=application/vnd.openxmlformats-officedocument.drawing+xml">
        <DigestMethod Algorithm="http://www.w3.org/2001/04/xmlenc#sha256"/>
        <DigestValue>yIcaiQDVET+cRcCWVoALoJYf1Jxq4p5//g+8WvGDwyk=</DigestValue>
      </Reference>
      <Reference URI="/xl/drawings/drawing21.xml?ContentType=application/vnd.openxmlformats-officedocument.drawing+xml">
        <DigestMethod Algorithm="http://www.w3.org/2001/04/xmlenc#sha256"/>
        <DigestValue>LMvkHID9Pn6LwATk2RAY/3meEyHRcoLB5hmMQTYdYAo=</DigestValue>
      </Reference>
      <Reference URI="/xl/drawings/drawing22.xml?ContentType=application/vnd.openxmlformats-officedocument.drawing+xml">
        <DigestMethod Algorithm="http://www.w3.org/2001/04/xmlenc#sha256"/>
        <DigestValue>5ohmp2zr/qVHttXG8Lv5qz+iVpCn5Wcy73y9C3tq/N0=</DigestValue>
      </Reference>
      <Reference URI="/xl/drawings/drawing23.xml?ContentType=application/vnd.openxmlformats-officedocument.drawing+xml">
        <DigestMethod Algorithm="http://www.w3.org/2001/04/xmlenc#sha256"/>
        <DigestValue>fnZ96SpsZu7GPtyrxW00eIwAOzdhe8bNv4pcuX/mnrM=</DigestValue>
      </Reference>
      <Reference URI="/xl/drawings/drawing24.xml?ContentType=application/vnd.openxmlformats-officedocument.drawing+xml">
        <DigestMethod Algorithm="http://www.w3.org/2001/04/xmlenc#sha256"/>
        <DigestValue>A/lGg1SjF3QA3djjuD4kzN39xmNc1nZUAOmfF8sfCKI=</DigestValue>
      </Reference>
      <Reference URI="/xl/drawings/drawing25.xml?ContentType=application/vnd.openxmlformats-officedocument.drawing+xml">
        <DigestMethod Algorithm="http://www.w3.org/2001/04/xmlenc#sha256"/>
        <DigestValue>vQN4cJPp77OzD/c3vh0BkhB+Rdmsijbc/fKfCT6U4Wg=</DigestValue>
      </Reference>
      <Reference URI="/xl/drawings/drawing26.xml?ContentType=application/vnd.openxmlformats-officedocument.drawing+xml">
        <DigestMethod Algorithm="http://www.w3.org/2001/04/xmlenc#sha256"/>
        <DigestValue>WFyrPZBqtkATyBesyIiavbgO3LSTVisN+OzoI0sIgFA=</DigestValue>
      </Reference>
      <Reference URI="/xl/drawings/drawing27.xml?ContentType=application/vnd.openxmlformats-officedocument.drawing+xml">
        <DigestMethod Algorithm="http://www.w3.org/2001/04/xmlenc#sha256"/>
        <DigestValue>pW57+saTM9Fbo2D5EmFmfWyFKKWMtBCvRAH1fDRFiwQ=</DigestValue>
      </Reference>
      <Reference URI="/xl/drawings/drawing3.xml?ContentType=application/vnd.openxmlformats-officedocument.drawing+xml">
        <DigestMethod Algorithm="http://www.w3.org/2001/04/xmlenc#sha256"/>
        <DigestValue>kt/OlWWnvr+vvhr9PnIeZDO2BKLpigNNgU8wgiIkB2w=</DigestValue>
      </Reference>
      <Reference URI="/xl/drawings/drawing4.xml?ContentType=application/vnd.openxmlformats-officedocument.drawing+xml">
        <DigestMethod Algorithm="http://www.w3.org/2001/04/xmlenc#sha256"/>
        <DigestValue>2uBupDAdo1pFs+a8jrxo3T9KmL7j4HJV1g00DfMhWIg=</DigestValue>
      </Reference>
      <Reference URI="/xl/drawings/drawing5.xml?ContentType=application/vnd.openxmlformats-officedocument.drawing+xml">
        <DigestMethod Algorithm="http://www.w3.org/2001/04/xmlenc#sha256"/>
        <DigestValue>ZkyNqP0EibsqteNA+atRNFD2XfUAdd3+Ehg3Q3a75O0=</DigestValue>
      </Reference>
      <Reference URI="/xl/drawings/drawing6.xml?ContentType=application/vnd.openxmlformats-officedocument.drawing+xml">
        <DigestMethod Algorithm="http://www.w3.org/2001/04/xmlenc#sha256"/>
        <DigestValue>Z53XPcLNYzeulW7rSS34/nEYpgVE/gShWDB802YMLos=</DigestValue>
      </Reference>
      <Reference URI="/xl/drawings/drawing7.xml?ContentType=application/vnd.openxmlformats-officedocument.drawing+xml">
        <DigestMethod Algorithm="http://www.w3.org/2001/04/xmlenc#sha256"/>
        <DigestValue>tPpxSYJJo1ETDtQDYVpTIr+0DRq5aS5xFyv++sPA2HU=</DigestValue>
      </Reference>
      <Reference URI="/xl/drawings/drawing8.xml?ContentType=application/vnd.openxmlformats-officedocument.drawing+xml">
        <DigestMethod Algorithm="http://www.w3.org/2001/04/xmlenc#sha256"/>
        <DigestValue>m5abhA6aOBcxAabvSe7ij2Z8jhQXUJQYuO0nAv9+p8I=</DigestValue>
      </Reference>
      <Reference URI="/xl/drawings/drawing9.xml?ContentType=application/vnd.openxmlformats-officedocument.drawing+xml">
        <DigestMethod Algorithm="http://www.w3.org/2001/04/xmlenc#sha256"/>
        <DigestValue>P2k5qQkiIReU8qQuG4KDGuRxUR4hS7bSWAmxuZOX28Q=</DigestValue>
      </Reference>
      <Reference URI="/xl/drawings/vmlDrawing1.vml?ContentType=application/vnd.openxmlformats-officedocument.vmlDrawing">
        <DigestMethod Algorithm="http://www.w3.org/2001/04/xmlenc#sha256"/>
        <DigestValue>QDSMTR7kf85JpM5d/DjCblE4o8qwc7wRLcEifDIG6Xk=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QCUd4S2AR5kBEdM2lM/qKg2NIYxhQ+ilG7IzUn+1xxs=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Bp6nMcbK6HxDExnu3n6yXJPea6twKxo/ZO8FGh7WPco=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dx+pAptznXdPgG/mRHGPa2UyUfEVSTWmn6kj1sohP9s=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iAxfY//ZMROkxXIiMFom0b755W/ea7udeDBKwcMAZuo=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SdQJjQY5jEz+g68sWENVY3xBDeTUwuwYeHFyBdpKr1E=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mM4C6vLpjYA9G+IudnmCrADZETz3+355H7kd0oIz2Q8=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RRL8SjdUyJpsxlIjdku22A0YH5wV4QSMrdwlmMvSrcw=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R57m5EpyXJI/iumAHKMEXpqMNwkFOdxjxQZxj2XoWos=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YEYVjQKD3wsuCmdZviRvL8fWn5aozppQPDsPA+1M48s=</DigestValue>
      </Reference>
      <Reference URI="/xl/media/image1.png?ContentType=image/png">
        <DigestMethod Algorithm="http://www.w3.org/2001/04/xmlenc#sha256"/>
        <DigestValue>kR7d6y9y6vB05DHeg434VEOzOc3IrU3GNAUtpCeAj2M=</DigestValue>
      </Reference>
      <Reference URI="/xl/media/image2.emf?ContentType=image/x-emf">
        <DigestMethod Algorithm="http://www.w3.org/2001/04/xmlenc#sha256"/>
        <DigestValue>XHVdL5VfArFMOfCEK3V5IyifE6qNqIOh7tUNoUvRJic=</DigestValue>
      </Reference>
      <Reference URI="/xl/media/image3.emf?ContentType=image/x-emf">
        <DigestMethod Algorithm="http://www.w3.org/2001/04/xmlenc#sha256"/>
        <DigestValue>/4cZIYAB6y34GcTWehx9tQUAK4jWdVasXUhi9bgksWo=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26HqXRIPb6BZwT7U9IC6VtEL0dFpmbYLuhHRicgLN3w=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FdrMkMhojDKV1MN7NEh+s4YsYgJw60tznXdi8xGJ3nE=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sharedStrings.xml?ContentType=application/vnd.openxmlformats-officedocument.spreadsheetml.sharedStrings+xml">
        <DigestMethod Algorithm="http://www.w3.org/2001/04/xmlenc#sha256"/>
        <DigestValue>HMStnFlJ2OY5e7lSczgjP6b305sFG5lYQFD0ohxGf30=</DigestValue>
      </Reference>
      <Reference URI="/xl/styles.xml?ContentType=application/vnd.openxmlformats-officedocument.spreadsheetml.styles+xml">
        <DigestMethod Algorithm="http://www.w3.org/2001/04/xmlenc#sha256"/>
        <DigestValue>OTRP3nklfi70wSw4YYkiuFw27NFIwOjlHfHzam9x+8k=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workbook.xml?ContentType=application/vnd.openxmlformats-officedocument.spreadsheetml.sheet.main+xml">
        <DigestMethod Algorithm="http://www.w3.org/2001/04/xmlenc#sha256"/>
        <DigestValue>Vl2Pv2PH+AQ4kRZR/Mo2++6IHskg2ILSa5Oz0k6nuRA=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u3TVO4lHIDAXQzmMvS3JK7CEvDjkOIsYQ8kWsGlA/Cg=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PV/vzIUqhTpu8O+leN9UZZ1Snk86hdBWCAPIT5LPwV4=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EhgEwQpnoBkaJ5GDhG7watcbCxRNooJcutk11/o397k=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ouUjUhk6XB4ZDAvQfTJvq7L+desPAVXUVwo9mge5p6U=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mc/2OxhBel9uRxpmH0N92+Nuac3WoNV992syZxu9cZQ=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iWCU4DBPtwuredku8ZlsYqjq4AgU3pXVRB544N8Fhb0=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+pRc/PukNoQmuEsh9drmfpwgDyaxjlLdykDmuPXzan0=</DigestValue>
      </Reference>
      <Reference URI="/xl/worksheets/sheet1.xml?ContentType=application/vnd.openxmlformats-officedocument.spreadsheetml.worksheet+xml">
        <DigestMethod Algorithm="http://www.w3.org/2001/04/xmlenc#sha256"/>
        <DigestValue>SNDhTMFGhryB31oEeYiadIvggO550nFIKMX6wVLTyJs=</DigestValue>
      </Reference>
      <Reference URI="/xl/worksheets/sheet10.xml?ContentType=application/vnd.openxmlformats-officedocument.spreadsheetml.worksheet+xml">
        <DigestMethod Algorithm="http://www.w3.org/2001/04/xmlenc#sha256"/>
        <DigestValue>FS3pxqvXdWOX/5p5Xil5yM4jp3rRZCfYmp5IGVYkAsE=</DigestValue>
      </Reference>
      <Reference URI="/xl/worksheets/sheet11.xml?ContentType=application/vnd.openxmlformats-officedocument.spreadsheetml.worksheet+xml">
        <DigestMethod Algorithm="http://www.w3.org/2001/04/xmlenc#sha256"/>
        <DigestValue>3Qx8UFfNkusIA5ShyUFpNY3BCsaxkFXxbvWnBKo2yvg=</DigestValue>
      </Reference>
      <Reference URI="/xl/worksheets/sheet12.xml?ContentType=application/vnd.openxmlformats-officedocument.spreadsheetml.worksheet+xml">
        <DigestMethod Algorithm="http://www.w3.org/2001/04/xmlenc#sha256"/>
        <DigestValue>BSek2pS4pXHVzfUg/uRZLiNzjW8iJI5gDJBxel9f+Cc=</DigestValue>
      </Reference>
      <Reference URI="/xl/worksheets/sheet13.xml?ContentType=application/vnd.openxmlformats-officedocument.spreadsheetml.worksheet+xml">
        <DigestMethod Algorithm="http://www.w3.org/2001/04/xmlenc#sha256"/>
        <DigestValue>zyy/6hcQ9378EF6ZVaC6Xgw3ETGFw1vhJQ13KkybLlM=</DigestValue>
      </Reference>
      <Reference URI="/xl/worksheets/sheet14.xml?ContentType=application/vnd.openxmlformats-officedocument.spreadsheetml.worksheet+xml">
        <DigestMethod Algorithm="http://www.w3.org/2001/04/xmlenc#sha256"/>
        <DigestValue>y7D6PJMAUwxQ1yIpkm+FxsMr3TR4pDPEZXHM1fPq4b8=</DigestValue>
      </Reference>
      <Reference URI="/xl/worksheets/sheet15.xml?ContentType=application/vnd.openxmlformats-officedocument.spreadsheetml.worksheet+xml">
        <DigestMethod Algorithm="http://www.w3.org/2001/04/xmlenc#sha256"/>
        <DigestValue>+W+iYWOdVkS/1Z4VCSNaeZxdNgRASPP6urJh4weDGmE=</DigestValue>
      </Reference>
      <Reference URI="/xl/worksheets/sheet16.xml?ContentType=application/vnd.openxmlformats-officedocument.spreadsheetml.worksheet+xml">
        <DigestMethod Algorithm="http://www.w3.org/2001/04/xmlenc#sha256"/>
        <DigestValue>9yv2PIr2udElM/RF2qa3ynT7qPv4EK6geHWOV4KxBxI=</DigestValue>
      </Reference>
      <Reference URI="/xl/worksheets/sheet17.xml?ContentType=application/vnd.openxmlformats-officedocument.spreadsheetml.worksheet+xml">
        <DigestMethod Algorithm="http://www.w3.org/2001/04/xmlenc#sha256"/>
        <DigestValue>mPabFS6pMagWgw+dkPZcxybmcaDFsjghGfODKZCHdQ0=</DigestValue>
      </Reference>
      <Reference URI="/xl/worksheets/sheet18.xml?ContentType=application/vnd.openxmlformats-officedocument.spreadsheetml.worksheet+xml">
        <DigestMethod Algorithm="http://www.w3.org/2001/04/xmlenc#sha256"/>
        <DigestValue>0QwNz5tKPKoiXbwRF0OERCX9e5UMw2AHdzZnwHIl5ag=</DigestValue>
      </Reference>
      <Reference URI="/xl/worksheets/sheet19.xml?ContentType=application/vnd.openxmlformats-officedocument.spreadsheetml.worksheet+xml">
        <DigestMethod Algorithm="http://www.w3.org/2001/04/xmlenc#sha256"/>
        <DigestValue>5uFkXDZnvOjacEk7Jz9e3i9Ys5GrKLoqWtznTrYHVco=</DigestValue>
      </Reference>
      <Reference URI="/xl/worksheets/sheet2.xml?ContentType=application/vnd.openxmlformats-officedocument.spreadsheetml.worksheet+xml">
        <DigestMethod Algorithm="http://www.w3.org/2001/04/xmlenc#sha256"/>
        <DigestValue>NUJx5woN2reg93dsBlFSQaOymhIYpHXUg+W5uWw33DM=</DigestValue>
      </Reference>
      <Reference URI="/xl/worksheets/sheet20.xml?ContentType=application/vnd.openxmlformats-officedocument.spreadsheetml.worksheet+xml">
        <DigestMethod Algorithm="http://www.w3.org/2001/04/xmlenc#sha256"/>
        <DigestValue>k+vw0+k16RFLzc4JhzYKV3WM3JjX1ZHXpVQJdJkeVjo=</DigestValue>
      </Reference>
      <Reference URI="/xl/worksheets/sheet21.xml?ContentType=application/vnd.openxmlformats-officedocument.spreadsheetml.worksheet+xml">
        <DigestMethod Algorithm="http://www.w3.org/2001/04/xmlenc#sha256"/>
        <DigestValue>FJNK3oW1psGc59nswMZ6wuzksBUKqWcinC0kVOHb+tI=</DigestValue>
      </Reference>
      <Reference URI="/xl/worksheets/sheet22.xml?ContentType=application/vnd.openxmlformats-officedocument.spreadsheetml.worksheet+xml">
        <DigestMethod Algorithm="http://www.w3.org/2001/04/xmlenc#sha256"/>
        <DigestValue>+k1epWW8dq/FL7l6gfeOCUqRftaP2CAdYA1j5uhchcE=</DigestValue>
      </Reference>
      <Reference URI="/xl/worksheets/sheet23.xml?ContentType=application/vnd.openxmlformats-officedocument.spreadsheetml.worksheet+xml">
        <DigestMethod Algorithm="http://www.w3.org/2001/04/xmlenc#sha256"/>
        <DigestValue>pvN1XCey2NprQIG5KLgbtFYJKYVz8xi7hv+igYOAMNY=</DigestValue>
      </Reference>
      <Reference URI="/xl/worksheets/sheet24.xml?ContentType=application/vnd.openxmlformats-officedocument.spreadsheetml.worksheet+xml">
        <DigestMethod Algorithm="http://www.w3.org/2001/04/xmlenc#sha256"/>
        <DigestValue>CqKVyiqojstxeN2aMYlTNHI6CvIUKAktPXKUMZ29gLU=</DigestValue>
      </Reference>
      <Reference URI="/xl/worksheets/sheet25.xml?ContentType=application/vnd.openxmlformats-officedocument.spreadsheetml.worksheet+xml">
        <DigestMethod Algorithm="http://www.w3.org/2001/04/xmlenc#sha256"/>
        <DigestValue>A8N2kYw0zDg29puYu/HhQtEvsSxUbMtp6hzaNBgg4zo=</DigestValue>
      </Reference>
      <Reference URI="/xl/worksheets/sheet26.xml?ContentType=application/vnd.openxmlformats-officedocument.spreadsheetml.worksheet+xml">
        <DigestMethod Algorithm="http://www.w3.org/2001/04/xmlenc#sha256"/>
        <DigestValue>4qg+CLQvuZ73gPG8auz0WygjGwNC5tghMWCclLs+GFs=</DigestValue>
      </Reference>
      <Reference URI="/xl/worksheets/sheet27.xml?ContentType=application/vnd.openxmlformats-officedocument.spreadsheetml.worksheet+xml">
        <DigestMethod Algorithm="http://www.w3.org/2001/04/xmlenc#sha256"/>
        <DigestValue>HX5eqmA1F7/cDy+7VoZLYyHbqiP3I6wjluRORSeZYGY=</DigestValue>
      </Reference>
      <Reference URI="/xl/worksheets/sheet3.xml?ContentType=application/vnd.openxmlformats-officedocument.spreadsheetml.worksheet+xml">
        <DigestMethod Algorithm="http://www.w3.org/2001/04/xmlenc#sha256"/>
        <DigestValue>VH60ZIyhkqv4jTmBp/nUWiCPBLATHE+ELND4mb1IUf4=</DigestValue>
      </Reference>
      <Reference URI="/xl/worksheets/sheet4.xml?ContentType=application/vnd.openxmlformats-officedocument.spreadsheetml.worksheet+xml">
        <DigestMethod Algorithm="http://www.w3.org/2001/04/xmlenc#sha256"/>
        <DigestValue>gfsrE6CupDjHdjS6xy0YVtA3wCSiww9nmqPAH8fCCqw=</DigestValue>
      </Reference>
      <Reference URI="/xl/worksheets/sheet5.xml?ContentType=application/vnd.openxmlformats-officedocument.spreadsheetml.worksheet+xml">
        <DigestMethod Algorithm="http://www.w3.org/2001/04/xmlenc#sha256"/>
        <DigestValue>B68SIGKdORrdCv8QyUpfnzy57KYUBwY3zvOBuxrxWqg=</DigestValue>
      </Reference>
      <Reference URI="/xl/worksheets/sheet6.xml?ContentType=application/vnd.openxmlformats-officedocument.spreadsheetml.worksheet+xml">
        <DigestMethod Algorithm="http://www.w3.org/2001/04/xmlenc#sha256"/>
        <DigestValue>AJbk9xLGxJ4T9eHsfphIDMv9GUTJaJlwe5T3LlgBPGA=</DigestValue>
      </Reference>
      <Reference URI="/xl/worksheets/sheet7.xml?ContentType=application/vnd.openxmlformats-officedocument.spreadsheetml.worksheet+xml">
        <DigestMethod Algorithm="http://www.w3.org/2001/04/xmlenc#sha256"/>
        <DigestValue>tC7EOsnUy2v4hR0IVn0IufzgFUrFFPiO40tqxD9LeWw=</DigestValue>
      </Reference>
      <Reference URI="/xl/worksheets/sheet8.xml?ContentType=application/vnd.openxmlformats-officedocument.spreadsheetml.worksheet+xml">
        <DigestMethod Algorithm="http://www.w3.org/2001/04/xmlenc#sha256"/>
        <DigestValue>mdm7byIaIh9X4pCLgmpHxrn4YtlBwGQIn4vUs+hhhBU=</DigestValue>
      </Reference>
      <Reference URI="/xl/worksheets/sheet9.xml?ContentType=application/vnd.openxmlformats-officedocument.spreadsheetml.worksheet+xml">
        <DigestMethod Algorithm="http://www.w3.org/2001/04/xmlenc#sha256"/>
        <DigestValue>M78C7eE6TgKE3gvkvShhQ1RoZjAkvVuqUDh6LlG5aaE=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2021-11-15T15:52:35Z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Sebastian Oporto Leiva</SignatureText>
          <SignatureImage/>
          <SignatureComments/>
          <WindowsVersion>10.0</WindowsVersion>
          <OfficeVersion>16.0.14527/23</OfficeVersion>
          <ApplicationVersion>16.0.14527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2021-11-15T15:52:35Z</xd:SigningTime>
          <xd:SigningCertificate>
            <xd:Cert>
              <xd:CertDigest>
                <DigestMethod Algorithm="http://www.w3.org/2001/04/xmlenc#sha256"/>
                <DigestValue>JxmNCuDVNNtv/ftOgITGaTx9fxItXnxdWsYO5VwzOh0=</DigestValue>
              </xd:CertDigest>
              <xd:IssuerSerial>
                <X509IssuerName>C=PY, O=DOCUMENTA S.A., CN=CA-DOCUMENTA S.A., SERIALNUMBER=RUC 80050172-1</X509IssuerName>
                <X509SerialNumber>4616969591193156117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BAAB/AAAAAAAAAAAAAAA9FwAA8AgAACBFTUYAAAEAJBwAAKoAAAAGAAAAAAAAAAAAAAAAAAAAgAcAADgEAABYAQAAwQAAAAAAAAAAAAAAAAAAAMA/BQDo8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+AAAABAAAAAoAAABMAAAAAAAAAAAAAAAAAAAA//////////9gAAAAMQA1AC8AMQAxAC8AMgAwADIAMQAGAAAABgAAAAQAAAAGAAAABgAAAAQAAAAGAAAABgAAAAYAAAAGAAAASwAAAEAAAAAwAAAABQAAACAAAAABAAAAAQAAABAAAAAAAAAAAAAAAEwBAACAAAAAAAAAAAAAAABM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LAAAARwAAACkAAAAzAAAAow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MAAAASAAAACUAAAAMAAAABAAAAFQAAADQAAAAKgAAADMAAADKAAAARwAAAAEAAABVVY9BhfaOQSoAAAAzAAAAFgAAAEwAAAAAAAAAAAAAAAAAAAD//////////3gAAABTAGUAYgBhAHMAdABpAGEAbgAgAE8AcABvAHIAdABvACAATABlAGkAdgBhAAkAAAAIAAAACQAAAAgAAAAHAAAABQAAAAQAAAAIAAAACQAAAAQAAAAMAAAACQAAAAkAAAAGAAAABQAAAAkAAAAEAAAACAAAAAgAAAAEAAAACAAAAAgAAABLAAAAQAAAADAAAAAFAAAAIAAAAAEAAAABAAAAEAAAAAAAAAAAAAAATAEAAIAAAAAAAAAAAAAAAEwBAACAAAAAJQAAAAwAAAACAAAAJwAAABgAAAAFAAAAAAAAAP///wAAAAAAJQAAAAwAAAAFAAAATAAAAGQAAAAAAAAAUAAAAEsBAAB8AAAAAAAAAFAAAABM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ASAAAADAAAAAEAAAAeAAAAGAAAAAkAAABQAAAAAAEAAF0AAAAlAAAADAAAAAEAAABUAAAArAAAAAoAAABQAAAAZAAAAFwAAAABAAAAVVWPQYX2jkEKAAAAUAAAABAAAABMAAAAAAAAAAAAAAAAAAAA//////////9sAAAAUwBlAGIAYQBzAHQAaQBhAG4AIABPAHAAbwByAHQAbwAGAAAABgAAAAcAAAAGAAAABQAAAAQAAAADAAAABgAAAAcAAAADAAAACQAAAAcAAAAHAAAABAAAAAQAAAAHAAAASwAAAEAAAAAwAAAABQAAACAAAAABAAAAAQAAABAAAAAAAAAAAAAAAEwBAACAAAAAAAAAAAAAAABMAQAAgAAAACUAAAAMAAAAAgAAACcAAAAYAAAABQAAAAAAAAD///8AAAAAACUAAAAMAAAABQAAAEwAAABkAAAACQAAAGAAAAD/AAAAbAAAAAkAAABgAAAA9wAAAA0AAAAhAPAAAAAAAAAAAAAAAIA/AAAAAAAAAAAAAIA/AAAAAAAAAAAAAAAAAAAAAAAAAAAAAAAAAAAAAAAAAAAlAAAADAAAAAAAAIAoAAAADAAAAAUAAAAlAAAADAAAAAEAAAAYAAAADAAAAAAAAAASAAAADAAAAAEAAAAeAAAAGAAAAAkAAABgAAAAAAEAAG0AAAAlAAAADAAAAAEAAABUAAAAiAAAAAoAAABgAAAAPwAAAGwAAAABAAAAVVWPQYX2jkEKAAAAYAAAAAoAAABMAAAAAAAAAAAAAAAAAAAA//////////9gAAAAUAByAGUAcwBpAGQAZQBuAHQAZQAGAAAABAAAAAYAAAAFAAAAAwAAAAcAAAAGAAAABwAAAAQAAAAGAAAASwAAAEAAAAAwAAAABQAAACAAAAABAAAAAQAAABAAAAAAAAAAAAAAAEwBAACAAAAAAAAAAAAAAABMAQAAgAAAACUAAAAMAAAAAgAAACcAAAAYAAAABQAAAAAAAAD///8AAAAAACUAAAAMAAAABQAAAEwAAABkAAAACQAAAHAAAABCAQAAfAAAAAkAAABwAAAAOgEAAA0AAAAhAPAAAAAAAAAAAAAAAIA/AAAAAAAAAAAAAIA/AAAAAAAAAAAAAAAAAAAAAAAAAAAAAAAAAAAAAAAAAAAlAAAADAAAAAAAAIAoAAAADAAAAAUAAAAlAAAADAAAAAEAAAAYAAAADAAAAAAAAAASAAAADAAAAAEAAAAWAAAADAAAAAAAAABUAAAAjAEAAAoAAABwAAAAQQEAAHwAAAABAAAAVVWPQYX2jkEKAAAAcAAAADUAAABMAAAABAAAAAkAAABwAAAAQwEAAH0AAAC4AAAARgBpAHIAbQBhAGQAbwAgAHAAbwByADoAIABGAEUARABFAFIASQBDAE8AIABTAEUAQgBBAFMAVABJAEEATgAgAE8AUABPAFIAVABPACAATABFAEkAVgBBACAARQBTAFAASQBOAE8ATABBAAAABgAAAAMAAAAEAAAACQAAAAYAAAAHAAAABwAAAAMAAAAHAAAABwAAAAQAAAADAAAAAwAAAAYAAAAGAAAACAAAAAYAAAAHAAAAAwAAAAcAAAAJAAAAAwAAAAYAAAAGAAAABgAAAAcAAAAGAAAABgAAAAMAAAAHAAAACAAAAAMAAAAJAAAABgAAAAkAAAAHAAAABgAAAAkAAAADAAAABQAAAAYAAAADAAAABwAAAAcAAAADAAAABgAAAAYAAAAGAAAAAwAAAAgAAAAJAAAABQAAAAcAAAAWAAAADAAAAAAAAAAlAAAADAAAAAIAAAAOAAAAFAAAAAAAAAAQAAAAFAAAAA==</Object>
  <Object Id="idInvalidSigLnImg">AQAAAGwAAAAAAAAAAAAAAEsBAAB/AAAAAAAAAAAAAAA9FwAA8AgAACBFTUYAAAEAkCEAALEAAAAGAAAAAAAAAAAAAAAAAAAAgAcAADgEAABYAQAAwQAAAAAAAAAAAAAAAAAAAMA/BQDo8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//////////9sAAAARgBpAHIAbQBhACAAbgBvACAAdgDhAGwAaQBkAGEAekMGAAAAAwAAAAQAAAAJAAAABgAAAAMAAAAHAAAABwAAAAMAAAAFAAAABgAAAAMAAAADAAAABw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AA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sAAABHAAAAKQAAADMAAACj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wAAABIAAAAJQAAAAwAAAAEAAAAVAAAANAAAAAqAAAAMwAAAMoAAABHAAAAAQAAAFVVj0GF9o5BKgAAADMAAAAWAAAATAAAAAAAAAAAAAAAAAAAAP//////////eAAAAFMAZQBiAGEAcwB0AGkAYQBuACAATwBwAG8AcgB0AG8AIABMAGUAaQB2AGEACQAAAAgAAAAJAAAACAAAAAcAAAAFAAAABAAAAAgAAAAJAAAABAAAAAwAAAAJAAAACQAAAAYAAAAFAAAACQAAAAQAAAAIAAAACAAAAAQAAAAIAAAACAAAAEsAAABAAAAAMAAAAAUAAAAgAAAAAQAAAAEAAAAQAAAAAAAAAAAAAABMAQAAgAAAAAAAAAAAAAAATAEAAIAAAAAlAAAADAAAAAIAAAAnAAAAGAAAAAUAAAAAAAAA////AAAAAAAlAAAADAAAAAUAAABMAAAAZAAAAAAAAABQAAAASwEAAHwAAAAAAAAAUAAAAEw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kAAAAXAAAAAEAAABVVY9BhfaOQQoAAABQAAAAEAAAAEwAAAAAAAAAAAAAAAAAAAD//////////2wAAABTAGUAYgBhAHMAdABpAGEAbgAgAE8AcABvAHIAdABvAAYAAAAGAAAABwAAAAYAAAAFAAAABAAAAAMAAAAGAAAABwAAAAMAAAAJAAAABwAAAAcAAAAEAAAABAAAAAcAAABLAAAAQAAAADAAAAAFAAAAIAAAAAEAAAABAAAAEAAAAAAAAAAAAAAATAEAAIAAAAAAAAAAAAAAAEw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/AAAAbAAAAAEAAABVVY9BhfaOQQoAAABgAAAACgAAAEwAAAAAAAAAAAAAAAAAAAD//////////2AAAABQAHIAZQBzAGkAZABlAG4AdABlAAYAAAAEAAAABgAAAAUAAAADAAAABwAAAAYAAAAHAAAABAAAAAYAAABLAAAAQAAAADAAAAAFAAAAIAAAAAEAAAABAAAAEAAAAAAAAAAAAAAATAEAAIAAAAAAAAAAAAAAAEwBAACAAAAAJQAAAAwAAAACAAAAJwAAABgAAAAFAAAAAAAAAP///wAAAAAAJQAAAAwAAAAFAAAATAAAAGQAAAAJAAAAcAAAAEIBAAB8AAAACQAAAHAAAAA6AQAADQAAACEA8AAAAAAAAAAAAAAAgD8AAAAAAAAAAAAAgD8AAAAAAAAAAAAAAAAAAAAAAAAAAAAAAAAAAAAAAAAAACUAAAAMAAAAAAAAgCgAAAAMAAAABQAAACUAAAAMAAAAAQAAABgAAAAMAAAAAAAAABIAAAAMAAAAAQAAABYAAAAMAAAAAAAAAFQAAACMAQAACgAAAHAAAABBAQAAfAAAAAEAAABVVY9BhfaOQQoAAABwAAAANQAAAEwAAAAEAAAACQAAAHAAAABDAQAAfQAAALgAAABGAGkAcgBtAGEAZABvACAAcABvAHIAOgAgAEYARQBEAEUAUgBJAEMATwAgAFMARQBCAEEAUwBUAEkAQQBOACAATwBQAE8AUgBUAE8AIABMAEUASQBWAEEAIABFAFMAUABJAE4ATwBMAEEAAAAGAAAAAwAAAAQAAAAJAAAABgAAAAcAAAAHAAAAAwAAAAcAAAAHAAAABAAAAAMAAAADAAAABgAAAAYAAAAIAAAABgAAAAcAAAADAAAABwAAAAkAAAADAAAABgAAAAYAAAAGAAAABwAAAAYAAAAGAAAAAwAAAAcAAAAIAAAAAwAAAAkAAAAGAAAACQAAAAcAAAAGAAAACQAAAAMAAAAFAAAABgAAAAMAAAAHAAAABwAAAAMAAAAGAAAABgAAAAYAAAADAAAACAAAAAkAAAAFAAAABw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27</vt:i4>
      </vt:variant>
    </vt:vector>
  </HeadingPairs>
  <TitlesOfParts>
    <vt:vector size="27" baseType="lpstr">
      <vt:lpstr>Indice</vt:lpstr>
      <vt:lpstr>I.Infomac Gral Emp</vt:lpstr>
      <vt:lpstr>Balance Gral. Resol. 30</vt:lpstr>
      <vt:lpstr>Estado de Resultado Resol. 30</vt:lpstr>
      <vt:lpstr>Flujo de Efectivo Resol. Res 30</vt:lpstr>
      <vt:lpstr>Estado de Variacion PN </vt:lpstr>
      <vt:lpstr>NOTA A LOS ESTADOS CONTA. 1-4</vt:lpstr>
      <vt:lpstr>NOTA 5 A-C CRITERIOS ESPECIF.</vt:lpstr>
      <vt:lpstr>NOTA D - DISPONIBILIDADES</vt:lpstr>
      <vt:lpstr>NOTA E - INVERSIONES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DOCUM y CTAS A PAG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INFORMACION REFERENTE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2021-11-14T19:15:35Z</cp:lastPrinted>
  <dcterms:created xsi:type="dcterms:W3CDTF">2019-11-21T14:06:50Z</dcterms:created>
  <dcterms:modified xsi:type="dcterms:W3CDTF">2021-11-15T14:42:40Z</dcterms:modified>
  <cp:category/>
  <cp:contentStatus/>
</cp:coreProperties>
</file>