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sigs" ContentType="application/vnd.openxmlformats-package.digital-signature-origin"/>
  <Override PartName="/xl/workbook.xml" ContentType="application/vnd.openxmlformats-officedocument.spreadsheetml.sheet.main+xml"/>
  <Override PartName="/xl/worksheets/sheet4.xml" ContentType="application/vnd.openxmlformats-officedocument.spreadsheetml.worksheet+xml"/>
  <Override PartName="/xl/drawings/drawing33.xml" ContentType="application/vnd.openxmlformats-officedocument.drawing+xml"/>
  <Override PartName="/xl/drawings/drawing34.xml" ContentType="application/vnd.openxmlformats-officedocument.drawing+xml"/>
  <Override PartName="/xl/drawings/drawing32.xml" ContentType="application/vnd.openxmlformats-officedocument.drawing+xml"/>
  <Override PartName="/xl/drawings/drawing31.xml" ContentType="application/vnd.openxmlformats-officedocument.drawing+xml"/>
  <Override PartName="/xl/drawings/drawing29.xml" ContentType="application/vnd.openxmlformats-officedocument.drawing+xml"/>
  <Override PartName="/xl/worksheets/sheet1.xml" ContentType="application/vnd.openxmlformats-officedocument.spreadsheetml.worksheet+xml"/>
  <Override PartName="/xl/drawings/drawing35.xml" ContentType="application/vnd.openxmlformats-officedocument.drawing+xml"/>
  <Override PartName="/xl/drawings/drawing36.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drawings/drawing39.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28.xml" ContentType="application/vnd.openxmlformats-officedocument.drawing+xml"/>
  <Override PartName="/xl/drawings/drawing30.xml" ContentType="application/vnd.openxmlformats-officedocument.drawing+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39.xml" ContentType="application/vnd.openxmlformats-officedocument.spreadsheetml.worksheet+xml"/>
  <Override PartName="/xl/worksheets/sheet38.xml" ContentType="application/vnd.openxmlformats-officedocument.spreadsheetml.worksheet+xml"/>
  <Override PartName="/xl/worksheets/sheet37.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drawings/drawing1.xml" ContentType="application/vnd.openxmlformats-officedocument.drawing+xml"/>
  <Override PartName="/xl/drawings/drawing27.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32.xml" ContentType="application/vnd.openxmlformats-officedocument.spreadsheetml.worksheet+xml"/>
  <Override PartName="/xl/worksheets/sheet31.xml" ContentType="application/vnd.openxmlformats-officedocument.spreadsheetml.worksheet+xml"/>
  <Override PartName="/xl/worksheets/sheet30.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25.xml" ContentType="application/vnd.openxmlformats-officedocument.spreadsheetml.worksheet+xml"/>
  <Override PartName="/xl/worksheets/sheet24.xml" ContentType="application/vnd.openxmlformats-officedocument.spreadsheetml.worksheet+xml"/>
  <Override PartName="/xl/worksheets/sheet2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drawings/drawing4.xml" ContentType="application/vnd.openxmlformats-officedocument.drawing+xml"/>
  <Override PartName="/xl/drawings/drawing19.xml" ContentType="application/vnd.openxmlformats-officedocument.drawing+xml"/>
  <Override PartName="/xl/drawings/drawing18.xml" ContentType="application/vnd.openxmlformats-officedocument.drawing+xml"/>
  <Override PartName="/xl/drawings/drawing17.xml" ContentType="application/vnd.openxmlformats-officedocument.drawing+xml"/>
  <Override PartName="/xl/drawings/drawing16.xml" ContentType="application/vnd.openxmlformats-officedocument.drawing+xml"/>
  <Override PartName="/xl/drawings/drawing15.xml" ContentType="application/vnd.openxmlformats-officedocument.drawing+xml"/>
  <Override PartName="/xl/drawings/drawing13.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6.xml" ContentType="application/vnd.openxmlformats-officedocument.drawing+xml"/>
  <Override PartName="/xl/drawings/drawing25.xml" ContentType="application/vnd.openxmlformats-officedocument.drawing+xml"/>
  <Override PartName="/xl/drawings/drawing24.xml" ContentType="application/vnd.openxmlformats-officedocument.drawing+xml"/>
  <Override PartName="/xl/drawings/drawing23.xml" ContentType="application/vnd.openxmlformats-officedocument.drawing+xml"/>
  <Override PartName="/xl/drawings/drawing10.xml" ContentType="application/vnd.openxmlformats-officedocument.drawing+xml"/>
  <Override PartName="/xl/drawings/drawing14.xml" ContentType="application/vnd.openxmlformats-officedocument.drawing+xml"/>
  <Override PartName="/xl/drawings/drawing9.xml" ContentType="application/vnd.openxmlformats-officedocument.drawing+xml"/>
  <Override PartName="/xl/drawings/drawing6.xml" ContentType="application/vnd.openxmlformats-officedocument.drawing+xml"/>
  <Override PartName="/xl/drawings/drawing8.xml" ContentType="application/vnd.openxmlformats-officedocument.drawing+xml"/>
  <Override PartName="/xl/drawings/drawing5.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Override PartName="/_xmlsignatures/sig4.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192.168.10.237\Datos\ENCARGOS ANA\2- SOCIEDADES\6- MILLENIA CAPITAL\C.N.V\INFORMES 2020\4. INFORME ANUAL 2020\INFORMES FIRMADOS\"/>
    </mc:Choice>
  </mc:AlternateContent>
  <bookViews>
    <workbookView xWindow="0" yWindow="0" windowWidth="20490" windowHeight="7755" tabRatio="927" firstSheet="41" activeTab="46"/>
  </bookViews>
  <sheets>
    <sheet name="Balance (2)" sheetId="20" state="hidden" r:id="rId1"/>
    <sheet name="Resultado" sheetId="21" state="hidden" r:id="rId2"/>
    <sheet name="ACTIVO" sheetId="1" state="hidden" r:id="rId3"/>
    <sheet name="PASIVO" sheetId="2" state="hidden" r:id="rId4"/>
    <sheet name="EGRESOS" sheetId="3" state="hidden" r:id="rId5"/>
    <sheet name="INGRESOS" sheetId="4" state="hidden" r:id="rId6"/>
    <sheet name="IDENTIFICACION" sheetId="44" r:id="rId7"/>
    <sheet name="ANTECEDENTES" sheetId="57" r:id="rId8"/>
    <sheet name="ADMINISTRACION" sheetId="56" r:id="rId9"/>
    <sheet name="CAPITAL Y PROP" sheetId="83" r:id="rId10"/>
    <sheet name="AUDITOR EXT IND" sheetId="78" r:id="rId11"/>
    <sheet name="PERS VINCULADAS" sheetId="79" r:id="rId12"/>
    <sheet name="BALANCE" sheetId="48" r:id="rId13"/>
    <sheet name="RESULTAD" sheetId="26" r:id="rId14"/>
    <sheet name="FLUJO" sheetId="22" r:id="rId15"/>
    <sheet name="EVOL" sheetId="49" r:id="rId16"/>
    <sheet name="NOTAS" sheetId="58" r:id="rId17"/>
    <sheet name="Flujocaja" sheetId="9" state="hidden" r:id="rId18"/>
    <sheet name="VAL. M.E." sheetId="60" r:id="rId19"/>
    <sheet name="AYPMEXT" sheetId="45" r:id="rId20"/>
    <sheet name="DIF CAMBIO ME" sheetId="33" r:id="rId21"/>
    <sheet name="DISPONIB" sheetId="34" r:id="rId22"/>
    <sheet name="INVERS" sheetId="12" r:id="rId23"/>
    <sheet name="OTRAINV" sheetId="13" r:id="rId24"/>
    <sheet name="CREDITOS" sheetId="61" r:id="rId25"/>
    <sheet name="BIENDEUSO" sheetId="47" r:id="rId26"/>
    <sheet name="CARGOS DIFERIDOS" sheetId="62" r:id="rId27"/>
    <sheet name="ACTIVOS INTANGIBLES" sheetId="38" r:id="rId28"/>
    <sheet name="OTROS ACTIVOS CTE Y NO CTE" sheetId="63" r:id="rId29"/>
    <sheet name="PTMOS. FINANCIEROS" sheetId="64" r:id="rId30"/>
    <sheet name="DOC. Y CTAS POR PAGAR" sheetId="65" r:id="rId31"/>
    <sheet name="ACREEDORES POR INTERM" sheetId="39" r:id="rId32"/>
    <sheet name="ADM DE CARTERA" sheetId="66" r:id="rId33"/>
    <sheet name="CTAS A PAGAR A PERS. RELAC" sheetId="67" r:id="rId34"/>
    <sheet name="OBLIG. POR CONTRATO UNDER" sheetId="68" r:id="rId35"/>
    <sheet name="OTROS PASIVOS CTE Y NO CTE" sheetId="69" r:id="rId36"/>
    <sheet name="SALDOS PERS RELAC" sheetId="70" r:id="rId37"/>
    <sheet name="RESULTADO PERS VINC" sheetId="71" r:id="rId38"/>
    <sheet name="PATRIMONIO" sheetId="72" r:id="rId39"/>
    <sheet name="PREVISIONES" sheetId="73" r:id="rId40"/>
    <sheet name="INGRESOS OPERATIVOS" sheetId="40" r:id="rId41"/>
    <sheet name="OTROS GASTOS OP, COM Y ADM" sheetId="41" r:id="rId42"/>
    <sheet name="OTROS INGRESOS Y EGRESOS" sheetId="75" r:id="rId43"/>
    <sheet name="RESULTADOS FIN" sheetId="76" r:id="rId44"/>
    <sheet name="RESULTADOS EXTRAORD" sheetId="77" r:id="rId45"/>
    <sheet name="NOTAS2" sheetId="82" r:id="rId46"/>
    <sheet name="ANEX A - PERS VINCULADAS" sheetId="42" r:id="rId47"/>
    <sheet name="BIENUSO" sheetId="10" state="hidden" r:id="rId48"/>
    <sheet name="CostosyGastos" sheetId="17" state="hidden" r:id="rId49"/>
    <sheet name="Anexo H F2" sheetId="29" state="hidden" r:id="rId50"/>
  </sheets>
  <externalReferences>
    <externalReference r:id="rId51"/>
  </externalReferences>
  <definedNames>
    <definedName name="_GoBack" localSheetId="46">'ANEX A - PERS VINCULADAS'!$A$73</definedName>
    <definedName name="_xlnm.Print_Area" localSheetId="2">ACTIVO!$A$1:$G$104</definedName>
    <definedName name="_xlnm.Print_Area" localSheetId="4">EGRESOS!$A$1:$F$48</definedName>
    <definedName name="_xlnm.Print_Area" localSheetId="17">Flujocaja!$A$1:$E$57</definedName>
    <definedName name="_xlnm.Print_Area" localSheetId="5">INGRESOS!$A$1:$F$45</definedName>
    <definedName name="_xlnm.Print_Area" localSheetId="3">PASIVO!$A$1:$F$67</definedName>
    <definedName name="_xlnm.Print_Area" localSheetId="1">Resultado!$A$1:$N$128</definedName>
    <definedName name="Excel_BuiltIn_Print_Area_6" localSheetId="13">[1]BALANCE!#REF!</definedName>
    <definedName name="Excel_BuiltIn_Print_Area_6">#REF!</definedName>
    <definedName name="Excel_BuiltIn_Print_Titles_9">Flujocaja!#REF!</definedName>
    <definedName name="fas">#REF!</definedName>
    <definedName name="hoja7">#REF!</definedName>
    <definedName name="_xlnm.Print_Titles" localSheetId="0">'Balance (2)'!$1:$20</definedName>
    <definedName name="_xlnm.Print_Titles" localSheetId="1">Resultado!$1:$20</definedName>
  </definedNames>
  <calcPr calcId="152511"/>
  <fileRecoveryPr autoRecover="0"/>
</workbook>
</file>

<file path=xl/calcChain.xml><?xml version="1.0" encoding="utf-8"?>
<calcChain xmlns="http://schemas.openxmlformats.org/spreadsheetml/2006/main">
  <c r="D16" i="49" l="1"/>
  <c r="K15" i="49" l="1"/>
  <c r="D39" i="13" l="1"/>
  <c r="E39" i="13"/>
  <c r="C39" i="13"/>
  <c r="E27" i="12"/>
  <c r="D28" i="12"/>
  <c r="D27" i="12"/>
  <c r="D40" i="13"/>
  <c r="E40" i="13"/>
  <c r="C40" i="13"/>
  <c r="D38" i="13"/>
  <c r="E38" i="13"/>
  <c r="C38" i="13"/>
  <c r="D30" i="13"/>
  <c r="E30" i="13"/>
  <c r="C30" i="13"/>
  <c r="D34" i="13"/>
  <c r="E34" i="13"/>
  <c r="C34" i="13"/>
  <c r="E26" i="12"/>
  <c r="D23" i="12"/>
  <c r="E23" i="12"/>
  <c r="E28" i="12" s="1"/>
  <c r="D26" i="12"/>
  <c r="F31" i="22" l="1"/>
  <c r="F33" i="22"/>
  <c r="C44" i="41" l="1"/>
  <c r="C15" i="77" l="1"/>
  <c r="D20" i="12" l="1"/>
  <c r="E20" i="12"/>
  <c r="B10" i="39"/>
  <c r="B11" i="39"/>
  <c r="B15" i="65" l="1"/>
  <c r="H68" i="42"/>
  <c r="G68" i="42"/>
  <c r="G15" i="67"/>
  <c r="F15" i="67"/>
  <c r="B32" i="40" l="1"/>
  <c r="B33" i="65" l="1"/>
  <c r="B22" i="61" l="1"/>
  <c r="D33" i="13" l="1"/>
  <c r="D29" i="13"/>
  <c r="E29" i="13" s="1"/>
  <c r="D36" i="13"/>
  <c r="E36" i="13" s="1"/>
  <c r="D37" i="13"/>
  <c r="E37" i="13" s="1"/>
  <c r="E19" i="12"/>
  <c r="D32" i="34"/>
  <c r="C32" i="34"/>
  <c r="B32" i="34"/>
  <c r="I20" i="45"/>
  <c r="G20" i="45"/>
  <c r="D20" i="45"/>
  <c r="F20" i="45"/>
  <c r="I33" i="45"/>
  <c r="I32" i="45"/>
  <c r="E33" i="13" l="1"/>
  <c r="K16" i="49"/>
  <c r="E16" i="49"/>
  <c r="K22" i="49"/>
  <c r="K20" i="49"/>
  <c r="K17" i="49"/>
  <c r="C47" i="26"/>
  <c r="C51" i="26"/>
  <c r="C62" i="26"/>
  <c r="B18" i="41"/>
  <c r="B44" i="41" s="1"/>
  <c r="C49" i="26"/>
  <c r="C48" i="26"/>
  <c r="C17" i="26"/>
  <c r="C61" i="26"/>
  <c r="C66" i="26"/>
  <c r="K24" i="49" l="1"/>
  <c r="C13" i="75"/>
  <c r="D81" i="26"/>
  <c r="L17" i="47" l="1"/>
  <c r="D16" i="12"/>
  <c r="C14" i="76" l="1"/>
  <c r="B14" i="76"/>
  <c r="C10" i="76"/>
  <c r="B10" i="76"/>
  <c r="B18" i="75"/>
  <c r="C55" i="26" l="1"/>
  <c r="C56" i="26" s="1"/>
  <c r="C25" i="13"/>
  <c r="E24" i="13"/>
  <c r="E25" i="13" s="1"/>
  <c r="D24" i="13"/>
  <c r="D25" i="13" s="1"/>
  <c r="E25" i="12"/>
  <c r="E24" i="12"/>
  <c r="K21" i="49"/>
  <c r="E22" i="12"/>
  <c r="I29" i="45" l="1"/>
  <c r="I30" i="45"/>
  <c r="I31" i="45"/>
  <c r="C52" i="48" l="1"/>
  <c r="I37" i="45" l="1"/>
  <c r="G37" i="45"/>
  <c r="H35" i="48" l="1"/>
  <c r="B15" i="77" l="1"/>
  <c r="B10" i="77"/>
  <c r="B13" i="75" l="1"/>
  <c r="G35" i="48" l="1"/>
  <c r="E12" i="72" l="1"/>
  <c r="F26" i="47"/>
  <c r="L25" i="47"/>
  <c r="G25" i="47"/>
  <c r="M25" i="47" s="1"/>
  <c r="K26" i="47"/>
  <c r="J26" i="47"/>
  <c r="I26" i="47"/>
  <c r="H26" i="47"/>
  <c r="E26" i="47"/>
  <c r="D26" i="47"/>
  <c r="C26" i="47"/>
  <c r="G17" i="47" l="1"/>
  <c r="M17" i="47" s="1"/>
  <c r="F29" i="22" l="1"/>
  <c r="G29" i="22"/>
  <c r="F23" i="22"/>
  <c r="F18" i="22"/>
  <c r="G18" i="22"/>
  <c r="G23" i="22"/>
  <c r="C34" i="26"/>
  <c r="D34" i="26"/>
  <c r="D39" i="26" s="1"/>
  <c r="D45" i="26"/>
  <c r="D56" i="26"/>
  <c r="G31" i="22" l="1"/>
  <c r="G33" i="22" s="1"/>
  <c r="D57" i="26"/>
  <c r="D37" i="45" l="1"/>
  <c r="K23" i="49"/>
  <c r="B10" i="38" l="1"/>
  <c r="L18" i="47" l="1"/>
  <c r="L19" i="47"/>
  <c r="L20" i="47"/>
  <c r="L21" i="47"/>
  <c r="L22" i="47"/>
  <c r="L23" i="47"/>
  <c r="L24" i="47"/>
  <c r="B26" i="61"/>
  <c r="L26" i="47" l="1"/>
  <c r="B10" i="66" l="1"/>
  <c r="D76" i="48"/>
  <c r="C76" i="48"/>
  <c r="D69" i="48"/>
  <c r="C69" i="48"/>
  <c r="G64" i="48"/>
  <c r="D64" i="48"/>
  <c r="C64" i="48"/>
  <c r="G63" i="48"/>
  <c r="H64" i="48"/>
  <c r="D52" i="48"/>
  <c r="H40" i="48"/>
  <c r="G40" i="48"/>
  <c r="D36" i="48"/>
  <c r="C36" i="48"/>
  <c r="D24" i="48"/>
  <c r="C24" i="48"/>
  <c r="D18" i="48"/>
  <c r="C18" i="48"/>
  <c r="H20" i="48"/>
  <c r="G20" i="48"/>
  <c r="D81" i="48" l="1"/>
  <c r="D83" i="48" s="1"/>
  <c r="D43" i="48"/>
  <c r="H43" i="48"/>
  <c r="H69" i="48" s="1"/>
  <c r="H83" i="48" s="1"/>
  <c r="D84" i="26"/>
  <c r="G43" i="48"/>
  <c r="G69" i="48" s="1"/>
  <c r="G83" i="48" s="1"/>
  <c r="C43" i="48"/>
  <c r="C81" i="48"/>
  <c r="H63" i="48"/>
  <c r="D15" i="72"/>
  <c r="C15" i="72"/>
  <c r="B15" i="72"/>
  <c r="E14" i="72"/>
  <c r="E13" i="72"/>
  <c r="E11" i="72"/>
  <c r="E10" i="72"/>
  <c r="E14" i="33"/>
  <c r="C14" i="33"/>
  <c r="E15" i="72" l="1"/>
  <c r="C83" i="48"/>
  <c r="C10" i="77"/>
  <c r="C18" i="75"/>
  <c r="C15" i="41"/>
  <c r="B15" i="41"/>
  <c r="C44" i="26" s="1"/>
  <c r="C45" i="26" s="1"/>
  <c r="C12" i="41"/>
  <c r="B12" i="41"/>
  <c r="C38" i="26" s="1"/>
  <c r="C39" i="26" s="1"/>
  <c r="E12" i="70"/>
  <c r="D12" i="70"/>
  <c r="C11" i="69"/>
  <c r="B11" i="69"/>
  <c r="B20" i="65"/>
  <c r="D10" i="62"/>
  <c r="C10" i="62"/>
  <c r="E10" i="62"/>
  <c r="E11" i="62" s="1"/>
  <c r="G18" i="47"/>
  <c r="G19" i="47"/>
  <c r="G20" i="47"/>
  <c r="G21" i="47"/>
  <c r="G22" i="47"/>
  <c r="G23" i="47"/>
  <c r="G24" i="47"/>
  <c r="C33" i="61"/>
  <c r="B33" i="61"/>
  <c r="C26" i="61"/>
  <c r="C57" i="26" l="1"/>
  <c r="C81" i="26" s="1"/>
  <c r="C84" i="26" s="1"/>
  <c r="G26" i="47"/>
  <c r="M26" i="47" s="1"/>
  <c r="K19" i="49"/>
  <c r="K18" i="49" l="1"/>
  <c r="D32" i="13" l="1"/>
  <c r="E32" i="13" l="1"/>
  <c r="G50" i="45"/>
  <c r="D50" i="45"/>
  <c r="G44" i="45"/>
  <c r="D44" i="45"/>
  <c r="F37" i="45" l="1"/>
  <c r="D42" i="45" l="1"/>
  <c r="G42" i="45"/>
  <c r="I24" i="49" l="1"/>
  <c r="G24" i="49" l="1"/>
  <c r="E15" i="12" l="1"/>
  <c r="E21" i="12"/>
  <c r="C57" i="42" l="1"/>
  <c r="B57" i="42"/>
  <c r="D10" i="38"/>
  <c r="C10" i="38"/>
  <c r="E9" i="38"/>
  <c r="E10" i="38" s="1"/>
  <c r="J32" i="29" l="1"/>
  <c r="I32" i="29"/>
  <c r="H32" i="29"/>
  <c r="G32" i="29"/>
  <c r="F32" i="29"/>
  <c r="C32" i="29"/>
  <c r="K31" i="29"/>
  <c r="K32" i="29" s="1"/>
  <c r="I31" i="29"/>
  <c r="H31" i="29"/>
  <c r="G31" i="29"/>
  <c r="F31" i="29"/>
  <c r="C31" i="29"/>
  <c r="J30" i="29"/>
  <c r="I30" i="29"/>
  <c r="H30" i="29"/>
  <c r="G30" i="29"/>
  <c r="F30" i="29"/>
  <c r="E30" i="29"/>
  <c r="D30" i="29"/>
  <c r="C30" i="29"/>
  <c r="K29" i="29"/>
  <c r="J29" i="29"/>
  <c r="H29" i="29"/>
  <c r="G29" i="29"/>
  <c r="F29" i="29"/>
  <c r="K28" i="29"/>
  <c r="J28" i="29"/>
  <c r="G28" i="29"/>
  <c r="K27" i="29"/>
  <c r="J27" i="29"/>
  <c r="G27" i="29"/>
  <c r="K26" i="29"/>
  <c r="J26" i="29"/>
  <c r="C26" i="29"/>
  <c r="K25" i="29"/>
  <c r="J25" i="29"/>
  <c r="I25" i="29"/>
  <c r="K24" i="29"/>
  <c r="J24" i="29"/>
  <c r="I24" i="29"/>
  <c r="J23" i="29"/>
  <c r="K22" i="29"/>
  <c r="J22" i="29"/>
  <c r="F22" i="29"/>
  <c r="K21" i="29"/>
  <c r="J21" i="29"/>
  <c r="H21" i="29"/>
  <c r="K20" i="29"/>
  <c r="J20" i="29"/>
  <c r="I20" i="29"/>
  <c r="K19" i="29"/>
  <c r="J19" i="29"/>
  <c r="F19" i="29"/>
  <c r="K18" i="29"/>
  <c r="J18" i="29"/>
  <c r="F18" i="29"/>
  <c r="K17" i="29"/>
  <c r="J17" i="29"/>
  <c r="G17" i="29"/>
  <c r="K16" i="29"/>
  <c r="J16" i="29"/>
  <c r="G16" i="29"/>
  <c r="K15" i="29"/>
  <c r="J15" i="29"/>
  <c r="F15" i="29"/>
  <c r="K14" i="29"/>
  <c r="J14" i="29"/>
  <c r="F14" i="29"/>
  <c r="K13" i="29"/>
  <c r="J13" i="29"/>
  <c r="F13" i="29"/>
  <c r="K12" i="29"/>
  <c r="J12" i="29"/>
  <c r="F12" i="29"/>
  <c r="G44" i="17"/>
  <c r="I43" i="17"/>
  <c r="G43" i="17"/>
  <c r="F43" i="17"/>
  <c r="E43" i="17"/>
  <c r="D43" i="17"/>
  <c r="C43" i="17"/>
  <c r="G41" i="17"/>
  <c r="D41" i="17"/>
  <c r="G40" i="17"/>
  <c r="C40" i="17"/>
  <c r="G39" i="17"/>
  <c r="F39" i="17"/>
  <c r="G38" i="17"/>
  <c r="F38" i="17"/>
  <c r="G37" i="17"/>
  <c r="G36" i="17"/>
  <c r="F36" i="17"/>
  <c r="G35" i="17"/>
  <c r="G34" i="17"/>
  <c r="G33" i="17"/>
  <c r="D33" i="17"/>
  <c r="G32" i="17"/>
  <c r="E32" i="17"/>
  <c r="G31" i="17"/>
  <c r="E31" i="17"/>
  <c r="G30" i="17"/>
  <c r="D30" i="17"/>
  <c r="G29" i="17"/>
  <c r="C29" i="17"/>
  <c r="G28" i="17"/>
  <c r="C28" i="17"/>
  <c r="G27" i="17"/>
  <c r="D27" i="17"/>
  <c r="G26" i="17"/>
  <c r="C26" i="17"/>
  <c r="G25" i="17"/>
  <c r="C25" i="17"/>
  <c r="G24" i="17"/>
  <c r="C24" i="17"/>
  <c r="G23" i="17"/>
  <c r="C23" i="17"/>
  <c r="G22" i="17"/>
  <c r="C22" i="17"/>
  <c r="G21" i="17"/>
  <c r="D21" i="17"/>
  <c r="G20" i="17"/>
  <c r="C20" i="17"/>
  <c r="G19" i="17"/>
  <c r="D19" i="17"/>
  <c r="G18" i="17"/>
  <c r="D18" i="17"/>
  <c r="C36" i="40"/>
  <c r="B36" i="40"/>
  <c r="N36" i="10"/>
  <c r="M36" i="10"/>
  <c r="G36" i="10"/>
  <c r="N34" i="10"/>
  <c r="M34" i="10"/>
  <c r="L34" i="10"/>
  <c r="K34" i="10"/>
  <c r="J34" i="10"/>
  <c r="I34" i="10"/>
  <c r="H34" i="10"/>
  <c r="G34" i="10"/>
  <c r="F34" i="10"/>
  <c r="E34" i="10"/>
  <c r="D34" i="10"/>
  <c r="C34" i="10"/>
  <c r="B34" i="10"/>
  <c r="N32" i="10"/>
  <c r="M32" i="10"/>
  <c r="L32" i="10"/>
  <c r="K32" i="10"/>
  <c r="J32" i="10"/>
  <c r="I32" i="10"/>
  <c r="H32" i="10"/>
  <c r="G32" i="10"/>
  <c r="F32" i="10"/>
  <c r="E32" i="10"/>
  <c r="D32" i="10"/>
  <c r="C32" i="10"/>
  <c r="B32" i="10"/>
  <c r="N31" i="10"/>
  <c r="G31" i="10"/>
  <c r="N27" i="10"/>
  <c r="M27" i="10"/>
  <c r="L27" i="10"/>
  <c r="K27" i="10"/>
  <c r="J27" i="10"/>
  <c r="I27" i="10"/>
  <c r="H27" i="10"/>
  <c r="G27" i="10"/>
  <c r="F27" i="10"/>
  <c r="E27" i="10"/>
  <c r="D27" i="10"/>
  <c r="C27" i="10"/>
  <c r="B27" i="10"/>
  <c r="N25" i="10"/>
  <c r="M25" i="10"/>
  <c r="I25" i="10"/>
  <c r="G25" i="10"/>
  <c r="N24" i="10"/>
  <c r="M24" i="10"/>
  <c r="I24" i="10"/>
  <c r="G24" i="10"/>
  <c r="N23" i="10"/>
  <c r="M23" i="10"/>
  <c r="I23" i="10"/>
  <c r="G23" i="10"/>
  <c r="N22" i="10"/>
  <c r="M22" i="10"/>
  <c r="I22" i="10"/>
  <c r="G22" i="10"/>
  <c r="N21" i="10"/>
  <c r="M21" i="10"/>
  <c r="I21" i="10"/>
  <c r="G21" i="10"/>
  <c r="N20" i="10"/>
  <c r="M20" i="10"/>
  <c r="I20" i="10"/>
  <c r="G20" i="10"/>
  <c r="E20" i="10"/>
  <c r="N19" i="10"/>
  <c r="M19" i="10"/>
  <c r="I19" i="10"/>
  <c r="G19" i="10"/>
  <c r="N18" i="10"/>
  <c r="M18" i="10"/>
  <c r="I18" i="10"/>
  <c r="G18" i="10"/>
  <c r="N17" i="10"/>
  <c r="M17" i="10"/>
  <c r="I17" i="10"/>
  <c r="G17" i="10"/>
  <c r="N16" i="10"/>
  <c r="M16" i="10"/>
  <c r="I16" i="10"/>
  <c r="G16" i="10"/>
  <c r="N15" i="10"/>
  <c r="M15" i="10"/>
  <c r="I15" i="10"/>
  <c r="G15" i="10"/>
  <c r="M23" i="47"/>
  <c r="M21" i="47"/>
  <c r="M19" i="47"/>
  <c r="I47" i="45"/>
  <c r="F47" i="45"/>
  <c r="E46" i="9"/>
  <c r="D46" i="9"/>
  <c r="E43" i="9"/>
  <c r="D43" i="9"/>
  <c r="E40" i="9"/>
  <c r="D40" i="9"/>
  <c r="E34" i="9"/>
  <c r="D34" i="9"/>
  <c r="E30" i="9"/>
  <c r="D30" i="9"/>
  <c r="E27" i="9"/>
  <c r="D27" i="9"/>
  <c r="E24" i="9"/>
  <c r="E21" i="9"/>
  <c r="D21" i="9"/>
  <c r="E17" i="9"/>
  <c r="D17" i="9"/>
  <c r="D16" i="9"/>
  <c r="D15" i="9"/>
  <c r="D14" i="9"/>
  <c r="J24" i="49"/>
  <c r="H24" i="49"/>
  <c r="E24" i="49"/>
  <c r="D24" i="49"/>
  <c r="C24" i="49"/>
  <c r="F44" i="4"/>
  <c r="F39" i="4"/>
  <c r="E36" i="4"/>
  <c r="E33" i="4"/>
  <c r="E23" i="4"/>
  <c r="E14" i="4"/>
  <c r="E10" i="4"/>
  <c r="F9" i="4"/>
  <c r="G7" i="4"/>
  <c r="F7" i="4"/>
  <c r="A5" i="4"/>
  <c r="G63" i="3"/>
  <c r="I56" i="3"/>
  <c r="E47" i="3"/>
  <c r="E46" i="3"/>
  <c r="E42" i="3"/>
  <c r="E30" i="3"/>
  <c r="E26" i="3"/>
  <c r="E10" i="3"/>
  <c r="G7" i="3"/>
  <c r="F7" i="3"/>
  <c r="A5" i="3"/>
  <c r="F68" i="2"/>
  <c r="F54" i="2"/>
  <c r="E44" i="2"/>
  <c r="E41" i="2"/>
  <c r="E38" i="2"/>
  <c r="F36" i="2"/>
  <c r="E33" i="2"/>
  <c r="E30" i="2"/>
  <c r="E26" i="2"/>
  <c r="E22" i="2"/>
  <c r="E18" i="2"/>
  <c r="E10" i="2"/>
  <c r="F9" i="2"/>
  <c r="G7" i="2"/>
  <c r="F7" i="2"/>
  <c r="A5" i="2"/>
  <c r="G106" i="1"/>
  <c r="H98" i="1"/>
  <c r="H97" i="1"/>
  <c r="H96" i="1"/>
  <c r="F89" i="1"/>
  <c r="F73" i="1"/>
  <c r="D72" i="1"/>
  <c r="F71" i="1"/>
  <c r="F69" i="1"/>
  <c r="F67" i="1"/>
  <c r="D66" i="1"/>
  <c r="H65" i="1"/>
  <c r="F64" i="1"/>
  <c r="H62" i="1"/>
  <c r="F60" i="1"/>
  <c r="F54" i="1"/>
  <c r="F52" i="1"/>
  <c r="G51" i="1"/>
  <c r="D49" i="1"/>
  <c r="F48" i="1"/>
  <c r="F46" i="1"/>
  <c r="H42" i="1"/>
  <c r="F36" i="1"/>
  <c r="G35" i="1"/>
  <c r="F31" i="1"/>
  <c r="H26" i="1"/>
  <c r="F10" i="1"/>
  <c r="G9" i="1"/>
  <c r="G7" i="1"/>
  <c r="I122" i="21"/>
  <c r="G122" i="21"/>
  <c r="I121" i="21"/>
  <c r="G121" i="21"/>
  <c r="I120" i="21"/>
  <c r="G120" i="21"/>
  <c r="F115" i="21"/>
  <c r="L112" i="21"/>
  <c r="J112" i="21"/>
  <c r="H112" i="21"/>
  <c r="L111" i="21"/>
  <c r="J111" i="21"/>
  <c r="H111" i="21"/>
  <c r="L110" i="21"/>
  <c r="J110" i="21"/>
  <c r="I110" i="21"/>
  <c r="H110" i="21"/>
  <c r="G110" i="21"/>
  <c r="L108" i="21"/>
  <c r="J108" i="21"/>
  <c r="H108" i="21"/>
  <c r="L107" i="21"/>
  <c r="J107" i="21"/>
  <c r="H107" i="21"/>
  <c r="M106" i="21"/>
  <c r="L106" i="21"/>
  <c r="J106" i="21"/>
  <c r="H106" i="21"/>
  <c r="M105" i="21"/>
  <c r="L105" i="21"/>
  <c r="J105" i="21"/>
  <c r="H105" i="21"/>
  <c r="M104" i="21"/>
  <c r="L104" i="21"/>
  <c r="J104" i="21"/>
  <c r="H104" i="21"/>
  <c r="F104" i="21"/>
  <c r="M103" i="21"/>
  <c r="L103" i="21"/>
  <c r="J103" i="21"/>
  <c r="H103" i="21"/>
  <c r="F103" i="21"/>
  <c r="M102" i="21"/>
  <c r="L102" i="21"/>
  <c r="J102" i="21"/>
  <c r="H102" i="21"/>
  <c r="F102" i="21"/>
  <c r="M101" i="21"/>
  <c r="L101" i="21"/>
  <c r="J101" i="21"/>
  <c r="H101" i="21"/>
  <c r="F101" i="21"/>
  <c r="M100" i="21"/>
  <c r="L100" i="21"/>
  <c r="J100" i="21"/>
  <c r="H100" i="21"/>
  <c r="F100" i="21"/>
  <c r="M99" i="21"/>
  <c r="L99" i="21"/>
  <c r="J99" i="21"/>
  <c r="H99" i="21"/>
  <c r="F99" i="21"/>
  <c r="M98" i="21"/>
  <c r="L98" i="21"/>
  <c r="J98" i="21"/>
  <c r="M97" i="21"/>
  <c r="L97" i="21"/>
  <c r="J97" i="21"/>
  <c r="H97" i="21"/>
  <c r="F97" i="21"/>
  <c r="M96" i="21"/>
  <c r="L96" i="21"/>
  <c r="J96" i="21"/>
  <c r="H96" i="21"/>
  <c r="F96" i="21"/>
  <c r="M95" i="21"/>
  <c r="L95" i="21"/>
  <c r="J95" i="21"/>
  <c r="H95" i="21"/>
  <c r="F95" i="21"/>
  <c r="M94" i="21"/>
  <c r="L94" i="21"/>
  <c r="J94" i="21"/>
  <c r="H94" i="21"/>
  <c r="F94" i="21"/>
  <c r="M93" i="21"/>
  <c r="L93" i="21"/>
  <c r="J93" i="21"/>
  <c r="H93" i="21"/>
  <c r="F93" i="21"/>
  <c r="M92" i="21"/>
  <c r="L92" i="21"/>
  <c r="J92" i="21"/>
  <c r="H92" i="21"/>
  <c r="F92" i="21"/>
  <c r="M91" i="21"/>
  <c r="L91" i="21"/>
  <c r="J91" i="21"/>
  <c r="I91" i="21"/>
  <c r="H91" i="21"/>
  <c r="G91" i="21"/>
  <c r="F91" i="21"/>
  <c r="F90" i="21"/>
  <c r="M89" i="21"/>
  <c r="L89" i="21"/>
  <c r="J89" i="21"/>
  <c r="H89" i="21"/>
  <c r="F89" i="21"/>
  <c r="M88" i="21"/>
  <c r="L88" i="21"/>
  <c r="J88" i="21"/>
  <c r="H88" i="21"/>
  <c r="F88" i="21"/>
  <c r="M87" i="21"/>
  <c r="L87" i="21"/>
  <c r="J87" i="21"/>
  <c r="H87" i="21"/>
  <c r="F87" i="21"/>
  <c r="M86" i="21"/>
  <c r="L86" i="21"/>
  <c r="J86" i="21"/>
  <c r="H86" i="21"/>
  <c r="F86" i="21"/>
  <c r="M85" i="21"/>
  <c r="L85" i="21"/>
  <c r="J85" i="21"/>
  <c r="I85" i="21"/>
  <c r="H85" i="21"/>
  <c r="G85" i="21"/>
  <c r="F85" i="21"/>
  <c r="F84" i="21"/>
  <c r="M83" i="21"/>
  <c r="L83" i="21"/>
  <c r="J83" i="21"/>
  <c r="H83" i="21"/>
  <c r="F83" i="21"/>
  <c r="L82" i="21"/>
  <c r="J82" i="21"/>
  <c r="H82" i="21"/>
  <c r="F82" i="21"/>
  <c r="M81" i="21"/>
  <c r="L81" i="21"/>
  <c r="J81" i="21"/>
  <c r="H81" i="21"/>
  <c r="F81" i="21"/>
  <c r="M80" i="21"/>
  <c r="L80" i="21"/>
  <c r="J80" i="21"/>
  <c r="H80" i="21"/>
  <c r="F80" i="21"/>
  <c r="M79" i="21"/>
  <c r="L79" i="21"/>
  <c r="J79" i="21"/>
  <c r="H79" i="21"/>
  <c r="F79" i="21"/>
  <c r="L78" i="21"/>
  <c r="J78" i="21"/>
  <c r="H78" i="21"/>
  <c r="F78" i="21"/>
  <c r="M77" i="21"/>
  <c r="L77" i="21"/>
  <c r="J77" i="21"/>
  <c r="H77" i="21"/>
  <c r="F77" i="21"/>
  <c r="M76" i="21"/>
  <c r="L76" i="21"/>
  <c r="J76" i="21"/>
  <c r="H76" i="21"/>
  <c r="F76" i="21"/>
  <c r="M75" i="21"/>
  <c r="L75" i="21"/>
  <c r="J75" i="21"/>
  <c r="H75" i="21"/>
  <c r="F75" i="21"/>
  <c r="M74" i="21"/>
  <c r="L74" i="21"/>
  <c r="J74" i="21"/>
  <c r="H74" i="21"/>
  <c r="F74" i="21"/>
  <c r="M73" i="21"/>
  <c r="L73" i="21"/>
  <c r="J73" i="21"/>
  <c r="H73" i="21"/>
  <c r="F73" i="21"/>
  <c r="M72" i="21"/>
  <c r="L72" i="21"/>
  <c r="J72" i="21"/>
  <c r="H72" i="21"/>
  <c r="F72" i="21"/>
  <c r="M71" i="21"/>
  <c r="L71" i="21"/>
  <c r="J71" i="21"/>
  <c r="H71" i="21"/>
  <c r="F71" i="21"/>
  <c r="M70" i="21"/>
  <c r="L70" i="21"/>
  <c r="J70" i="21"/>
  <c r="H70" i="21"/>
  <c r="F70" i="21"/>
  <c r="M69" i="21"/>
  <c r="L69" i="21"/>
  <c r="J69" i="21"/>
  <c r="H69" i="21"/>
  <c r="F69" i="21"/>
  <c r="M68" i="21"/>
  <c r="L68" i="21"/>
  <c r="J68" i="21"/>
  <c r="H68" i="21"/>
  <c r="F68" i="21"/>
  <c r="M67" i="21"/>
  <c r="L67" i="21"/>
  <c r="J67" i="21"/>
  <c r="H67" i="21"/>
  <c r="F67" i="21"/>
  <c r="M66" i="21"/>
  <c r="L66" i="21"/>
  <c r="J66" i="21"/>
  <c r="H66" i="21"/>
  <c r="F66" i="21"/>
  <c r="M65" i="21"/>
  <c r="L65" i="21"/>
  <c r="J65" i="21"/>
  <c r="H65" i="21"/>
  <c r="F65" i="21"/>
  <c r="M64" i="21"/>
  <c r="L64" i="21"/>
  <c r="J64" i="21"/>
  <c r="H64" i="21"/>
  <c r="F64" i="21"/>
  <c r="M63" i="21"/>
  <c r="L63" i="21"/>
  <c r="J63" i="21"/>
  <c r="H63" i="21"/>
  <c r="F63" i="21"/>
  <c r="M62" i="21"/>
  <c r="L62" i="21"/>
  <c r="J62" i="21"/>
  <c r="H62" i="21"/>
  <c r="F62" i="21"/>
  <c r="M61" i="21"/>
  <c r="L61" i="21"/>
  <c r="J61" i="21"/>
  <c r="I61" i="21"/>
  <c r="H61" i="21"/>
  <c r="G61" i="21"/>
  <c r="F61" i="21"/>
  <c r="F60" i="21"/>
  <c r="L59" i="21"/>
  <c r="J59" i="21"/>
  <c r="H59" i="21"/>
  <c r="F59" i="21"/>
  <c r="M58" i="21"/>
  <c r="L58" i="21"/>
  <c r="J58" i="21"/>
  <c r="H58" i="21"/>
  <c r="F58" i="21"/>
  <c r="M57" i="21"/>
  <c r="L57" i="21"/>
  <c r="J57" i="21"/>
  <c r="H57" i="21"/>
  <c r="F57" i="21"/>
  <c r="M56" i="21"/>
  <c r="L56" i="21"/>
  <c r="J56" i="21"/>
  <c r="H56" i="21"/>
  <c r="F56" i="21"/>
  <c r="M55" i="21"/>
  <c r="L55" i="21"/>
  <c r="J55" i="21"/>
  <c r="H55" i="21"/>
  <c r="F55" i="21"/>
  <c r="M54" i="21"/>
  <c r="L54" i="21"/>
  <c r="J54" i="21"/>
  <c r="H54" i="21"/>
  <c r="M53" i="21"/>
  <c r="L53" i="21"/>
  <c r="J53" i="21"/>
  <c r="H53" i="21"/>
  <c r="F53" i="21"/>
  <c r="M52" i="21"/>
  <c r="L52" i="21"/>
  <c r="J52" i="21"/>
  <c r="H52" i="21"/>
  <c r="F52" i="21"/>
  <c r="M51" i="21"/>
  <c r="L51" i="21"/>
  <c r="J51" i="21"/>
  <c r="H51" i="21"/>
  <c r="F51" i="21"/>
  <c r="M50" i="21"/>
  <c r="L50" i="21"/>
  <c r="J50" i="21"/>
  <c r="H50" i="21"/>
  <c r="F50" i="21"/>
  <c r="M49" i="21"/>
  <c r="L49" i="21"/>
  <c r="J49" i="21"/>
  <c r="H49" i="21"/>
  <c r="F49" i="21"/>
  <c r="M48" i="21"/>
  <c r="L48" i="21"/>
  <c r="J48" i="21"/>
  <c r="I48" i="21"/>
  <c r="H48" i="21"/>
  <c r="G48" i="21"/>
  <c r="F48" i="21"/>
  <c r="M46" i="21"/>
  <c r="L46" i="21"/>
  <c r="J46" i="21"/>
  <c r="H46" i="21"/>
  <c r="F46" i="21"/>
  <c r="M45" i="21"/>
  <c r="H45" i="21"/>
  <c r="M44" i="21"/>
  <c r="L44" i="21"/>
  <c r="J44" i="21"/>
  <c r="I44" i="21"/>
  <c r="H44" i="21"/>
  <c r="G44" i="21"/>
  <c r="F44" i="21"/>
  <c r="M43" i="21"/>
  <c r="L43" i="21"/>
  <c r="I43" i="21"/>
  <c r="H43" i="21"/>
  <c r="G43" i="21"/>
  <c r="M42" i="21"/>
  <c r="L42" i="21"/>
  <c r="J42" i="21"/>
  <c r="I42" i="21"/>
  <c r="H42" i="21"/>
  <c r="G42" i="21"/>
  <c r="F42" i="21"/>
  <c r="M38" i="21"/>
  <c r="L38" i="21"/>
  <c r="J38" i="21"/>
  <c r="L37" i="21"/>
  <c r="J37" i="21"/>
  <c r="H37" i="21"/>
  <c r="F37" i="21"/>
  <c r="M36" i="21"/>
  <c r="L36" i="21"/>
  <c r="J36" i="21"/>
  <c r="H36" i="21"/>
  <c r="F36" i="21"/>
  <c r="M35" i="21"/>
  <c r="L35" i="21"/>
  <c r="J35" i="21"/>
  <c r="H35" i="21"/>
  <c r="F35" i="21"/>
  <c r="M34" i="21"/>
  <c r="L34" i="21"/>
  <c r="J34" i="21"/>
  <c r="H34" i="21"/>
  <c r="F34" i="21"/>
  <c r="M33" i="21"/>
  <c r="H33" i="21"/>
  <c r="M32" i="21"/>
  <c r="L32" i="21"/>
  <c r="J32" i="21"/>
  <c r="I32" i="21"/>
  <c r="H32" i="21"/>
  <c r="G32" i="21"/>
  <c r="F32" i="21"/>
  <c r="F31" i="21"/>
  <c r="M30" i="21"/>
  <c r="L30" i="21"/>
  <c r="J30" i="21"/>
  <c r="H30" i="21"/>
  <c r="F30" i="21"/>
  <c r="M29" i="21"/>
  <c r="L29" i="21"/>
  <c r="J29" i="21"/>
  <c r="H29" i="21"/>
  <c r="F29" i="21"/>
  <c r="M28" i="21"/>
  <c r="L28" i="21"/>
  <c r="J28" i="21"/>
  <c r="I28" i="21"/>
  <c r="H28" i="21"/>
  <c r="G28" i="21"/>
  <c r="F28" i="21"/>
  <c r="M27" i="21"/>
  <c r="L27" i="21"/>
  <c r="J27" i="21"/>
  <c r="I27" i="21"/>
  <c r="H27" i="21"/>
  <c r="G27" i="21"/>
  <c r="F27" i="21"/>
  <c r="P26" i="21"/>
  <c r="F26" i="21"/>
  <c r="M25" i="21"/>
  <c r="L25" i="21"/>
  <c r="J25" i="21"/>
  <c r="H25" i="21"/>
  <c r="F25" i="21"/>
  <c r="M24" i="21"/>
  <c r="L24" i="21"/>
  <c r="J24" i="21"/>
  <c r="I24" i="21"/>
  <c r="H24" i="21"/>
  <c r="G24" i="21"/>
  <c r="F24" i="21"/>
  <c r="M23" i="21"/>
  <c r="L23" i="21"/>
  <c r="J23" i="21"/>
  <c r="I23" i="21"/>
  <c r="H23" i="21"/>
  <c r="G23" i="21"/>
  <c r="F23" i="21"/>
  <c r="M22" i="21"/>
  <c r="L22" i="21"/>
  <c r="J22" i="21"/>
  <c r="I22" i="21"/>
  <c r="H22" i="21"/>
  <c r="G22" i="21"/>
  <c r="F22" i="21"/>
  <c r="D18" i="21"/>
  <c r="D17" i="21"/>
  <c r="D16" i="21"/>
  <c r="D15" i="21"/>
  <c r="D9" i="21"/>
  <c r="I163" i="20"/>
  <c r="G163" i="20"/>
  <c r="E163" i="20"/>
  <c r="I162" i="20"/>
  <c r="G162" i="20"/>
  <c r="E162" i="20"/>
  <c r="I161" i="20"/>
  <c r="G161" i="20"/>
  <c r="E161" i="20"/>
  <c r="G159" i="20"/>
  <c r="I158" i="20"/>
  <c r="G158" i="20"/>
  <c r="I157" i="20"/>
  <c r="J154" i="20"/>
  <c r="F154" i="20"/>
  <c r="J153" i="20"/>
  <c r="F153" i="20"/>
  <c r="M152" i="20"/>
  <c r="L152" i="20"/>
  <c r="J152" i="20"/>
  <c r="H152" i="20"/>
  <c r="F152" i="20"/>
  <c r="M151" i="20"/>
  <c r="L151" i="20"/>
  <c r="J151" i="20"/>
  <c r="I151" i="20"/>
  <c r="H151" i="20"/>
  <c r="G151" i="20"/>
  <c r="F151" i="20"/>
  <c r="J150" i="20"/>
  <c r="F150" i="20"/>
  <c r="L149" i="20"/>
  <c r="J149" i="20"/>
  <c r="H149" i="20"/>
  <c r="F149" i="20"/>
  <c r="M148" i="20"/>
  <c r="L148" i="20"/>
  <c r="J148" i="20"/>
  <c r="H148" i="20"/>
  <c r="F148" i="20"/>
  <c r="M147" i="20"/>
  <c r="L147" i="20"/>
  <c r="J147" i="20"/>
  <c r="H147" i="20"/>
  <c r="F147" i="20"/>
  <c r="M146" i="20"/>
  <c r="L146" i="20"/>
  <c r="J146" i="20"/>
  <c r="H146" i="20"/>
  <c r="F146" i="20"/>
  <c r="M145" i="20"/>
  <c r="L145" i="20"/>
  <c r="J145" i="20"/>
  <c r="I145" i="20"/>
  <c r="H145" i="20"/>
  <c r="G145" i="20"/>
  <c r="F145" i="20"/>
  <c r="M144" i="20"/>
  <c r="L144" i="20"/>
  <c r="J144" i="20"/>
  <c r="I144" i="20"/>
  <c r="H144" i="20"/>
  <c r="G144" i="20"/>
  <c r="F144" i="20"/>
  <c r="J143" i="20"/>
  <c r="F143" i="20"/>
  <c r="M142" i="20"/>
  <c r="L142" i="20"/>
  <c r="H142" i="20"/>
  <c r="L141" i="20"/>
  <c r="J141" i="20"/>
  <c r="H141" i="20"/>
  <c r="F141" i="20"/>
  <c r="M140" i="20"/>
  <c r="L140" i="20"/>
  <c r="J140" i="20"/>
  <c r="H140" i="20"/>
  <c r="F140" i="20"/>
  <c r="M139" i="20"/>
  <c r="L139" i="20"/>
  <c r="J139" i="20"/>
  <c r="I139" i="20"/>
  <c r="H139" i="20"/>
  <c r="G139" i="20"/>
  <c r="F139" i="20"/>
  <c r="M138" i="20"/>
  <c r="L138" i="20"/>
  <c r="J138" i="20"/>
  <c r="I138" i="20"/>
  <c r="H138" i="20"/>
  <c r="G138" i="20"/>
  <c r="F138" i="20"/>
  <c r="M137" i="20"/>
  <c r="L137" i="20"/>
  <c r="J137" i="20"/>
  <c r="I137" i="20"/>
  <c r="H137" i="20"/>
  <c r="G137" i="20"/>
  <c r="F137" i="20"/>
  <c r="J136" i="20"/>
  <c r="F136" i="20"/>
  <c r="M135" i="20"/>
  <c r="L135" i="20"/>
  <c r="J135" i="20"/>
  <c r="H135" i="20"/>
  <c r="F135" i="20"/>
  <c r="M134" i="20"/>
  <c r="L134" i="20"/>
  <c r="J134" i="20"/>
  <c r="H134" i="20"/>
  <c r="F134" i="20"/>
  <c r="M133" i="20"/>
  <c r="L133" i="20"/>
  <c r="J133" i="20"/>
  <c r="I133" i="20"/>
  <c r="H133" i="20"/>
  <c r="G133" i="20"/>
  <c r="F133" i="20"/>
  <c r="F132" i="20"/>
  <c r="M131" i="20"/>
  <c r="L131" i="20"/>
  <c r="J131" i="20"/>
  <c r="H131" i="20"/>
  <c r="F131" i="20"/>
  <c r="L130" i="20"/>
  <c r="J130" i="20"/>
  <c r="H130" i="20"/>
  <c r="F130" i="20"/>
  <c r="L129" i="20"/>
  <c r="J129" i="20"/>
  <c r="H129" i="20"/>
  <c r="F129" i="20"/>
  <c r="M128" i="20"/>
  <c r="L128" i="20"/>
  <c r="J128" i="20"/>
  <c r="H128" i="20"/>
  <c r="F128" i="20"/>
  <c r="M127" i="20"/>
  <c r="L127" i="20"/>
  <c r="J127" i="20"/>
  <c r="H127" i="20"/>
  <c r="F127" i="20"/>
  <c r="L126" i="20"/>
  <c r="J126" i="20"/>
  <c r="H126" i="20"/>
  <c r="F126" i="20"/>
  <c r="M125" i="20"/>
  <c r="L125" i="20"/>
  <c r="J125" i="20"/>
  <c r="H125" i="20"/>
  <c r="F125" i="20"/>
  <c r="M124" i="20"/>
  <c r="L124" i="20"/>
  <c r="J124" i="20"/>
  <c r="H124" i="20"/>
  <c r="F124" i="20"/>
  <c r="L123" i="20"/>
  <c r="J123" i="20"/>
  <c r="H123" i="20"/>
  <c r="F123" i="20"/>
  <c r="M122" i="20"/>
  <c r="L122" i="20"/>
  <c r="J122" i="20"/>
  <c r="H122" i="20"/>
  <c r="F122" i="20"/>
  <c r="M121" i="20"/>
  <c r="L121" i="20"/>
  <c r="J121" i="20"/>
  <c r="I121" i="20"/>
  <c r="H121" i="20"/>
  <c r="G121" i="20"/>
  <c r="F121" i="20"/>
  <c r="L119" i="20"/>
  <c r="J119" i="20"/>
  <c r="H119" i="20"/>
  <c r="F119" i="20"/>
  <c r="L118" i="20"/>
  <c r="J118" i="20"/>
  <c r="H118" i="20"/>
  <c r="F118" i="20"/>
  <c r="M117" i="20"/>
  <c r="L117" i="20"/>
  <c r="J117" i="20"/>
  <c r="H117" i="20"/>
  <c r="F117" i="20"/>
  <c r="L116" i="20"/>
  <c r="J116" i="20"/>
  <c r="H116" i="20"/>
  <c r="F116" i="20"/>
  <c r="M115" i="20"/>
  <c r="L115" i="20"/>
  <c r="J115" i="20"/>
  <c r="H115" i="20"/>
  <c r="F115" i="20"/>
  <c r="M114" i="20"/>
  <c r="L114" i="20"/>
  <c r="J114" i="20"/>
  <c r="H114" i="20"/>
  <c r="F114" i="20"/>
  <c r="M113" i="20"/>
  <c r="L113" i="20"/>
  <c r="J113" i="20"/>
  <c r="H113" i="20"/>
  <c r="F113" i="20"/>
  <c r="M112" i="20"/>
  <c r="L112" i="20"/>
  <c r="J112" i="20"/>
  <c r="I112" i="20"/>
  <c r="H112" i="20"/>
  <c r="G112" i="20"/>
  <c r="F112" i="20"/>
  <c r="F111" i="20"/>
  <c r="L110" i="20"/>
  <c r="J110" i="20"/>
  <c r="H110" i="20"/>
  <c r="L109" i="20"/>
  <c r="J109" i="20"/>
  <c r="H109" i="20"/>
  <c r="F109" i="20"/>
  <c r="L108" i="20"/>
  <c r="J108" i="20"/>
  <c r="H108" i="20"/>
  <c r="F108" i="20"/>
  <c r="M107" i="20"/>
  <c r="L107" i="20"/>
  <c r="J107" i="20"/>
  <c r="H107" i="20"/>
  <c r="F107" i="20"/>
  <c r="M106" i="20"/>
  <c r="L106" i="20"/>
  <c r="J106" i="20"/>
  <c r="H106" i="20"/>
  <c r="F106" i="20"/>
  <c r="L105" i="20"/>
  <c r="J105" i="20"/>
  <c r="H105" i="20"/>
  <c r="F105" i="20"/>
  <c r="M104" i="20"/>
  <c r="L104" i="20"/>
  <c r="J104" i="20"/>
  <c r="I104" i="20"/>
  <c r="H104" i="20"/>
  <c r="G104" i="20"/>
  <c r="F104" i="20"/>
  <c r="J103" i="20"/>
  <c r="M102" i="20"/>
  <c r="L102" i="20"/>
  <c r="J102" i="20"/>
  <c r="H102" i="20"/>
  <c r="F102" i="20"/>
  <c r="L101" i="20"/>
  <c r="J101" i="20"/>
  <c r="H101" i="20"/>
  <c r="F101" i="20"/>
  <c r="M100" i="20"/>
  <c r="L100" i="20"/>
  <c r="J100" i="20"/>
  <c r="I100" i="20"/>
  <c r="H100" i="20"/>
  <c r="G100" i="20"/>
  <c r="F100" i="20"/>
  <c r="M99" i="20"/>
  <c r="L99" i="20"/>
  <c r="J99" i="20"/>
  <c r="I99" i="20"/>
  <c r="H99" i="20"/>
  <c r="G99" i="20"/>
  <c r="F99" i="20"/>
  <c r="M98" i="20"/>
  <c r="L98" i="20"/>
  <c r="J98" i="20"/>
  <c r="I98" i="20"/>
  <c r="H98" i="20"/>
  <c r="G98" i="20"/>
  <c r="F98" i="20"/>
  <c r="J97" i="20"/>
  <c r="F97" i="20"/>
  <c r="M96" i="20"/>
  <c r="L96" i="20"/>
  <c r="J96" i="20"/>
  <c r="H96" i="20"/>
  <c r="F96" i="20"/>
  <c r="M95" i="20"/>
  <c r="L95" i="20"/>
  <c r="J95" i="20"/>
  <c r="H95" i="20"/>
  <c r="F95" i="20"/>
  <c r="M94" i="20"/>
  <c r="L94" i="20"/>
  <c r="J94" i="20"/>
  <c r="I94" i="20"/>
  <c r="H94" i="20"/>
  <c r="G94" i="20"/>
  <c r="F94" i="20"/>
  <c r="J93" i="20"/>
  <c r="F93" i="20"/>
  <c r="M92" i="20"/>
  <c r="L92" i="20"/>
  <c r="J92" i="20"/>
  <c r="H92" i="20"/>
  <c r="F92" i="20"/>
  <c r="M91" i="20"/>
  <c r="L91" i="20"/>
  <c r="J91" i="20"/>
  <c r="I91" i="20"/>
  <c r="H91" i="20"/>
  <c r="G91" i="20"/>
  <c r="F91" i="20"/>
  <c r="J90" i="20"/>
  <c r="F90" i="20"/>
  <c r="M89" i="20"/>
  <c r="L89" i="20"/>
  <c r="J89" i="20"/>
  <c r="H89" i="20"/>
  <c r="F89" i="20"/>
  <c r="M88" i="20"/>
  <c r="L88" i="20"/>
  <c r="J88" i="20"/>
  <c r="H88" i="20"/>
  <c r="F88" i="20"/>
  <c r="M87" i="20"/>
  <c r="L87" i="20"/>
  <c r="J87" i="20"/>
  <c r="H87" i="20"/>
  <c r="F87" i="20"/>
  <c r="M86" i="20"/>
  <c r="L86" i="20"/>
  <c r="J86" i="20"/>
  <c r="H86" i="20"/>
  <c r="F86" i="20"/>
  <c r="M85" i="20"/>
  <c r="L85" i="20"/>
  <c r="J85" i="20"/>
  <c r="H85" i="20"/>
  <c r="F85" i="20"/>
  <c r="M84" i="20"/>
  <c r="L84" i="20"/>
  <c r="J84" i="20"/>
  <c r="H84" i="20"/>
  <c r="F84" i="20"/>
  <c r="M83" i="20"/>
  <c r="L83" i="20"/>
  <c r="J83" i="20"/>
  <c r="H83" i="20"/>
  <c r="F83" i="20"/>
  <c r="M82" i="20"/>
  <c r="L82" i="20"/>
  <c r="J82" i="20"/>
  <c r="H82" i="20"/>
  <c r="F82" i="20"/>
  <c r="L81" i="20"/>
  <c r="J81" i="20"/>
  <c r="H81" i="20"/>
  <c r="F81" i="20"/>
  <c r="M80" i="20"/>
  <c r="L80" i="20"/>
  <c r="J80" i="20"/>
  <c r="H80" i="20"/>
  <c r="F80" i="20"/>
  <c r="M79" i="20"/>
  <c r="L79" i="20"/>
  <c r="J79" i="20"/>
  <c r="H79" i="20"/>
  <c r="F79" i="20"/>
  <c r="M78" i="20"/>
  <c r="L78" i="20"/>
  <c r="J78" i="20"/>
  <c r="H78" i="20"/>
  <c r="F78" i="20"/>
  <c r="M77" i="20"/>
  <c r="L77" i="20"/>
  <c r="J77" i="20"/>
  <c r="H77" i="20"/>
  <c r="F77" i="20"/>
  <c r="M76" i="20"/>
  <c r="L76" i="20"/>
  <c r="J76" i="20"/>
  <c r="H76" i="20"/>
  <c r="F76" i="20"/>
  <c r="M75" i="20"/>
  <c r="L75" i="20"/>
  <c r="J75" i="20"/>
  <c r="H75" i="20"/>
  <c r="F75" i="20"/>
  <c r="M74" i="20"/>
  <c r="L74" i="20"/>
  <c r="J74" i="20"/>
  <c r="I74" i="20"/>
  <c r="H74" i="20"/>
  <c r="G74" i="20"/>
  <c r="F74" i="20"/>
  <c r="M73" i="20"/>
  <c r="L73" i="20"/>
  <c r="J73" i="20"/>
  <c r="I73" i="20"/>
  <c r="H73" i="20"/>
  <c r="G73" i="20"/>
  <c r="F73" i="20"/>
  <c r="J72" i="20"/>
  <c r="F72" i="20"/>
  <c r="M71" i="20"/>
  <c r="L71" i="20"/>
  <c r="J71" i="20"/>
  <c r="H71" i="20"/>
  <c r="F71" i="20"/>
  <c r="M70" i="20"/>
  <c r="L70" i="20"/>
  <c r="J70" i="20"/>
  <c r="H70" i="20"/>
  <c r="F70" i="20"/>
  <c r="M69" i="20"/>
  <c r="L69" i="20"/>
  <c r="J69" i="20"/>
  <c r="H69" i="20"/>
  <c r="F69" i="20"/>
  <c r="M68" i="20"/>
  <c r="L68" i="20"/>
  <c r="J68" i="20"/>
  <c r="H68" i="20"/>
  <c r="F68" i="20"/>
  <c r="M67" i="20"/>
  <c r="L67" i="20"/>
  <c r="J67" i="20"/>
  <c r="H67" i="20"/>
  <c r="F67" i="20"/>
  <c r="M66" i="20"/>
  <c r="L66" i="20"/>
  <c r="J66" i="20"/>
  <c r="I66" i="20"/>
  <c r="H66" i="20"/>
  <c r="G66" i="20"/>
  <c r="F66" i="20"/>
  <c r="L65" i="20"/>
  <c r="J65" i="20"/>
  <c r="H65" i="20"/>
  <c r="F65" i="20"/>
  <c r="L64" i="20"/>
  <c r="J64" i="20"/>
  <c r="H64" i="20"/>
  <c r="F64" i="20"/>
  <c r="M63" i="20"/>
  <c r="L63" i="20"/>
  <c r="J63" i="20"/>
  <c r="H63" i="20"/>
  <c r="F63" i="20"/>
  <c r="M62" i="20"/>
  <c r="L62" i="20"/>
  <c r="J62" i="20"/>
  <c r="H62" i="20"/>
  <c r="F62" i="20"/>
  <c r="L61" i="20"/>
  <c r="J61" i="20"/>
  <c r="H61" i="20"/>
  <c r="F61" i="20"/>
  <c r="L60" i="20"/>
  <c r="J60" i="20"/>
  <c r="H60" i="20"/>
  <c r="F60" i="20"/>
  <c r="M59" i="20"/>
  <c r="L59" i="20"/>
  <c r="J59" i="20"/>
  <c r="H59" i="20"/>
  <c r="F59" i="20"/>
  <c r="L58" i="20"/>
  <c r="J58" i="20"/>
  <c r="H58" i="20"/>
  <c r="F58" i="20"/>
  <c r="M57" i="20"/>
  <c r="L57" i="20"/>
  <c r="J57" i="20"/>
  <c r="H57" i="20"/>
  <c r="F57" i="20"/>
  <c r="L56" i="20"/>
  <c r="J56" i="20"/>
  <c r="H56" i="20"/>
  <c r="L55" i="20"/>
  <c r="J55" i="20"/>
  <c r="H55" i="20"/>
  <c r="F55" i="20"/>
  <c r="M54" i="20"/>
  <c r="L54" i="20"/>
  <c r="J54" i="20"/>
  <c r="H54" i="20"/>
  <c r="F54" i="20"/>
  <c r="M53" i="20"/>
  <c r="L53" i="20"/>
  <c r="J53" i="20"/>
  <c r="H53" i="20"/>
  <c r="F53" i="20"/>
  <c r="M52" i="20"/>
  <c r="L52" i="20"/>
  <c r="J52" i="20"/>
  <c r="H52" i="20"/>
  <c r="F52" i="20"/>
  <c r="J51" i="20"/>
  <c r="H51" i="20"/>
  <c r="F51" i="20"/>
  <c r="M50" i="20"/>
  <c r="L50" i="20"/>
  <c r="J50" i="20"/>
  <c r="I50" i="20"/>
  <c r="H50" i="20"/>
  <c r="G50" i="20"/>
  <c r="F50" i="20"/>
  <c r="M48" i="20"/>
  <c r="L48" i="20"/>
  <c r="J48" i="20"/>
  <c r="H48" i="20"/>
  <c r="F48" i="20"/>
  <c r="M47" i="20"/>
  <c r="L47" i="20"/>
  <c r="J47" i="20"/>
  <c r="I47" i="20"/>
  <c r="H47" i="20"/>
  <c r="G47" i="20"/>
  <c r="F47" i="20"/>
  <c r="M45" i="20"/>
  <c r="L45" i="20"/>
  <c r="J45" i="20"/>
  <c r="H45" i="20"/>
  <c r="F45" i="20"/>
  <c r="M44" i="20"/>
  <c r="L44" i="20"/>
  <c r="J44" i="20"/>
  <c r="H44" i="20"/>
  <c r="F44" i="20"/>
  <c r="M43" i="20"/>
  <c r="L43" i="20"/>
  <c r="J43" i="20"/>
  <c r="I43" i="20"/>
  <c r="H43" i="20"/>
  <c r="G43" i="20"/>
  <c r="F43" i="20"/>
  <c r="L42" i="20"/>
  <c r="J42" i="20"/>
  <c r="H42" i="20"/>
  <c r="F42" i="20"/>
  <c r="L41" i="20"/>
  <c r="J41" i="20"/>
  <c r="H41" i="20"/>
  <c r="F41" i="20"/>
  <c r="L40" i="20"/>
  <c r="J40" i="20"/>
  <c r="H40" i="20"/>
  <c r="F40" i="20"/>
  <c r="M39" i="20"/>
  <c r="L39" i="20"/>
  <c r="J39" i="20"/>
  <c r="H39" i="20"/>
  <c r="F39" i="20"/>
  <c r="M38" i="20"/>
  <c r="L38" i="20"/>
  <c r="J38" i="20"/>
  <c r="H38" i="20"/>
  <c r="F38" i="20"/>
  <c r="M37" i="20"/>
  <c r="L37" i="20"/>
  <c r="J37" i="20"/>
  <c r="H37" i="20"/>
  <c r="F37" i="20"/>
  <c r="M36" i="20"/>
  <c r="L36" i="20"/>
  <c r="J36" i="20"/>
  <c r="H36" i="20"/>
  <c r="F36" i="20"/>
  <c r="M35" i="20"/>
  <c r="L35" i="20"/>
  <c r="J35" i="20"/>
  <c r="H35" i="20"/>
  <c r="F35" i="20"/>
  <c r="M34" i="20"/>
  <c r="L34" i="20"/>
  <c r="J34" i="20"/>
  <c r="H34" i="20"/>
  <c r="F34" i="20"/>
  <c r="M33" i="20"/>
  <c r="L33" i="20"/>
  <c r="J33" i="20"/>
  <c r="H33" i="20"/>
  <c r="F33" i="20"/>
  <c r="M32" i="20"/>
  <c r="L32" i="20"/>
  <c r="J32" i="20"/>
  <c r="H32" i="20"/>
  <c r="F32" i="20"/>
  <c r="M31" i="20"/>
  <c r="L31" i="20"/>
  <c r="J31" i="20"/>
  <c r="H31" i="20"/>
  <c r="M30" i="20"/>
  <c r="L30" i="20"/>
  <c r="L29" i="20"/>
  <c r="J29" i="20"/>
  <c r="H29" i="20"/>
  <c r="F29" i="20"/>
  <c r="L28" i="20"/>
  <c r="H28" i="20"/>
  <c r="M27" i="20"/>
  <c r="L27" i="20"/>
  <c r="H27" i="20"/>
  <c r="L26" i="20"/>
  <c r="H26" i="20"/>
  <c r="M25" i="20"/>
  <c r="L25" i="20"/>
  <c r="J25" i="20"/>
  <c r="H25" i="20"/>
  <c r="F25" i="20"/>
  <c r="M24" i="20"/>
  <c r="L24" i="20"/>
  <c r="J24" i="20"/>
  <c r="I24" i="20"/>
  <c r="H24" i="20"/>
  <c r="G24" i="20"/>
  <c r="F24" i="20"/>
  <c r="M23" i="20"/>
  <c r="L23" i="20"/>
  <c r="J23" i="20"/>
  <c r="I23" i="20"/>
  <c r="H23" i="20"/>
  <c r="G23" i="20"/>
  <c r="F23" i="20"/>
  <c r="M22" i="20"/>
  <c r="L22" i="20"/>
  <c r="J22" i="20"/>
  <c r="I22" i="20"/>
  <c r="H22" i="20"/>
  <c r="G22" i="20"/>
  <c r="F22" i="20"/>
  <c r="D18" i="20"/>
  <c r="D17" i="20"/>
  <c r="D16" i="20"/>
  <c r="D15" i="20"/>
  <c r="F42" i="45" l="1"/>
  <c r="M18" i="47"/>
  <c r="M20" i="47"/>
  <c r="I50" i="45"/>
  <c r="I44" i="45"/>
  <c r="I42" i="45"/>
  <c r="F44" i="45"/>
  <c r="F50" i="45"/>
  <c r="M22" i="47"/>
  <c r="M24" i="47"/>
  <c r="E14" i="12"/>
  <c r="E16" i="12" s="1"/>
</calcChain>
</file>

<file path=xl/sharedStrings.xml><?xml version="1.0" encoding="utf-8"?>
<sst xmlns="http://schemas.openxmlformats.org/spreadsheetml/2006/main" count="1897" uniqueCount="1313">
  <si>
    <t>BEPSA DEL PARAGUAY S.A.E.C.A.</t>
  </si>
  <si>
    <t>BALANCE GENERAL</t>
  </si>
  <si>
    <t>Sistema de Contabilidad</t>
  </si>
  <si>
    <t>RUC 80011012-9</t>
  </si>
  <si>
    <t>ACTIVO</t>
  </si>
  <si>
    <t>ACTIVO CORRIENTE</t>
  </si>
  <si>
    <t>DISPONIBILIDADES</t>
  </si>
  <si>
    <t>BANCOS Y FINANCIERAS</t>
  </si>
  <si>
    <t>INVERSIONES FINANCIERAS</t>
  </si>
  <si>
    <t>BANCO UNION</t>
  </si>
  <si>
    <t>D14 + D16</t>
  </si>
  <si>
    <t>BANCO UNION A COMPENSAR</t>
  </si>
  <si>
    <t>TRADE &amp; COMMERCE BANK</t>
  </si>
  <si>
    <t>GARANTIA AHORRO EN US$</t>
  </si>
  <si>
    <t>BANCO ALEMAN CDA EN Gs.</t>
  </si>
  <si>
    <t>CREDITOS</t>
  </si>
  <si>
    <t>GARANTIA EN GUARANIES</t>
  </si>
  <si>
    <t>DEUDORES POR SERVICIOS - CLIENTES</t>
  </si>
  <si>
    <t>BANALEMAN FONDOS MUTUOS</t>
  </si>
  <si>
    <t>CUENTAS VARIAS A COBRAR</t>
  </si>
  <si>
    <t>BANALEMAN FONDOS MUTUOS US$</t>
  </si>
  <si>
    <t>BCO. NAC. DE FOMENTO CDA US$</t>
  </si>
  <si>
    <t>OTROS ACTIVOS CORRIENTES</t>
  </si>
  <si>
    <t>BCO. SUDAMERIS DPF EN US$</t>
  </si>
  <si>
    <t>ADELANTOS VARIOS</t>
  </si>
  <si>
    <t>VISIÓN S.A. DE FINANZAS E.C.A. US$</t>
  </si>
  <si>
    <t>ADELANTO A PROVEEDORES</t>
  </si>
  <si>
    <t>BANQUE SUDAMERIS US$</t>
  </si>
  <si>
    <t>PAPELES Y UTILES EN DEPOSITO</t>
  </si>
  <si>
    <t>PRUDENCIAL SECURITIES JUQ-9513</t>
  </si>
  <si>
    <t>VARIAS CUENTAS A COBRAR</t>
  </si>
  <si>
    <t>INTERNATIONAL BANK OF MIAMI</t>
  </si>
  <si>
    <t>GTOS. PAGADOS X ADELANTADO</t>
  </si>
  <si>
    <t>WACHOVIA SECURITIES 1480-3977</t>
  </si>
  <si>
    <t>ADELANTOS AL PERSONAL</t>
  </si>
  <si>
    <t>CUENTAS A COBRAR AL PERSONAL</t>
  </si>
  <si>
    <t>E24 + E34</t>
  </si>
  <si>
    <t>GARANTIA DE ALQUILER</t>
  </si>
  <si>
    <t>PRESTAMOS AL PERSONAL</t>
  </si>
  <si>
    <t>TRANSFERENCIAS COMPRAS EN COMERCIOS</t>
  </si>
  <si>
    <t>ANTICIPOS</t>
  </si>
  <si>
    <t>DEUDORES PROVISORIOS A FACTURAR</t>
  </si>
  <si>
    <t>CARGOS A VENCER</t>
  </si>
  <si>
    <t>BIENES DE CAMBIO</t>
  </si>
  <si>
    <t>TERRENO</t>
  </si>
  <si>
    <t>INMUEBLES, TERRENOS Y MATER. P/ POS</t>
  </si>
  <si>
    <t>ACTIVO NO CORRIENTE</t>
  </si>
  <si>
    <t>BPO</t>
  </si>
  <si>
    <t>INTERES TRADE</t>
  </si>
  <si>
    <t>VARIAS CUENTAS DEUDORAS</t>
  </si>
  <si>
    <t>DEUDORES POR TARJETA DE CRÉDITO</t>
  </si>
  <si>
    <t>CUENTAS EN GESTION DE COBRO</t>
  </si>
  <si>
    <t>CUENTAS A COBRAR</t>
  </si>
  <si>
    <t>INVERSIONES</t>
  </si>
  <si>
    <t>VALORES EN OTRAS EMPRESAS</t>
  </si>
  <si>
    <t>DINELCO INTERNACIONAL S.A.</t>
  </si>
  <si>
    <t>MTEL PARAGUAY S.A.E.C.A.</t>
  </si>
  <si>
    <t>OTRAS INVERSIONES</t>
  </si>
  <si>
    <t>CEREGRAL S.A.E.C.A.</t>
  </si>
  <si>
    <t>INMUEBLE C/C 27-1226.08</t>
  </si>
  <si>
    <t>Capital DISA</t>
  </si>
  <si>
    <t>PROYECTOS ESPECIALES</t>
  </si>
  <si>
    <t>PAGO FÁCIL</t>
  </si>
  <si>
    <t>Obras de Arte</t>
  </si>
  <si>
    <t>ACTIVO INTANGIBLE</t>
  </si>
  <si>
    <t>TERRENOS EN URBANIZACION PANAMBI</t>
  </si>
  <si>
    <t>LLAVE DE NEGOCIO - CREDIT BUREAU</t>
  </si>
  <si>
    <t>GASTOS DE REORGANIZACION</t>
  </si>
  <si>
    <t>PROYECTOS Y REORGANIZACION</t>
  </si>
  <si>
    <t>ACTIVO FIJO</t>
  </si>
  <si>
    <t>MUEBLES Y EQUIPOS EN GENERAL</t>
  </si>
  <si>
    <t>MAQUINARIAS</t>
  </si>
  <si>
    <t>HERRAMIENTAS Y EQUIPOS</t>
  </si>
  <si>
    <t>EQUIPOS DE INFORMÁTICA</t>
  </si>
  <si>
    <t>MAQUINARIAS POS</t>
  </si>
  <si>
    <t>SOFTWARE</t>
  </si>
  <si>
    <t>EQ. DE INF. BIENES RETASADOS</t>
  </si>
  <si>
    <t>SOFTWARE EN DESARROLLO</t>
  </si>
  <si>
    <t>IMPORTACION EN CURSO MAQ. POS</t>
  </si>
  <si>
    <t>AUTOMÓVILES, CAMIONES</t>
  </si>
  <si>
    <t>MOTOCICLETAS, MOTONETAS</t>
  </si>
  <si>
    <t>BIENES RESTANTES</t>
  </si>
  <si>
    <t>MONTAJES E INSTALACIONES</t>
  </si>
  <si>
    <t>DERECHOS ADQUIRIDOS</t>
  </si>
  <si>
    <t>CONSTR. O MEJORAS EN PREDIO AJEN</t>
  </si>
  <si>
    <t>DEPRECIACIONES ACUMULADAS</t>
  </si>
  <si>
    <t>CONTRUCCION</t>
  </si>
  <si>
    <t>SOFTWARE 6 AÑOS</t>
  </si>
  <si>
    <t>MONTAJE</t>
  </si>
  <si>
    <t>SOFTWARE 3 AÑOS</t>
  </si>
  <si>
    <t>PERDIDAS DEL EJERCICIO</t>
  </si>
  <si>
    <t>CUENTA DE ORDEN</t>
  </si>
  <si>
    <t>B.N.F. CORRESP. CTA. C.I.A.</t>
  </si>
  <si>
    <t>PASIVO</t>
  </si>
  <si>
    <t>PASIVO CORRIENTE</t>
  </si>
  <si>
    <t>CUENTAS A PAGAR - DEUDAS COM,</t>
  </si>
  <si>
    <t>PROVEEDORES</t>
  </si>
  <si>
    <t>CUENTAS VARIAS A PAGAR</t>
  </si>
  <si>
    <t>PROVEEDORES DEL EXTERIOR</t>
  </si>
  <si>
    <t>OBLIGACIONES FINANCIERAS</t>
  </si>
  <si>
    <t>ACREEDORES POR SERVICIOS</t>
  </si>
  <si>
    <t>DESCUENTOS DE DOCUMENTOS</t>
  </si>
  <si>
    <t>RETENCIONES A PAGAR</t>
  </si>
  <si>
    <t>CARGAS SOCIALES</t>
  </si>
  <si>
    <t>IMPUESTOS</t>
  </si>
  <si>
    <t>OTRAS CUENTAS POR PAGAR</t>
  </si>
  <si>
    <t>CUPONES DEL EXT, PEND. DE CANC.</t>
  </si>
  <si>
    <t>PROVISIONES A PAGAR</t>
  </si>
  <si>
    <t>DEUDAS SOCIALES</t>
  </si>
  <si>
    <t>GASTOS ACUMULADOS</t>
  </si>
  <si>
    <t>VARIAS CUENTAS ACREEDORAS</t>
  </si>
  <si>
    <t>INGRESOS DIFERIDOS</t>
  </si>
  <si>
    <t>OTRAS CUENTAS A PAGAR</t>
  </si>
  <si>
    <t>CTAS. A PAGAR A ENTIDADES USD</t>
  </si>
  <si>
    <t>PASIVO NO CORRIENTE</t>
  </si>
  <si>
    <t>DEUDAS COMERCIALES</t>
  </si>
  <si>
    <t>OBLIGACIONES EMISION DE BONOS</t>
  </si>
  <si>
    <t>BONOS EMITIDOS</t>
  </si>
  <si>
    <t>PREVISIONES</t>
  </si>
  <si>
    <t>CLIENTES EN MONEDA LOCAL</t>
  </si>
  <si>
    <t>CLIENTES EN MONEDA EXTRANJERA</t>
  </si>
  <si>
    <t>INVERSIÓN</t>
  </si>
  <si>
    <t>DISA A RECUPERAR</t>
  </si>
  <si>
    <t>MTEL PARAGUAY S.A. A COBRAR</t>
  </si>
  <si>
    <t>MTEL PARAGUAY S.A. INVERSIONES</t>
  </si>
  <si>
    <t>Participacion en otras sociedades</t>
  </si>
  <si>
    <t>CTAS. EN GESTION DE COBRO</t>
  </si>
  <si>
    <t>Inversiones</t>
  </si>
  <si>
    <t>PATRIMONIO NETO</t>
  </si>
  <si>
    <t>CAPITAL</t>
  </si>
  <si>
    <t>AUMENTO DE CAPITAL</t>
  </si>
  <si>
    <t>RESERVA LEGAL</t>
  </si>
  <si>
    <t>RESERVA FACULTATIVA</t>
  </si>
  <si>
    <t>RESERVA REVALUO</t>
  </si>
  <si>
    <t>RESULTADO 2006</t>
  </si>
  <si>
    <t>RESULTADO 1998</t>
  </si>
  <si>
    <t>RESULTADO 1999</t>
  </si>
  <si>
    <t>RESULTADO 2000</t>
  </si>
  <si>
    <t>RESULTADO 2001</t>
  </si>
  <si>
    <t>GANANCIAS DEL EJERCICIO</t>
  </si>
  <si>
    <t>EGRESOS</t>
  </si>
  <si>
    <t>GASTOS OPERATIVOS</t>
  </si>
  <si>
    <t>GASTOS DEL PERSONAL</t>
  </si>
  <si>
    <t>REMUNERACION PERSONAL</t>
  </si>
  <si>
    <t>AGUINALDO DEL PERSONAL</t>
  </si>
  <si>
    <t>BONIFICACIÓN FAMILIAR</t>
  </si>
  <si>
    <t>HORAS EXTRAS</t>
  </si>
  <si>
    <t>INDEMNIZACION Y PREAVISO</t>
  </si>
  <si>
    <t>GRATIFIC. ESPECIAL AL PERSONAL</t>
  </si>
  <si>
    <t>VACACIONES PAGADAS</t>
  </si>
  <si>
    <t>APORTE IPS</t>
  </si>
  <si>
    <t>OTRAS REMUNERACIONES</t>
  </si>
  <si>
    <t>REFRIGERIO AL PERSONAL</t>
  </si>
  <si>
    <t>OTROS GASTOS AL PERSONAL</t>
  </si>
  <si>
    <t>COMISIONES PAGADAS</t>
  </si>
  <si>
    <t>ADIESTRAMIENTO AL PERSONAL</t>
  </si>
  <si>
    <t>SEGURO MEDICO/APORTE BEPSA</t>
  </si>
  <si>
    <t>GASTOS COMERCIALES</t>
  </si>
  <si>
    <t>PUBLICIDAD Y PROPAGANDA</t>
  </si>
  <si>
    <t>GASTOS DE REPRESENTACIÓN</t>
  </si>
  <si>
    <t>GASTOS DE ESTRUCTURA</t>
  </si>
  <si>
    <t>GASTOS DE COMUNICACIÓN</t>
  </si>
  <si>
    <t>GASTOS DE CORRESPONDENCIA</t>
  </si>
  <si>
    <t>SERVICIOS PUBLICOS</t>
  </si>
  <si>
    <t>ALQUILERES Y EXPENSAS PAGADAS</t>
  </si>
  <si>
    <t>Impuesto</t>
  </si>
  <si>
    <t>MANTEN. Y REPARAC. DE B. USO</t>
  </si>
  <si>
    <t>Renta 2007</t>
  </si>
  <si>
    <t>LICENCIA DE SOFTWARE</t>
  </si>
  <si>
    <t>MANTEN. Y REPARAC. DE AUTOMOVIL</t>
  </si>
  <si>
    <t>LIMPIEZA Y MANT. LOCAL Y VEHIC.</t>
  </si>
  <si>
    <t>PAP. FORM. UT. DE OF. Y FOTOC.</t>
  </si>
  <si>
    <t>Sev. Personales</t>
  </si>
  <si>
    <t>Honor.</t>
  </si>
  <si>
    <t>Sindico</t>
  </si>
  <si>
    <t>Comisión</t>
  </si>
  <si>
    <t>SERVICIOS EXTERNOS</t>
  </si>
  <si>
    <t>TASAS E IMPUESTOS PAGADOS</t>
  </si>
  <si>
    <t>GASTOS FINANCIEROS</t>
  </si>
  <si>
    <t>OTROS GASTOS OPERATIVOS</t>
  </si>
  <si>
    <t>DEPRECIACIONES DEL EJERCICIO</t>
  </si>
  <si>
    <t>EGRESOS EXTRAORDINARIOS</t>
  </si>
  <si>
    <t>COSTOS P/ UNIDADES DE NEGOCIO</t>
  </si>
  <si>
    <t>Gtos. Extraordinarios</t>
  </si>
  <si>
    <t>Previsiones</t>
  </si>
  <si>
    <t>Amortizaciones</t>
  </si>
  <si>
    <t>Pos</t>
  </si>
  <si>
    <t>Atm</t>
  </si>
  <si>
    <t>Varios</t>
  </si>
  <si>
    <t>Actual</t>
  </si>
  <si>
    <t>BNF</t>
  </si>
  <si>
    <t>Adq. Bnf</t>
  </si>
  <si>
    <t>Credencial</t>
  </si>
  <si>
    <t>Procard</t>
  </si>
  <si>
    <t>Adq. Procard</t>
  </si>
  <si>
    <t>Entidades</t>
  </si>
  <si>
    <t>INGRESOS</t>
  </si>
  <si>
    <t>UNIDADES DE NEGOCIO</t>
  </si>
  <si>
    <t>DINELCO POS</t>
  </si>
  <si>
    <t>ALQUILER INST. Y TRANS. EN POS</t>
  </si>
  <si>
    <t>REPARAC. Y SUMINISTROS POS</t>
  </si>
  <si>
    <t>INGRESOS DEBITO</t>
  </si>
  <si>
    <t>TRANSACCIONES</t>
  </si>
  <si>
    <t>TRANSACCIONES DEBITOS EN POS</t>
  </si>
  <si>
    <t>ALQUILER DE CAJEROS</t>
  </si>
  <si>
    <t>ALQUILER DE POS AL BNF</t>
  </si>
  <si>
    <t>INGRESOS POR PROCESAMIENTOS</t>
  </si>
  <si>
    <t>INGRESOS POR SERVICIOS VARIOS</t>
  </si>
  <si>
    <t>COMISIONES POR ADQUIRENCIA DEB</t>
  </si>
  <si>
    <t>INGRESOS CREDITO</t>
  </si>
  <si>
    <t>INGRESOS POR EMISIONES</t>
  </si>
  <si>
    <t>INGRESOS POR TRANSACCIONES</t>
  </si>
  <si>
    <t>PROCESAMIENTO DINELCO BNF</t>
  </si>
  <si>
    <t>COMISION ADQUIRENCIA CRED</t>
  </si>
  <si>
    <t>COMISION ADQUIRENCIA VISA</t>
  </si>
  <si>
    <t>ENTREGA ESPECIAL DE TARJETAS</t>
  </si>
  <si>
    <t>INGRESOS VARIOS DINELCO</t>
  </si>
  <si>
    <t>SERVICIOS DE CREDITOS VISA</t>
  </si>
  <si>
    <t>SERVICIOS DINELCO</t>
  </si>
  <si>
    <t>OTROS INGRESOS OPERATIVOS</t>
  </si>
  <si>
    <t>SERVICIOS VARIOS / ENTIDADES</t>
  </si>
  <si>
    <t>INGRESOS SERVICIOS VARIOS</t>
  </si>
  <si>
    <t>EMBOZADOS DE TARJETAS</t>
  </si>
  <si>
    <t>INGRESOS NO OPERATIVOS</t>
  </si>
  <si>
    <t>INGRESOS VARIOS</t>
  </si>
  <si>
    <t>INGRESOS FINANCIEROS</t>
  </si>
  <si>
    <t>INGRESOS EXTRAORDINARIOS</t>
  </si>
  <si>
    <t>PÉRDIDAS DEL EJERCICIO</t>
  </si>
  <si>
    <t xml:space="preserve"> </t>
  </si>
  <si>
    <t>Capital</t>
  </si>
  <si>
    <t>Acciones</t>
  </si>
  <si>
    <t>Clase</t>
  </si>
  <si>
    <t>Lic. Pedro M. Báez M.</t>
  </si>
  <si>
    <t>Lic. Nery Fulgencio Medina</t>
  </si>
  <si>
    <t>Econ. Eleonora Scavone</t>
  </si>
  <si>
    <t>Contador</t>
  </si>
  <si>
    <t>Síndico</t>
  </si>
  <si>
    <t>Presidente</t>
  </si>
  <si>
    <t>RUC 1664831-5</t>
  </si>
  <si>
    <t>BEPSA DEL PARAGUAY S.A.</t>
  </si>
  <si>
    <t>EMISORA DE CAPITAL ABIERTO</t>
  </si>
  <si>
    <t>PASIVO Y PATRIMONIO NETO</t>
  </si>
  <si>
    <t xml:space="preserve">POR EL EJERCICIO COMPRENDIDO ENTRE EL 1º DE ENERO Y EL </t>
  </si>
  <si>
    <t>31 DE DICIEMBRE DE 2007 y 2006</t>
  </si>
  <si>
    <t>Impuesto a la Renta</t>
  </si>
  <si>
    <t>(Expresado en guaraníes)</t>
  </si>
  <si>
    <t>Resultados</t>
  </si>
  <si>
    <t>Total</t>
  </si>
  <si>
    <t>Reservas</t>
  </si>
  <si>
    <t>Neto</t>
  </si>
  <si>
    <t>ESTADO DE FLUJOS DE EFECTIVO</t>
  </si>
  <si>
    <t>Conciliación del Resultado Neto con el Efectivo y equivalente</t>
  </si>
  <si>
    <t>de efectivo proveniente de las actividades de operación,</t>
  </si>
  <si>
    <t>Utilidad del Ejercicio</t>
  </si>
  <si>
    <t>Más:</t>
  </si>
  <si>
    <t>Ajustes a la Utilidad del ejercicio</t>
  </si>
  <si>
    <t>Depreciaciones Bienes de Uso</t>
  </si>
  <si>
    <t>Amortización, Proyectos y Reorganización, Previsiones</t>
  </si>
  <si>
    <t>Menos</t>
  </si>
  <si>
    <t>Ingresos que no representan origenes de fondos</t>
  </si>
  <si>
    <t>Resultado neto antes de cambios en el Capital Operativo</t>
  </si>
  <si>
    <t>Cargos y abonos por cambios en el activo y pasivo</t>
  </si>
  <si>
    <t>Aumento Neto de Créditos</t>
  </si>
  <si>
    <t>Aumento Neto de Otros Activos</t>
  </si>
  <si>
    <t>Aumento Neto de Deudas Comerciales</t>
  </si>
  <si>
    <t>Disminución de Retenciones a Pagar</t>
  </si>
  <si>
    <t>Disminucióm Neta de Cuentas por Pagar Diversos</t>
  </si>
  <si>
    <t>Disminución Neta de Previsiones Especiales</t>
  </si>
  <si>
    <t>Aumento (Disminución) del efectivo y equivalente de</t>
  </si>
  <si>
    <t>efectivo proveniente de la actividad de operación</t>
  </si>
  <si>
    <t>Actividad de Inversión</t>
  </si>
  <si>
    <t>Adquisición de Activo Fijo</t>
  </si>
  <si>
    <t>Disminución Neta de Inversiones Financieras</t>
  </si>
  <si>
    <t>Aumento Neto de Otras Inversiones</t>
  </si>
  <si>
    <t>efectivo proveniente de la actividad de Inversión</t>
  </si>
  <si>
    <t>Actividad de Financiamiento</t>
  </si>
  <si>
    <t>Préstamo a corto plazo</t>
  </si>
  <si>
    <t>Distribución de Dividendos</t>
  </si>
  <si>
    <t>efectivo proveniente de la actividad de Financiamiento</t>
  </si>
  <si>
    <t>Aumento neto de efectivo y equivalente de efectivo</t>
  </si>
  <si>
    <t>Saldo efectivo y equivalente de efectivo al inicio</t>
  </si>
  <si>
    <t>Saldo efectivo y equivalente de efectivo al finalizar el efercicio</t>
  </si>
  <si>
    <t>Lic. Pedro Miguel Báez M.</t>
  </si>
  <si>
    <t xml:space="preserve">                   EMISORA DE CAPITAL ABIERTO</t>
  </si>
  <si>
    <t>ANEXO A</t>
  </si>
  <si>
    <t>BIENES DE USO Y DEPRECIACIONES</t>
  </si>
  <si>
    <t>Correspondiente al 31 de diciembre de 2007</t>
  </si>
  <si>
    <t>Con cifras comparativas del ejercicio anterior</t>
  </si>
  <si>
    <t xml:space="preserve">V A L O R E S   D E   O R I G E N </t>
  </si>
  <si>
    <t>D E P R E C I A C I O N E S</t>
  </si>
  <si>
    <t>Saldo al</t>
  </si>
  <si>
    <t>Cuentas</t>
  </si>
  <si>
    <t>Altas</t>
  </si>
  <si>
    <t>Bajas</t>
  </si>
  <si>
    <t>Revalúo</t>
  </si>
  <si>
    <t>Ajustes</t>
  </si>
  <si>
    <t>Resultante</t>
  </si>
  <si>
    <t>Bienes sujetos a depreciación</t>
  </si>
  <si>
    <t>Muebles y Equipos en general</t>
  </si>
  <si>
    <t>Maquinarias</t>
  </si>
  <si>
    <t>Herramientas y Equipos</t>
  </si>
  <si>
    <t>Equipos de Informática</t>
  </si>
  <si>
    <t>Maquinarias POS</t>
  </si>
  <si>
    <t>Software</t>
  </si>
  <si>
    <t>Automóviles, Camionetas, Camiones</t>
  </si>
  <si>
    <t>Bienes Restantes</t>
  </si>
  <si>
    <t>Montajes e Instalaciones</t>
  </si>
  <si>
    <t>Derechos Adquiridos</t>
  </si>
  <si>
    <t>Constr. o Mejoras en Predio Ajeno</t>
  </si>
  <si>
    <t>Sub -Total</t>
  </si>
  <si>
    <t>Bienes no sujetos a depreciación</t>
  </si>
  <si>
    <t>Terrenos</t>
  </si>
  <si>
    <t>Total general</t>
  </si>
  <si>
    <t xml:space="preserve">Total ejercicio anterior </t>
  </si>
  <si>
    <t>Lic. Pedro M. Báez. M.</t>
  </si>
  <si>
    <t>Aumentos</t>
  </si>
  <si>
    <t>C U E N T A S</t>
  </si>
  <si>
    <t>de</t>
  </si>
  <si>
    <t xml:space="preserve">de </t>
  </si>
  <si>
    <t>Resultado</t>
  </si>
  <si>
    <t>Patrimonio Neto</t>
  </si>
  <si>
    <t>Inversiones temporarias</t>
  </si>
  <si>
    <t>Inversiones Permanentes</t>
  </si>
  <si>
    <t>Inversiones Corrientes</t>
  </si>
  <si>
    <t>Inversiones no Corrientes</t>
  </si>
  <si>
    <t>Deducidas del Activo</t>
  </si>
  <si>
    <t>D E T A L L E</t>
  </si>
  <si>
    <t>ACTIVOS Y PASIVOS EN MONEDA EXTRANJERA</t>
  </si>
  <si>
    <t>(Expresado en Guaraníes)</t>
  </si>
  <si>
    <t>Moneda Extranjera</t>
  </si>
  <si>
    <t>Monto</t>
  </si>
  <si>
    <t>A C T I V O</t>
  </si>
  <si>
    <t>Clientes</t>
  </si>
  <si>
    <t>TOTAL ACTIVO</t>
  </si>
  <si>
    <t>PASIVOS CORRIENTES</t>
  </si>
  <si>
    <t>TOTAL PASIVO</t>
  </si>
  <si>
    <t>ANEXO H</t>
  </si>
  <si>
    <t>INFORMACION REQUERIDA SOBRE COSTOS Y GASTOS</t>
  </si>
  <si>
    <t xml:space="preserve">Gastos </t>
  </si>
  <si>
    <t>Gastos</t>
  </si>
  <si>
    <t xml:space="preserve">Financieros </t>
  </si>
  <si>
    <t>TOTAL</t>
  </si>
  <si>
    <t xml:space="preserve">y otros </t>
  </si>
  <si>
    <t>Ejercicio</t>
  </si>
  <si>
    <t>Otros</t>
  </si>
  <si>
    <t>RUBROS</t>
  </si>
  <si>
    <t>Operación</t>
  </si>
  <si>
    <t>Administración</t>
  </si>
  <si>
    <t>Comercialización</t>
  </si>
  <si>
    <t>Egresos</t>
  </si>
  <si>
    <t>Anterior</t>
  </si>
  <si>
    <t>Remuneración de directores y Síndicos</t>
  </si>
  <si>
    <t>Honorarios y remuneraciones por servicios</t>
  </si>
  <si>
    <t>Sueldos y otras remuneraciones</t>
  </si>
  <si>
    <t>Contribuciones sociales</t>
  </si>
  <si>
    <t>Capacitación al personal y seguro médico</t>
  </si>
  <si>
    <t>Alquiler pagados</t>
  </si>
  <si>
    <t>Manten. y reparación de Bienes de Uso</t>
  </si>
  <si>
    <t>Depreciaciones de bienes de uso</t>
  </si>
  <si>
    <t>Licencia de Software</t>
  </si>
  <si>
    <t>Agua, luz y telefono</t>
  </si>
  <si>
    <t>Gastos de correspondencia</t>
  </si>
  <si>
    <t>Papelería y útiles</t>
  </si>
  <si>
    <t>Impuestos, tasas y patentes</t>
  </si>
  <si>
    <t>Gastos comerciales</t>
  </si>
  <si>
    <t>Gastos de representación</t>
  </si>
  <si>
    <t>Gastos de limpieza</t>
  </si>
  <si>
    <t>Gastos de seguridad</t>
  </si>
  <si>
    <t>Gastos de intercambios</t>
  </si>
  <si>
    <t>Int.,Com., Dif. de Cambio y Otras Pérd.</t>
  </si>
  <si>
    <t>Fraudes asumidos</t>
  </si>
  <si>
    <t>Previsiones y Amortizaciones</t>
  </si>
  <si>
    <t>Gastos Extraordinarios</t>
  </si>
  <si>
    <t>Costos por unidades de negocio</t>
  </si>
  <si>
    <t>Otros Gastos</t>
  </si>
  <si>
    <t>Total al 31/12/07</t>
  </si>
  <si>
    <t>Total al 31/12/06</t>
  </si>
  <si>
    <t>Total del                  Ejercicio</t>
  </si>
  <si>
    <t>01/01/11 AL 31/12/11</t>
  </si>
  <si>
    <t>CAJA - Casa Central</t>
  </si>
  <si>
    <t>Caja- Suc. San Lorenzo 3</t>
  </si>
  <si>
    <t>CAJA - SUC. SAN LORENZO 3</t>
  </si>
  <si>
    <t>Reacudaciones a Depositar</t>
  </si>
  <si>
    <t>BNF- Cta Cte</t>
  </si>
  <si>
    <t>BNF- Caja de Ahorro</t>
  </si>
  <si>
    <t>Bco Amambay Cta Cte</t>
  </si>
  <si>
    <t>Bco Continental Cta Cte</t>
  </si>
  <si>
    <t>Bco de Itapua SAECA Cta Cte</t>
  </si>
  <si>
    <t>Bco Sudameris S.A. Cta Cte</t>
  </si>
  <si>
    <t>Bco Integración S.A.</t>
  </si>
  <si>
    <t>BBVA</t>
  </si>
  <si>
    <t>Vision Bco SAECA</t>
  </si>
  <si>
    <t>PKF</t>
  </si>
  <si>
    <t>Controller Contadores &amp; Auditores</t>
  </si>
  <si>
    <t>CLIENTE:</t>
  </si>
  <si>
    <t>Metal Dorado S.A.</t>
  </si>
  <si>
    <t>HECHO POR:</t>
  </si>
  <si>
    <t>GM</t>
  </si>
  <si>
    <t>PERIODO:</t>
  </si>
  <si>
    <t>31.12.11</t>
  </si>
  <si>
    <t>FECHA:</t>
  </si>
  <si>
    <t>RUBRO:</t>
  </si>
  <si>
    <t>BALANCE COMPARATIVO</t>
  </si>
  <si>
    <t>VERIF. POR:</t>
  </si>
  <si>
    <t>HOJA LLAVE</t>
  </si>
  <si>
    <t>Activo</t>
  </si>
  <si>
    <t>DATOS DEL BALANCE:</t>
  </si>
  <si>
    <t>Materialidad 1%</t>
  </si>
  <si>
    <t>Periodo:</t>
  </si>
  <si>
    <t>Error Tolerable 50%</t>
  </si>
  <si>
    <t>Fecha de emisión:</t>
  </si>
  <si>
    <t>Ajustes Menores 5%</t>
  </si>
  <si>
    <t>Fecha de PPC:</t>
  </si>
  <si>
    <t>CODIGO</t>
  </si>
  <si>
    <t>CUENTA / RUBRO</t>
  </si>
  <si>
    <t>SALDOS AL 31.12.09</t>
  </si>
  <si>
    <t>%</t>
  </si>
  <si>
    <t>SALDOS AL 31.12.10</t>
  </si>
  <si>
    <t>SALDOS AL 31.12.11</t>
  </si>
  <si>
    <t xml:space="preserve">REF. </t>
  </si>
  <si>
    <t>Variación Analítica</t>
  </si>
  <si>
    <t>1.0.0.00</t>
  </si>
  <si>
    <t xml:space="preserve">ACTIVO </t>
  </si>
  <si>
    <t>Caja- Casa Central</t>
  </si>
  <si>
    <t>Caja- Suc. Mariano Roque Alonso 2</t>
  </si>
  <si>
    <t>Caja- Casa Central- Nuevo</t>
  </si>
  <si>
    <t>Bco Itau</t>
  </si>
  <si>
    <t>Ajuste de Sucursales</t>
  </si>
  <si>
    <t>Bco Regional</t>
  </si>
  <si>
    <t>Bco Atlas</t>
  </si>
  <si>
    <t>1-1-2-00</t>
  </si>
  <si>
    <t>Prestamos Prendarios</t>
  </si>
  <si>
    <t>Empeños</t>
  </si>
  <si>
    <t>Empeños CE y CF</t>
  </si>
  <si>
    <t>1-1-3-00</t>
  </si>
  <si>
    <t>Mercaderias</t>
  </si>
  <si>
    <t>1-1-5-00</t>
  </si>
  <si>
    <t>Otros Activos</t>
  </si>
  <si>
    <t>Anticipo Impuesto a la Renta</t>
  </si>
  <si>
    <t>IVA-Credito</t>
  </si>
  <si>
    <t>Garantia de Alquiler</t>
  </si>
  <si>
    <t>Clientes-Dev p/ Giraduría-BNF</t>
  </si>
  <si>
    <t>Anticipo de remuneración</t>
  </si>
  <si>
    <t>Anticipo de Varios</t>
  </si>
  <si>
    <t>Deudores Varios</t>
  </si>
  <si>
    <t>Documentos a Cobrar</t>
  </si>
  <si>
    <t>Cobros p/ Tarjetas de Credito</t>
  </si>
  <si>
    <t>Otras Retenc. De Anticipo Imp. a la Renta</t>
  </si>
  <si>
    <t>Otras Retenc. IVA</t>
  </si>
  <si>
    <t>Cheques Devueltos</t>
  </si>
  <si>
    <t>Intereses Pagados x Adelantado</t>
  </si>
  <si>
    <t>Anticipo al Personal</t>
  </si>
  <si>
    <t>Prestamos al Personal</t>
  </si>
  <si>
    <t>1-1-6-00</t>
  </si>
  <si>
    <t>Creditos</t>
  </si>
  <si>
    <t>Clientes en Gestión de Cobro</t>
  </si>
  <si>
    <t>(-) Clientes Dsctos Vtas de Documentos</t>
  </si>
  <si>
    <t>(-) Prevision p/ Creditos de Dudoso Cobro</t>
  </si>
  <si>
    <t>(-) Clientes Cobros p/ Aplicar</t>
  </si>
  <si>
    <t>1-2-0-00</t>
  </si>
  <si>
    <t>Activo No Corriente</t>
  </si>
  <si>
    <t>1-2-1-00</t>
  </si>
  <si>
    <t>Bienes de Uso</t>
  </si>
  <si>
    <t>Rodados</t>
  </si>
  <si>
    <t>Muebles y Utiles</t>
  </si>
  <si>
    <t>Maquinas y Equipos de Oficina</t>
  </si>
  <si>
    <t>Equipos de Computación</t>
  </si>
  <si>
    <t>Sistemas Informaticos</t>
  </si>
  <si>
    <t>Mejoras en Propiedad Ajena</t>
  </si>
  <si>
    <t>Depreciaciones Acumuladas</t>
  </si>
  <si>
    <t>Equipos Varios</t>
  </si>
  <si>
    <t>Depreciaciones Acumuladas- Rodados</t>
  </si>
  <si>
    <t>Depreciaciones Acumuladas- Muebles y Utiles</t>
  </si>
  <si>
    <t>Depreciaciones Acumuladas- Maquinarias y Equipos</t>
  </si>
  <si>
    <t>Depreciaciones Acumuladas- Equipos de Computación</t>
  </si>
  <si>
    <t>Depreciaciones Acumuladas- Mejoras en Prop. Ajena</t>
  </si>
  <si>
    <t>Depreciaciones Acumuladas- Sistema Informatico</t>
  </si>
  <si>
    <t>Depreciaciones Acumuladas- Equipos Varios</t>
  </si>
  <si>
    <t>1-2-2-00</t>
  </si>
  <si>
    <t>Bienes Adjudicados</t>
  </si>
  <si>
    <t>1-2-3-00</t>
  </si>
  <si>
    <t>Diferidos</t>
  </si>
  <si>
    <t>Seguros a Vencer</t>
  </si>
  <si>
    <t>Intereses a Devengar</t>
  </si>
  <si>
    <t>2-0-0-00</t>
  </si>
  <si>
    <t>2-1-0-00</t>
  </si>
  <si>
    <t>Pasivo Corriente</t>
  </si>
  <si>
    <t>2-1-1-00</t>
  </si>
  <si>
    <t>Prestamos Varios del Pais</t>
  </si>
  <si>
    <t>Rodrigo Izaguirre - A Devolver</t>
  </si>
  <si>
    <t>Ma. Teresa Barrail - A Devolver</t>
  </si>
  <si>
    <t>2-1-2-00</t>
  </si>
  <si>
    <t>Deudas Bancarias y Comerciales</t>
  </si>
  <si>
    <t>Descuento de Documentos</t>
  </si>
  <si>
    <t>Prestamos Comerciales</t>
  </si>
  <si>
    <t>Prestamos Bancarios</t>
  </si>
  <si>
    <t>Bco BBVA</t>
  </si>
  <si>
    <t>2-1-3-00</t>
  </si>
  <si>
    <t>Deudas Fiscales y Sociales</t>
  </si>
  <si>
    <t>Direccion Gral de Recaudaciones</t>
  </si>
  <si>
    <t>IVA-Debito 10%</t>
  </si>
  <si>
    <t>Aporte IPS</t>
  </si>
  <si>
    <t>IVA 5%</t>
  </si>
  <si>
    <t>IVA a Pagar</t>
  </si>
  <si>
    <t>Dividendos a Pagar</t>
  </si>
  <si>
    <t>IPS a Pagar</t>
  </si>
  <si>
    <t>2-1-5-00</t>
  </si>
  <si>
    <t>Acreedores Varios</t>
  </si>
  <si>
    <t>Adelanto de Clientes</t>
  </si>
  <si>
    <t>Protek SRL</t>
  </si>
  <si>
    <t>La Rural de Seguros SA</t>
  </si>
  <si>
    <t>Motorland SRL</t>
  </si>
  <si>
    <t>La agricola S.A de Seguros</t>
  </si>
  <si>
    <t>Intereses Documentados a Pagar</t>
  </si>
  <si>
    <t>Garden Automotores SA</t>
  </si>
  <si>
    <t>Servicios Varios a Pagar</t>
  </si>
  <si>
    <t>Dimac SA</t>
  </si>
  <si>
    <t>2-1-6-00</t>
  </si>
  <si>
    <t>Deuda con Proveedores</t>
  </si>
  <si>
    <t>Proveedores Diferidos Documentados</t>
  </si>
  <si>
    <t>Proveedores Varios</t>
  </si>
  <si>
    <t>3-0-0-00</t>
  </si>
  <si>
    <t>Capital Integrado</t>
  </si>
  <si>
    <t>Aporte No Capitalizados</t>
  </si>
  <si>
    <t>Aporte p/ futura Emision de Acciones</t>
  </si>
  <si>
    <t>3-2-0-00</t>
  </si>
  <si>
    <t>3-2-1-00</t>
  </si>
  <si>
    <t>Reserva de Revaluo Ley 125</t>
  </si>
  <si>
    <t>Reserva Legal del ejercicio</t>
  </si>
  <si>
    <t>Reserva Acumulada</t>
  </si>
  <si>
    <t>Reserva Prevision Creditos Incobrables</t>
  </si>
  <si>
    <t>3-2-2-00</t>
  </si>
  <si>
    <t>Ganancia Perdida Ejercicio Anterior</t>
  </si>
  <si>
    <t>PASIVO + PATRIMONIO NETO</t>
  </si>
  <si>
    <t>DIFERENCIAS</t>
  </si>
  <si>
    <t>CLIENTE</t>
  </si>
  <si>
    <t>PERIODO</t>
  </si>
  <si>
    <t>RUBRO</t>
  </si>
  <si>
    <t>Periodo</t>
  </si>
  <si>
    <t>Fecha de emisión</t>
  </si>
  <si>
    <t>Fecha de PPC</t>
  </si>
  <si>
    <t>4-0-0-00</t>
  </si>
  <si>
    <t>4-1-0-00</t>
  </si>
  <si>
    <t>INGRESOS OPERATIVOS</t>
  </si>
  <si>
    <t>4-1-1-00</t>
  </si>
  <si>
    <t>Ingresos por Servicios</t>
  </si>
  <si>
    <t>Servicio de Empeño y Renovación</t>
  </si>
  <si>
    <t>4-2-0-00</t>
  </si>
  <si>
    <t>Ingresos Comerciales</t>
  </si>
  <si>
    <t>4-2-2-00</t>
  </si>
  <si>
    <t>Ingresos por Ventas</t>
  </si>
  <si>
    <t>Venta de Mercaderias</t>
  </si>
  <si>
    <t>Ingresos por Finanaciación</t>
  </si>
  <si>
    <t>4-2-3-00</t>
  </si>
  <si>
    <t>Otros Ingresos</t>
  </si>
  <si>
    <t>Descuentos Obtenidos</t>
  </si>
  <si>
    <t>Diferencia de Cambio</t>
  </si>
  <si>
    <t>Ingresos Extraordinarios</t>
  </si>
  <si>
    <t>Ingresos Intereses Moratorios</t>
  </si>
  <si>
    <t>Bonificaciones Recibidas</t>
  </si>
  <si>
    <t>Venta de Bienes Adjudicados</t>
  </si>
  <si>
    <t>5-0-0-00</t>
  </si>
  <si>
    <t xml:space="preserve">Gastos Varios </t>
  </si>
  <si>
    <t>5-1-0-00</t>
  </si>
  <si>
    <t>Gastos Comerciales</t>
  </si>
  <si>
    <t>Costo de Bienes Adjudicados</t>
  </si>
  <si>
    <t>Costo de Ventas</t>
  </si>
  <si>
    <t>5-1-2-00</t>
  </si>
  <si>
    <t>Gastos de Ventas</t>
  </si>
  <si>
    <t>Bonificaciones s/ Ventas</t>
  </si>
  <si>
    <t>Publicidad y Propaganda</t>
  </si>
  <si>
    <t>Fletes y Gtos de Envio</t>
  </si>
  <si>
    <t>Descuentos Concedidos</t>
  </si>
  <si>
    <t>Comisiones Pagadas</t>
  </si>
  <si>
    <t>Mantenimiento y Rep. Articulos de Ventas</t>
  </si>
  <si>
    <t>Gastos Varios  de Ventas</t>
  </si>
  <si>
    <t>Gastos de Consumición y Hospedaje</t>
  </si>
  <si>
    <t xml:space="preserve">Gastos de Movilidad </t>
  </si>
  <si>
    <t>Matenimiento, Accesorios y repuestos p/ Vehiculos</t>
  </si>
  <si>
    <t>Suscripción a Periodicos e Informes Comerciales</t>
  </si>
  <si>
    <t>Gastos Administrativos</t>
  </si>
  <si>
    <t>Remuneracion Personal Superior</t>
  </si>
  <si>
    <t>Sueldo y Otras Remuneraciones</t>
  </si>
  <si>
    <t>Alquileres Pagados</t>
  </si>
  <si>
    <t>Servicio de Agua</t>
  </si>
  <si>
    <t>Energia Electrica</t>
  </si>
  <si>
    <t>Telefonos y Otros Medios</t>
  </si>
  <si>
    <t>Honorarios Profesionales con IVA</t>
  </si>
  <si>
    <t>Impuestos, Tasas y Patentes</t>
  </si>
  <si>
    <t>Multas y Recargos</t>
  </si>
  <si>
    <t>Papelerias e Impresos</t>
  </si>
  <si>
    <t>Utiles, Muebles, Formularios y enseres de Ofic</t>
  </si>
  <si>
    <t>Aporte Patronal</t>
  </si>
  <si>
    <t>Seguridad y Vigilancia</t>
  </si>
  <si>
    <t>IVA Gastos Deducibles</t>
  </si>
  <si>
    <t>Accesorios para Informatica</t>
  </si>
  <si>
    <t>Actualización de Sistemas</t>
  </si>
  <si>
    <t>Capacitación al Personal</t>
  </si>
  <si>
    <t>Seguros</t>
  </si>
  <si>
    <t>Vacaciones</t>
  </si>
  <si>
    <t>Aguinaldos</t>
  </si>
  <si>
    <t>Gastos de Asamblea</t>
  </si>
  <si>
    <t>Gastos Financieros</t>
  </si>
  <si>
    <t>Intereses Pagados</t>
  </si>
  <si>
    <t>Gastos Bancarios</t>
  </si>
  <si>
    <t>Gastos Administrativos s/ Prestamos</t>
  </si>
  <si>
    <t>Donaciones</t>
  </si>
  <si>
    <t>Reparación y Mantenimiento de MyE</t>
  </si>
  <si>
    <t>Acontecimientos Sociales</t>
  </si>
  <si>
    <t>Depreciación</t>
  </si>
  <si>
    <t>Uniformes</t>
  </si>
  <si>
    <t>Refrigerio al Personal</t>
  </si>
  <si>
    <t>Suscripción a Periodicos y Revistas</t>
  </si>
  <si>
    <t>Gastos de Limpeza y Cafeteria</t>
  </si>
  <si>
    <t>Perdidas Extraordinarias</t>
  </si>
  <si>
    <t>Reserva Legal</t>
  </si>
  <si>
    <t>Gastos Generales</t>
  </si>
  <si>
    <t>Mantenimiento de Instalaciones</t>
  </si>
  <si>
    <t>Gastos NO DEDUCIBLES</t>
  </si>
  <si>
    <t>Gastos Judiciales, Transf. Renovaciones y Otros</t>
  </si>
  <si>
    <t>Baja de Inventarios</t>
  </si>
  <si>
    <t>Impuesto a la Renta(GND)</t>
  </si>
  <si>
    <t>Gastos de Fideicomiso</t>
  </si>
  <si>
    <t>Comisiones Pag. Por Fideicomiso</t>
  </si>
  <si>
    <t>Honorarios Profesionales por Fideicomiso</t>
  </si>
  <si>
    <t>Resultado  del Ejercicio</t>
  </si>
  <si>
    <t>RESUMEN DE UTILIDAD</t>
  </si>
  <si>
    <t xml:space="preserve">UTILIDAD DEL EJERCICIO </t>
  </si>
  <si>
    <t>IBISA S.A.</t>
  </si>
  <si>
    <t xml:space="preserve">                         BALANCE GENERAL AL 31 DE DICIEMBRE DE 2011</t>
  </si>
  <si>
    <t>Comparativo con cifras del periodo anterior</t>
  </si>
  <si>
    <t>Con cifras comparativas del periodo anterior</t>
  </si>
  <si>
    <t>Periodo Actual</t>
  </si>
  <si>
    <t>TOTAL ACTIVO CORRIENTE</t>
  </si>
  <si>
    <t>TOTAL PASIVO CORRIENTE</t>
  </si>
  <si>
    <t>TOTAL PASIVO NO CORRIENTE</t>
  </si>
  <si>
    <t>TOTAL DEL PASIVO</t>
  </si>
  <si>
    <t>Resultado del Ejercicio</t>
  </si>
  <si>
    <t>TOTAL ACTIVO NO CORRIENTE</t>
  </si>
  <si>
    <t>TOTAL DEL ACTIVO</t>
  </si>
  <si>
    <t>BIENES DE USO</t>
  </si>
  <si>
    <t>Valor Nominal Unitario</t>
  </si>
  <si>
    <t>Valor de Cotización</t>
  </si>
  <si>
    <t>Valor de Costo</t>
  </si>
  <si>
    <t>Disminución</t>
  </si>
  <si>
    <t>Costo de Bienes de Cambio</t>
  </si>
  <si>
    <t>Costo de Bienes de Uso</t>
  </si>
  <si>
    <t>Costo de Otros Activos</t>
  </si>
  <si>
    <t>Gastos de Administración</t>
  </si>
  <si>
    <t>Gastos de Comercialización</t>
  </si>
  <si>
    <t>Remuneraciones de administradores, directores, sindicos y consejo de vigilancia</t>
  </si>
  <si>
    <t>Honorarios y Remuneraciones por servicios</t>
  </si>
  <si>
    <t>Sueldos y Jornales</t>
  </si>
  <si>
    <t>Contribuciones Sociales</t>
  </si>
  <si>
    <t>Regalías y Honorarios por servicios técnicos</t>
  </si>
  <si>
    <t>Gastos de publicidad y propaganda</t>
  </si>
  <si>
    <t>Intereses, multas y recargos impositivos</t>
  </si>
  <si>
    <t>Impuestos, tasas y contribuciones</t>
  </si>
  <si>
    <t>Intereses a bancos e instituciones financieras</t>
  </si>
  <si>
    <t>Amortización bienes de uso</t>
  </si>
  <si>
    <t>Amortización activos intangibles</t>
  </si>
  <si>
    <t>Costo de Mercaderias o Servicios</t>
  </si>
  <si>
    <t>Comisiones Pagadas s/ Ventas</t>
  </si>
  <si>
    <t>Comisiones Pagadas s/ cobranzas</t>
  </si>
  <si>
    <t>BALANCE GENERAL AL 31 DE MARZO DE 2014</t>
  </si>
  <si>
    <t>Totales periodo anterior - 31/03/13</t>
  </si>
  <si>
    <t>Totales periodo actual - 31/03/14</t>
  </si>
  <si>
    <t>Acumuladas al inicio del periodo</t>
  </si>
  <si>
    <t>Acumuladas al cierre del periodo</t>
  </si>
  <si>
    <t>Neto Resultante</t>
  </si>
  <si>
    <t xml:space="preserve">Total </t>
  </si>
  <si>
    <t>ACTIVOS CORRIENTES</t>
  </si>
  <si>
    <t>PASIVOS NO CORRIENTES</t>
  </si>
  <si>
    <t>Ingresos</t>
  </si>
  <si>
    <t xml:space="preserve">Ejercicio </t>
  </si>
  <si>
    <t>Títulos De Renta Variable</t>
  </si>
  <si>
    <t>Títulos De Renta Fija</t>
  </si>
  <si>
    <t>Menos: previsión Por menor valor</t>
  </si>
  <si>
    <t>Deudores por Intermediación</t>
  </si>
  <si>
    <t>Caja</t>
  </si>
  <si>
    <t>Recaudaciones a Depositar</t>
  </si>
  <si>
    <t>Bancos</t>
  </si>
  <si>
    <t>Documentos y cuentas por cobrar</t>
  </si>
  <si>
    <t>Deudores varios</t>
  </si>
  <si>
    <t>Menos: previsión para incobrables</t>
  </si>
  <si>
    <t>Cuentas por cobrar a personas y empresas</t>
  </si>
  <si>
    <t>Relacionadas</t>
  </si>
  <si>
    <t>Menos: previsión por cuentas a cobrar a</t>
  </si>
  <si>
    <t>personas y empresas relacionadas</t>
  </si>
  <si>
    <t>Underwitng</t>
  </si>
  <si>
    <t>Otros Activos Corrientes (Nota 5 j)</t>
  </si>
  <si>
    <t xml:space="preserve">Documentos y Cuentas a Pagar </t>
  </si>
  <si>
    <t>Acreedores por Intermediación (Nota 5.m.)</t>
  </si>
  <si>
    <t>Acreedores Varios (Nota 5.l.1)</t>
  </si>
  <si>
    <t>Cuentas a Pagar a Personas y</t>
  </si>
  <si>
    <t>Obligac.por Contratos de Underwiting (Nota 5.p.)</t>
  </si>
  <si>
    <t>Obligac.por Administración de cartera (Nota 5.n.)</t>
  </si>
  <si>
    <t>Prestamos Financieros (Nota 5.k.)</t>
  </si>
  <si>
    <t>Interes a Cobrar</t>
  </si>
  <si>
    <t>Otros Pasivos</t>
  </si>
  <si>
    <t>Disponibilidades (Nota 5 d)</t>
  </si>
  <si>
    <t>Inversiones temporarias (Nota 5 e )</t>
  </si>
  <si>
    <t>Créditos (Nota 5 f)</t>
  </si>
  <si>
    <t>Prestamos a tercero</t>
  </si>
  <si>
    <t>Otros pasivos Corrientes (Nota 5.q.)</t>
  </si>
  <si>
    <t>Títulos De Renta Fija (Nota 5.e)</t>
  </si>
  <si>
    <t>Acción De Bolsa De Valores (Nota 5.e)</t>
  </si>
  <si>
    <t>Créditos (Nota 5.f)</t>
  </si>
  <si>
    <t>Créditos en Gestión de Cobro</t>
  </si>
  <si>
    <t>Derechos sobre Títulos Por Contratos de</t>
  </si>
  <si>
    <t>Bienes de Uso (Nota 5.g)</t>
  </si>
  <si>
    <t>Depreciación acumulada)</t>
  </si>
  <si>
    <t>Marcas</t>
  </si>
  <si>
    <t>Gastos No Devengados (Nota 5j )</t>
  </si>
  <si>
    <t>Cuentas a Pagar</t>
  </si>
  <si>
    <t>Obligac.por Contratos de Underwiting</t>
  </si>
  <si>
    <t>Acreedores por Intermediación</t>
  </si>
  <si>
    <t>Oblig.Por Administración De Cartera</t>
  </si>
  <si>
    <t>Empresas Relacionadas (Nota 5.o.)</t>
  </si>
  <si>
    <t>Prestamos Financieros</t>
  </si>
  <si>
    <t>Prestamos en Bancos</t>
  </si>
  <si>
    <t>Previsión para Indemnización</t>
  </si>
  <si>
    <t>Otras Contingencias</t>
  </si>
  <si>
    <t>Otros pasivos no Corriente (Nota 5.q.)</t>
  </si>
  <si>
    <t>Patrimonio Neto (Nota 5t)</t>
  </si>
  <si>
    <t>Total Patrimonio Neto (Según el estado de</t>
  </si>
  <si>
    <t>Variación del patrimonio Neto)</t>
  </si>
  <si>
    <t>TOTAL PASIVO Y PATRIMONIO NETO</t>
  </si>
  <si>
    <t>ACTUAL</t>
  </si>
  <si>
    <t xml:space="preserve">PERIODO </t>
  </si>
  <si>
    <t>ANTERIOR</t>
  </si>
  <si>
    <t>Ingresos Operativos</t>
  </si>
  <si>
    <t>Comisiones por Operaciones en Rueda</t>
  </si>
  <si>
    <t>Comisiones por operaciones fuera de Rueda</t>
  </si>
  <si>
    <t>Por Intermediacion de acciones en Rueda 0 0</t>
  </si>
  <si>
    <t>Comisiones por Contratos De Colocacion Primaria</t>
  </si>
  <si>
    <t>Por Intermediacion de Renta fija en Rueda (Nota 5.v.)</t>
  </si>
  <si>
    <t>Por Intermediacion de Acciones en Rueda</t>
  </si>
  <si>
    <t>Comisiones por Contratos de Colocacion Primaria de acciones</t>
  </si>
  <si>
    <t>Comisiones por contratos de Colocacion primaria de Renta fija</t>
  </si>
  <si>
    <t>Ingreso por venta de Cartera Propia</t>
  </si>
  <si>
    <t>Ingreso por Venta de Cartera Propia a personas y empresas Relacionadas</t>
  </si>
  <si>
    <t>Ingreso por operaciones y servicios a personas Relacionadas (Nota 5.s. y 5.v.)</t>
  </si>
  <si>
    <t>Ingresos por operaciones y servicios extrabursatiles (Nota 5.v.)</t>
  </si>
  <si>
    <t>Otros Ingresos Operativos (Nota 5.v.)</t>
  </si>
  <si>
    <t>Total Ingesos Operativos</t>
  </si>
  <si>
    <t>Gastos Operativos</t>
  </si>
  <si>
    <t>Gastos De Comercializacion</t>
  </si>
  <si>
    <t>Gastos De Administracion</t>
  </si>
  <si>
    <t>Otros Ingresos y Egresos (Nota 5.x.)</t>
  </si>
  <si>
    <t>Generados por Pasivos</t>
  </si>
  <si>
    <t>Gastos Por Comisiones y Servicios</t>
  </si>
  <si>
    <t>Aranceles por Negociacion Bolsa de Valores</t>
  </si>
  <si>
    <t>Otros Gastos Operativos (Nota 5.w.)</t>
  </si>
  <si>
    <t>Resultado operativo Bruto</t>
  </si>
  <si>
    <t>Publicidad</t>
  </si>
  <si>
    <t>Folleto e Impresiones</t>
  </si>
  <si>
    <t>Otros gastos De Comercializacion (Nota 5.w.)</t>
  </si>
  <si>
    <t>Otros Gastos de Administracion (Nota 5.w.)</t>
  </si>
  <si>
    <t>Resultado operativo Neto</t>
  </si>
  <si>
    <t>Intereses Cobrados (Nota 5.y.)</t>
  </si>
  <si>
    <t>Diferencias De Cambio (Nota 5.c.)</t>
  </si>
  <si>
    <t>Intereses Pagados (Nota 5.y.)</t>
  </si>
  <si>
    <t>Resultado Extraordinarios (Nota 5.z.)</t>
  </si>
  <si>
    <t>Egresos extraordinarios</t>
  </si>
  <si>
    <t>Ajuste De Resultado De Ejercicios Anteriores</t>
  </si>
  <si>
    <t>PERIODO ACTUAL</t>
  </si>
  <si>
    <t>PERIODO ANTERIOR</t>
  </si>
  <si>
    <t>SUSCRIPTO</t>
  </si>
  <si>
    <t>APORTE</t>
  </si>
  <si>
    <t>INTEGRADO</t>
  </si>
  <si>
    <t>RESERVAS</t>
  </si>
  <si>
    <t>LEGAL</t>
  </si>
  <si>
    <t>FACULTATIVA</t>
  </si>
  <si>
    <t>REVALUO</t>
  </si>
  <si>
    <t>RESULTADOS</t>
  </si>
  <si>
    <t>ACUMULADOS</t>
  </si>
  <si>
    <t>DEL EJERCICIO</t>
  </si>
  <si>
    <t>Movimientos subsecuentes</t>
  </si>
  <si>
    <t>Transferencias a dividendos a pagar</t>
  </si>
  <si>
    <t>Total Periodo Actual</t>
  </si>
  <si>
    <t>Total Periodo Anterior</t>
  </si>
  <si>
    <t>A INTEGRAR /</t>
  </si>
  <si>
    <t>Recaudaciones a depositar</t>
  </si>
  <si>
    <t>Banco Itau Cta. Cte. USD</t>
  </si>
  <si>
    <t>Banco Continental Cta. Cte. USD</t>
  </si>
  <si>
    <t>Bonos en Moneda extranjera</t>
  </si>
  <si>
    <t>Créditos</t>
  </si>
  <si>
    <t>Clientes US$</t>
  </si>
  <si>
    <t>Activos No Corrientes</t>
  </si>
  <si>
    <t>Dep. de Clientes para Negociaciones</t>
  </si>
  <si>
    <t>Cuentas a Pagar a Personas y Empresas Relacionadas</t>
  </si>
  <si>
    <t>Acreedores</t>
  </si>
  <si>
    <t>Otros Pasivos No Corrientes</t>
  </si>
  <si>
    <t>CONCEPTO</t>
  </si>
  <si>
    <t>TIPO DE CAMBIO PERIODO ACTUAL</t>
  </si>
  <si>
    <t>MONTO AJUSTADO PERIODO ACTUAL GS.</t>
  </si>
  <si>
    <t>TIPO DE CAMBIO PERIODO ANTERIOR</t>
  </si>
  <si>
    <t>MONTO AJUSTADO PERIODO ANTERIOR GS.</t>
  </si>
  <si>
    <t>Ganancias por Valuacion De Activos Monetarios en moneda Extranjera</t>
  </si>
  <si>
    <t>Ganancias por Valuacion de Pasivos Monetarios en moneda Extranjera</t>
  </si>
  <si>
    <t>Perdidas por Valuacion de Activos Monetarios en moneda Extranjera</t>
  </si>
  <si>
    <t>Perdidas por Valuación de Pasivos Monetarios En Moneda Extranjera</t>
  </si>
  <si>
    <t>Totales</t>
  </si>
  <si>
    <t>CUENTA</t>
  </si>
  <si>
    <t>CANTIDAD USD</t>
  </si>
  <si>
    <t>MONTO EN GUARANIES</t>
  </si>
  <si>
    <t>Fondo Fijo</t>
  </si>
  <si>
    <t>Banco Itau Cta. Cte. GS</t>
  </si>
  <si>
    <t>Banco Continental Cta. Cte. GS</t>
  </si>
  <si>
    <t>Banco Interfisa Cta. Cte. GS</t>
  </si>
  <si>
    <t>TOTALES</t>
  </si>
  <si>
    <t>Tipo de Titulo</t>
  </si>
  <si>
    <t>Cantidad de Títulos</t>
  </si>
  <si>
    <t>Total Periodo Actual G.</t>
  </si>
  <si>
    <t>Total Ejercicio Anterior G.</t>
  </si>
  <si>
    <t>Bolsa de Valores y Producto de Asunción</t>
  </si>
  <si>
    <t>BONO</t>
  </si>
  <si>
    <t>Totales Periodo Actual G.</t>
  </si>
  <si>
    <t>ACCION</t>
  </si>
  <si>
    <t xml:space="preserve">* SIN DATOS </t>
  </si>
  <si>
    <t>Valor Contable</t>
  </si>
  <si>
    <t>Saldo Periodo Actual</t>
  </si>
  <si>
    <t>Saldo Ejercicio Anterior</t>
  </si>
  <si>
    <t>Saldo Periodo Actual G.</t>
  </si>
  <si>
    <t>Saldo Ejercicio Anterior G.</t>
  </si>
  <si>
    <t>Concepto</t>
  </si>
  <si>
    <t>Corto Plazo G</t>
  </si>
  <si>
    <t>Largo Plazo G</t>
  </si>
  <si>
    <t>Total Anterior</t>
  </si>
  <si>
    <t>Total Actual</t>
  </si>
  <si>
    <t>Periodo Anterior</t>
  </si>
  <si>
    <t>Anticipo de Imp. a la Rta.</t>
  </si>
  <si>
    <t>Impuesto al Valor Agregado</t>
  </si>
  <si>
    <t>Derechos Sobre Titulos por Contratos De Underwriting</t>
  </si>
  <si>
    <t xml:space="preserve">Emisor </t>
  </si>
  <si>
    <t>Instrumentos</t>
  </si>
  <si>
    <t>Valor Unitario</t>
  </si>
  <si>
    <t>Fecha de Vencimiento del Contrato</t>
  </si>
  <si>
    <t>Valor de Suscripcion G.</t>
  </si>
  <si>
    <t>NO APLICABLE</t>
  </si>
  <si>
    <t>Total Actual G.</t>
  </si>
  <si>
    <t>Total Anterior G.</t>
  </si>
  <si>
    <t>Valores al inicio del periodo</t>
  </si>
  <si>
    <t>Revalúo del Periodo</t>
  </si>
  <si>
    <t>Valores al cierre del periodo</t>
  </si>
  <si>
    <t>Total periodo actual</t>
  </si>
  <si>
    <t>Total periodo anterior</t>
  </si>
  <si>
    <t>Maquinas y Equipos</t>
  </si>
  <si>
    <t>Edificios</t>
  </si>
  <si>
    <t>Instalaciones</t>
  </si>
  <si>
    <t>Equipos y Enseres</t>
  </si>
  <si>
    <t>Corto Plazo G.</t>
  </si>
  <si>
    <t>Saldo Inicial</t>
  </si>
  <si>
    <t>Saldo Neto Final</t>
  </si>
  <si>
    <t>Otros Activos Corrientes y No Corrientes</t>
  </si>
  <si>
    <t>Largo Plazo G.</t>
  </si>
  <si>
    <t>Préstamos Financieros a corto y largo Plazo</t>
  </si>
  <si>
    <t xml:space="preserve">Institución </t>
  </si>
  <si>
    <t>Acreedores Varios (Corto y Largo Plazo)</t>
  </si>
  <si>
    <t>Honorarios a Pagar</t>
  </si>
  <si>
    <t>Aguinaldos a Pagar</t>
  </si>
  <si>
    <t xml:space="preserve">Agua, Luz y Teléf. a Pagar </t>
  </si>
  <si>
    <t>Cuentas Varias a Pagar</t>
  </si>
  <si>
    <t>Alquileres a Pagar</t>
  </si>
  <si>
    <t>Sueldos a Pagar</t>
  </si>
  <si>
    <t>Cupones a Pagar</t>
  </si>
  <si>
    <t>I.P.S. a Pagar</t>
  </si>
  <si>
    <t>Aranceles a Pagar a la BVPASA</t>
  </si>
  <si>
    <t>o) Cuentas a Pagar a personas y empresas relacionadas (Corto y Largo plazo)</t>
  </si>
  <si>
    <t>Relación</t>
  </si>
  <si>
    <t>Nombre</t>
  </si>
  <si>
    <t>Tipo de Operación</t>
  </si>
  <si>
    <t>Antigüedad de la deuda (Días)</t>
  </si>
  <si>
    <t>Periodo Actual G.</t>
  </si>
  <si>
    <t>Periodo Anterior G.</t>
  </si>
  <si>
    <t>Accionista</t>
  </si>
  <si>
    <t>Emisor</t>
  </si>
  <si>
    <t>Plazo de Vencimiento del Contrato</t>
  </si>
  <si>
    <t>Importe Corto Plazo G.</t>
  </si>
  <si>
    <t>Importe Largo Plazo G.</t>
  </si>
  <si>
    <t>Q) Otros Pasivos Corrientes y No Corrientes</t>
  </si>
  <si>
    <t>Corriente G.</t>
  </si>
  <si>
    <t>No Corriente G.</t>
  </si>
  <si>
    <t>Total actual</t>
  </si>
  <si>
    <t>Total anterior</t>
  </si>
  <si>
    <t>Saldos (Indicación de los Saldos deudores y acreedores mantenidos)</t>
  </si>
  <si>
    <t>Persona o Empresa Relacionada</t>
  </si>
  <si>
    <t>Total Ingresos</t>
  </si>
  <si>
    <t>Total Egresos</t>
  </si>
  <si>
    <t>Total Ejercicio Actual G.</t>
  </si>
  <si>
    <t>Saldo al inicio del Ejercicio G.</t>
  </si>
  <si>
    <t>Saldo al Cierre del Ejercicio G.</t>
  </si>
  <si>
    <t>Aportes no capitalizados</t>
  </si>
  <si>
    <t xml:space="preserve">Reservas </t>
  </si>
  <si>
    <t xml:space="preserve">Resultados acumulados </t>
  </si>
  <si>
    <t>Resultado del ejercicio</t>
  </si>
  <si>
    <t>Saldo Periodo Anterior G.</t>
  </si>
  <si>
    <t>r) Saldos y transacciones con personas y empresas Relacionadas (Corriente y No Corriente)</t>
  </si>
  <si>
    <t>s ) Resultado con personas y empresas vinculadas</t>
  </si>
  <si>
    <t>t ) Patrimonio</t>
  </si>
  <si>
    <t>El patrimonio de la empresa registro los siguientes movimientos según el cuadro siguiente;</t>
  </si>
  <si>
    <t>u) Previsiones</t>
  </si>
  <si>
    <t>Incluidas en el</t>
  </si>
  <si>
    <t>Pasivo</t>
  </si>
  <si>
    <t>v) Ingresos Operativos</t>
  </si>
  <si>
    <t>Ingresos por operaciones y servicios a personas relacionadas</t>
  </si>
  <si>
    <t>No Registra Saldo</t>
  </si>
  <si>
    <t>Servicio de intermedación</t>
  </si>
  <si>
    <t>Ingresos por operaciones y servicios extrabursatiles</t>
  </si>
  <si>
    <t>Ingresos por Custodia de Valores</t>
  </si>
  <si>
    <t>Ingresos por Asesoria Financiera</t>
  </si>
  <si>
    <t>Venta de Servicios</t>
  </si>
  <si>
    <t xml:space="preserve">Fondo de Garantía-BVPASA </t>
  </si>
  <si>
    <t>Gastos de Telefonía Tigo</t>
  </si>
  <si>
    <t>Agua, Luz y Teléfono</t>
  </si>
  <si>
    <t>Gastos de Escribanía</t>
  </si>
  <si>
    <t>Gastos de Informática</t>
  </si>
  <si>
    <t>Impresos y Formularios</t>
  </si>
  <si>
    <t>Comisión Cobranzas</t>
  </si>
  <si>
    <t>Arancel de Operación - SEN Rent</t>
  </si>
  <si>
    <t>Expensas</t>
  </si>
  <si>
    <t>Gastos de Sistemas de Valores</t>
  </si>
  <si>
    <t>Gastos Varios</t>
  </si>
  <si>
    <t>Gastos No Deducibles</t>
  </si>
  <si>
    <t>Gastos de Encomiendas y Envíos</t>
  </si>
  <si>
    <t>Gastos de Consumición</t>
  </si>
  <si>
    <t>Gastos No Deducibles - Taxi</t>
  </si>
  <si>
    <t>Diferencia de Sistema Dynatech</t>
  </si>
  <si>
    <t>Gastos Generales de Oficina</t>
  </si>
  <si>
    <t>Gastos de Asambleas y Constituciones</t>
  </si>
  <si>
    <t>x ) Otros Ingresos y Egresos</t>
  </si>
  <si>
    <t>Ingresos varios</t>
  </si>
  <si>
    <t>Ingresos por Venta de Bonos</t>
  </si>
  <si>
    <t>Otros Egresos</t>
  </si>
  <si>
    <t>y) Resultados Financieros</t>
  </si>
  <si>
    <t>Intereses Cobrados</t>
  </si>
  <si>
    <t>Totales:</t>
  </si>
  <si>
    <t>Egresos Extraordinarios</t>
  </si>
  <si>
    <t>z) Resultados Extraordinarios</t>
  </si>
  <si>
    <t>No registra saldo</t>
  </si>
  <si>
    <t>MONTO</t>
  </si>
  <si>
    <t>A</t>
  </si>
  <si>
    <t>Nominativas</t>
  </si>
  <si>
    <t>Juan José Moratorio</t>
  </si>
  <si>
    <t>Nombre de la empresa</t>
  </si>
  <si>
    <t>Monto de la Inversión</t>
  </si>
  <si>
    <t>Tipo de Valor</t>
  </si>
  <si>
    <t>Indicar el porcentaje de participación en el capital integrado de la sociedad emisora (solo en el caso de inversión en acciones)</t>
  </si>
  <si>
    <t>No Aplicable</t>
  </si>
  <si>
    <t>Valor de los bienes gravados</t>
  </si>
  <si>
    <t>Tipo de bien o valor</t>
  </si>
  <si>
    <t>Monto de la deuda garantizada</t>
  </si>
  <si>
    <t>Nombre de la Sociedad Vinculada</t>
  </si>
  <si>
    <t>Factores de la Vinculación</t>
  </si>
  <si>
    <t>Cuentas por Cobrar</t>
  </si>
  <si>
    <t>Total Cuentas por Cobrar</t>
  </si>
  <si>
    <t>Cuentas por pagar a personas Relacionadas</t>
  </si>
  <si>
    <t>Total Cuentas por pagar</t>
  </si>
  <si>
    <t>Importe Gs</t>
  </si>
  <si>
    <t>Nº</t>
  </si>
  <si>
    <t>ACCIONISTA</t>
  </si>
  <si>
    <t>SERIE</t>
  </si>
  <si>
    <t>Nº DE ACCIONES</t>
  </si>
  <si>
    <t>CANTIDAD DE ACCIONES</t>
  </si>
  <si>
    <t>CLASE</t>
  </si>
  <si>
    <t>VOTO</t>
  </si>
  <si>
    <t>% DE PARTICIPACION DE CAPITAL INTEGRADO</t>
  </si>
  <si>
    <t>Nicolás Broch</t>
  </si>
  <si>
    <t>Registro Único de Contribuyente</t>
  </si>
  <si>
    <t>80086402-6</t>
  </si>
  <si>
    <t>Nombre o Razón Social:</t>
  </si>
  <si>
    <t>Millenia Capital Casa de Bolsa S.A.</t>
  </si>
  <si>
    <t>Inscripción en la Comisión Nacional de Valores:</t>
  </si>
  <si>
    <t>Resolución Nº 57E/15 de fecha 13 de octubre de 2015. Llevará la nomenclatura CB-023</t>
  </si>
  <si>
    <t>Código BVPSA</t>
  </si>
  <si>
    <t>CB-024</t>
  </si>
  <si>
    <t>Domicilio Legal</t>
  </si>
  <si>
    <t>Avda. Aviadores del Chaco N° 2050. WTC Asunción Torre 3 Piso 10 Oficina A.</t>
  </si>
  <si>
    <t>Asunción, Paraguay</t>
  </si>
  <si>
    <t>Teléfono/Fax</t>
  </si>
  <si>
    <t>(595) 21 33 85 620 / 33 85 621</t>
  </si>
  <si>
    <t>E-Mail</t>
  </si>
  <si>
    <t>info@milleniacapital.com.py</t>
  </si>
  <si>
    <t>Página Web</t>
  </si>
  <si>
    <t>www.milleniacapital.com.py</t>
  </si>
  <si>
    <t>Actividad Principal:</t>
  </si>
  <si>
    <t>Compra y Venta de Valores por cuenta de terceros y cuenta propia, con recursos de terceros o propios, en una bolsa de valores o fuera de ella.</t>
  </si>
  <si>
    <t>% DE PARTICIPACION DE CAPITAL SUSCRIPTO</t>
  </si>
  <si>
    <t>Por intermediacion de Renta fija en Rueda (Nota 5.v.)</t>
  </si>
  <si>
    <t xml:space="preserve">Servicios Personales </t>
  </si>
  <si>
    <t>Previsión,amortización y depreciaciones</t>
  </si>
  <si>
    <t>Mantenimiento</t>
  </si>
  <si>
    <t>Alquileres</t>
  </si>
  <si>
    <t>Multas</t>
  </si>
  <si>
    <t>Impuestos,tasas y contribuciones</t>
  </si>
  <si>
    <t>Tipo de Cambio Comprador</t>
  </si>
  <si>
    <t>Tipo de Cambio Vendedor</t>
  </si>
  <si>
    <t>USD</t>
  </si>
  <si>
    <t>Mejoras de Predio Ajeno</t>
  </si>
  <si>
    <t>Total Gastos Operativos</t>
  </si>
  <si>
    <t>Gastos de Capacitación en el Mercado de Valores</t>
  </si>
  <si>
    <t>Acreedores Varios.</t>
  </si>
  <si>
    <t>P) Obligac.por contrato de underwriting (Corto y Largo Plazo)</t>
  </si>
  <si>
    <t>N) Administracion de cartera(Corto y Largo Plazo)</t>
  </si>
  <si>
    <t>VENTAS NETAS (COBRO NETO)</t>
  </si>
  <si>
    <t>PAGO A PROVEEDORES LOCALES (PAGO NETO)</t>
  </si>
  <si>
    <t>PAGO A PROVEEDORES DEL EXTERIOR (PAGO NETO)</t>
  </si>
  <si>
    <t>EFECTIVO PAGADO A EMPLEADOS</t>
  </si>
  <si>
    <t>EFECTIVO GENERADO (USADO) POR OTRAS ACTIVIDADES OPERATIVAS</t>
  </si>
  <si>
    <t>PAGO DE IMPUESTOS</t>
  </si>
  <si>
    <t>AUMENTO/DISMINUCIÓN NETO/A DE INVERSIONES TEMPORARIAS</t>
  </si>
  <si>
    <t>AUMENTO/DISMINUCIÓN NETO/A DE INVERSIONES A LARGO PLAZO</t>
  </si>
  <si>
    <t>AUMENTO/DISMINUCIÓN NETO/A DE PROPIEDAD, PLANTA Y EQUIPO</t>
  </si>
  <si>
    <t>APORTE DE CAPITAL</t>
  </si>
  <si>
    <t>AUMENTO/DISMINUCIÓN NETO/A DE PRÉSTAMOS</t>
  </si>
  <si>
    <t>DIVIDENDOS PAGADOS</t>
  </si>
  <si>
    <t>AUMENTO/DISMINUCIÓN NETO/A DE INTERESES</t>
  </si>
  <si>
    <t>AUMENTO/DISMINUCIÓN NETO/A DE EFECTIVOS Y SUS EQUIVALENTES</t>
  </si>
  <si>
    <t>EFECTIVO Y SUS EQUIVALENTES AL COMIENZO DEL PERIODO</t>
  </si>
  <si>
    <t>FLUJO DE EFECTIVO POR LAS ACTIVIDADES OPERATIVAS</t>
  </si>
  <si>
    <t>EFECTIVO NETO POR ACTIVIDADES OPERATIVAS</t>
  </si>
  <si>
    <t>FLUJO DE EFECTIVO POR ACTIVIDADES DE INVERSIÓN</t>
  </si>
  <si>
    <t>EFECTIVO NETO POR ACTIVIDADES DE INVERSIÓN</t>
  </si>
  <si>
    <t>FLUJO DE EFECTIVO POR ACTIVIDADES DE FINANCIAMIENTO</t>
  </si>
  <si>
    <t>EFECTIVO NETO POR ACTIVIDADES DE FINANCIAMIENTO</t>
  </si>
  <si>
    <t>EFECTO DE LAS GANANCIAS O PÉRDIDAS POR DIFERENCIAS DE TIPO DE CAMBIO</t>
  </si>
  <si>
    <t>EFECTIVO Y SUS EQUIVALENTES AL CIERRE DEL PERIODO</t>
  </si>
  <si>
    <t>Saldos al inicio del ejercicio</t>
  </si>
  <si>
    <t>Banco Itau Cta. Cte. USD Fondos Propios</t>
  </si>
  <si>
    <t>Banco Itau Cta. Cte. GS Fondos Propios</t>
  </si>
  <si>
    <t>Cantidad</t>
  </si>
  <si>
    <t>Valor Nominal</t>
  </si>
  <si>
    <t>Valor Libro de la Acción</t>
  </si>
  <si>
    <t>Currency Matters USD</t>
  </si>
  <si>
    <t>Generados por Activos</t>
  </si>
  <si>
    <t>Resultados Financieros</t>
  </si>
  <si>
    <t>Gastos de Consumición del Personal</t>
  </si>
  <si>
    <t>Bonos del Tesoro - Ministerio de Hacienda</t>
  </si>
  <si>
    <t>Intereses a Cobrar - CP</t>
  </si>
  <si>
    <t>Intereses a Cobrar - LP</t>
  </si>
  <si>
    <t>ESTADO DE FLUJO DE EFECTIVO</t>
  </si>
  <si>
    <t>ESTADO DE CAMBIOS EN EL PATRIMONIO NETO</t>
  </si>
  <si>
    <t>POSICION EN MONEDA EXTRANJERA</t>
  </si>
  <si>
    <t>DIFERENCIA DE CAMBIO EN MONEDA EXTRANJERA</t>
  </si>
  <si>
    <t>INVERSIONES PERMANENTES</t>
  </si>
  <si>
    <t>Acción de la Bolsa De Valores</t>
  </si>
  <si>
    <t>Banco GNB Cta. Cte. GS</t>
  </si>
  <si>
    <t>Banco GNB Cta. Cte. USD</t>
  </si>
  <si>
    <t>EJERCICIO ANTERIOR</t>
  </si>
  <si>
    <t>Inversiones temporales - CP</t>
  </si>
  <si>
    <t>Inversiones Temporales - CP</t>
  </si>
  <si>
    <t>Inversiones Permanentes - LP</t>
  </si>
  <si>
    <t>Comisiones Cobradas p/ Adelantado</t>
  </si>
  <si>
    <t>A capitalizar</t>
  </si>
  <si>
    <t>Revaluo de Inversiones</t>
  </si>
  <si>
    <t>Ingresos extraordinarios</t>
  </si>
  <si>
    <t>Utilidad O (Pérdida)</t>
  </si>
  <si>
    <t>Arancel SEPRELAD</t>
  </si>
  <si>
    <t>Obsequios y Atenciones a Clientes</t>
  </si>
  <si>
    <r>
      <t xml:space="preserve">Otros activos </t>
    </r>
    <r>
      <rPr>
        <b/>
        <sz val="12"/>
        <rFont val="Tahoma"/>
        <family val="2"/>
      </rPr>
      <t>(Nota 8)</t>
    </r>
  </si>
  <si>
    <t>Otros Gastos Operativos</t>
  </si>
  <si>
    <t>Otros Gastos de Comercialización</t>
  </si>
  <si>
    <t>Total Gastos de Comercialización</t>
  </si>
  <si>
    <t>Aguinaldos a pagar</t>
  </si>
  <si>
    <t>Otros Ingresos Operativos</t>
  </si>
  <si>
    <t xml:space="preserve">Total Periodo Actual </t>
  </si>
  <si>
    <t>Total Ejercicio Anterior</t>
  </si>
  <si>
    <t>Egresos Varios</t>
  </si>
  <si>
    <t>Provisiones (Nota 5.l.2)</t>
  </si>
  <si>
    <t>Impuesto a la renta a pagar</t>
  </si>
  <si>
    <t>Aportes y Retenciones a pagar</t>
  </si>
  <si>
    <t>Dividendos a pagar en efectivo</t>
  </si>
  <si>
    <t>Ingresos por Administración de Cartera</t>
  </si>
  <si>
    <t>Ingreso por Administracion De Cartera (Nota 5.v.)</t>
  </si>
  <si>
    <t>Ingresos por Intereses y dividendos de cartera propia</t>
  </si>
  <si>
    <t>Valor de Mercado</t>
  </si>
  <si>
    <t>Licencia (Nota 5.i)</t>
  </si>
  <si>
    <t>Sistema Informático</t>
  </si>
  <si>
    <t>Amortización - Licencias (Nota 5.i.)</t>
  </si>
  <si>
    <t>Activos Intangibles y cargos diferidos (Nota 5.h.i)</t>
  </si>
  <si>
    <t>Otros Activos No Corrientes (Nota 5.j.)</t>
  </si>
  <si>
    <t>Total Saldo Deudor</t>
  </si>
  <si>
    <t>Total Saldo Acreedor</t>
  </si>
  <si>
    <t>CARGO</t>
  </si>
  <si>
    <t>NOMBRE Y APELLIDO</t>
  </si>
  <si>
    <t>Presidente:</t>
  </si>
  <si>
    <t>Vice Presidente:</t>
  </si>
  <si>
    <t>Director:</t>
  </si>
  <si>
    <t>Federico Montossi</t>
  </si>
  <si>
    <t>Síndico:</t>
  </si>
  <si>
    <t>Javier Palotti</t>
  </si>
  <si>
    <t>Representante Legal:</t>
  </si>
  <si>
    <t>Escritura</t>
  </si>
  <si>
    <t>Nº 74</t>
  </si>
  <si>
    <t>Fecha</t>
  </si>
  <si>
    <t>05 de junio de 2014.</t>
  </si>
  <si>
    <t>Matricula N° 618, Serie “A” , Folio 9891</t>
  </si>
  <si>
    <t>REFORMAS DE ESTATUTOS</t>
  </si>
  <si>
    <t>Nº 92</t>
  </si>
  <si>
    <t>24 de julio de 2014.</t>
  </si>
  <si>
    <t>Junio de 2113.</t>
  </si>
  <si>
    <t>Inscripción en el Registro Público de Comercio:</t>
  </si>
  <si>
    <t>Fecha de vencimiento del Estatuto o Contrato Social:</t>
  </si>
  <si>
    <t>Vencimiento</t>
  </si>
  <si>
    <t>No Registra Saldo.</t>
  </si>
  <si>
    <t>Activos Intangibles</t>
  </si>
  <si>
    <t>INFORMACION GENERAL DE LA ENTIDAD</t>
  </si>
  <si>
    <t>1- IDENTIFICACION</t>
  </si>
  <si>
    <t>2- ANTECEDENTES DE LA INSTITUCION</t>
  </si>
  <si>
    <t>3- ADMINISTRACION</t>
  </si>
  <si>
    <t>4- CAPITAL Y PROPIEDAD</t>
  </si>
  <si>
    <t>Valor Nominal de las acciones: G. 10.000.000</t>
  </si>
  <si>
    <t>Cuadro del Capital Integrado</t>
  </si>
  <si>
    <t>Cuadro del Capital Suscripto</t>
  </si>
  <si>
    <t>5.  AUDITOR EXTERNO INDEPENDIENTE</t>
  </si>
  <si>
    <t>Auditor externo independiente designado:</t>
  </si>
  <si>
    <t>PKF Controller</t>
  </si>
  <si>
    <t>Número de inscripción en el Registro de la CNV:</t>
  </si>
  <si>
    <t>Registro CNV Nº AE Nº 030</t>
  </si>
  <si>
    <t>6. PERSONAS VINCULADAS</t>
  </si>
  <si>
    <t>5. CRITERIOS ESPECÍFICOS DE VALUACIÓN</t>
  </si>
  <si>
    <r>
      <t>a)</t>
    </r>
    <r>
      <rPr>
        <b/>
        <sz val="7"/>
        <rFont val="Times New Roman"/>
        <family val="1"/>
      </rPr>
      <t>  </t>
    </r>
    <r>
      <rPr>
        <b/>
        <u/>
        <sz val="11"/>
        <rFont val="Tahoma"/>
        <family val="2"/>
      </rPr>
      <t>VALUACIÓN EN MONEDA EXTRANJERA</t>
    </r>
  </si>
  <si>
    <t>El rubro disponibilidades está compuesto por las siguientes cuentas:</t>
  </si>
  <si>
    <t>Las inversiones están registradas de acuerdo a su precio de adquisición y revaluadas al precio de valor libro de la BVPASA según cuadro se detalla la composición de los mismos</t>
  </si>
  <si>
    <r>
      <t>a)</t>
    </r>
    <r>
      <rPr>
        <b/>
        <sz val="7"/>
        <rFont val="Times New Roman"/>
        <family val="1"/>
      </rPr>
      <t>  </t>
    </r>
    <r>
      <rPr>
        <b/>
        <sz val="11"/>
        <rFont val="Tahoma"/>
        <family val="2"/>
      </rPr>
      <t>CARGOS DIFERIDOS</t>
    </r>
  </si>
  <si>
    <t>No Registra saldo.</t>
  </si>
  <si>
    <t>DOCUMENTOS Y CUENTAS POR PAGAR (CORTO Y LARGO PLAZO)</t>
  </si>
  <si>
    <t>Provisiones (Corto y Largo Plazo)</t>
  </si>
  <si>
    <t>No registra saldo.</t>
  </si>
  <si>
    <t>No registra Saldo.</t>
  </si>
  <si>
    <t>La empresa no realizó previsiones en el periodo informado</t>
  </si>
  <si>
    <t xml:space="preserve">ANEXO A -INFORME SOBRE PERSONAS VINCULADAS O RELACIONADAS </t>
  </si>
  <si>
    <t xml:space="preserve">A. PARTE VINCULADAS O RELACIONADAS </t>
  </si>
  <si>
    <t>a) Juan José Moratorio Amelotti:</t>
  </si>
  <si>
    <t>b) No Aplica</t>
  </si>
  <si>
    <t>c) Juan Jose Moratorio Amelotti: Presidente, Nicolás Broch: Vice-Presidente</t>
  </si>
  <si>
    <t>d) Juan Jose Moratorio: Presidente, Nicolás Broch Vice-Presidente, Federico Montossi Director; Javier Palotti: Sindico.</t>
  </si>
  <si>
    <r>
      <t xml:space="preserve">Según Art. 34 de la ley de Mercado de Valores </t>
    </r>
    <r>
      <rPr>
        <sz val="11"/>
        <color rgb="FF000000"/>
        <rFont val="Tahoma"/>
        <family val="2"/>
      </rPr>
      <t xml:space="preserve">(indicar nombres de las partes) </t>
    </r>
  </si>
  <si>
    <t>OBS: Los cónyuges y parientes hasta el segundo grado de consanguinidad o afinidad de las personas referidas en los incisos anteriores, siempre que tengan participación en el capital de la sociedad</t>
  </si>
  <si>
    <t>A.2. Inversiones de la sociedad en valores de otras empresas que representen más del 10% del activo de la sociedad</t>
  </si>
  <si>
    <t>A.3. Activos de la sociedad comprometidos en más del 20% en garantía de obligaciones de otra u otras empresas</t>
  </si>
  <si>
    <t>A.4. Vinculación por nivel de endeudamiento</t>
  </si>
  <si>
    <t>B. SALDOS CON PARTES RELACIONADAS</t>
  </si>
  <si>
    <t>Las transacciones en el periodo fueron las siguientes:</t>
  </si>
  <si>
    <r>
      <t xml:space="preserve">Firma del representante legal de la entidad fiscalizada y aclaración:   </t>
    </r>
    <r>
      <rPr>
        <sz val="10"/>
        <color rgb="FF000000"/>
        <rFont val="Times New Roman"/>
        <family val="1"/>
      </rPr>
      <t>………………………...………</t>
    </r>
  </si>
  <si>
    <t>Sueldos y Jornales a pagar</t>
  </si>
  <si>
    <t>VER ANEXO A</t>
  </si>
  <si>
    <t>Administración de Cartera</t>
  </si>
  <si>
    <t>MILLENIA CAPITAL CASA DE BOLSA S. A.</t>
  </si>
  <si>
    <t>(En Guaranies)</t>
  </si>
  <si>
    <t>(En Guaraníes)</t>
  </si>
  <si>
    <t>Comis. P/Intermediación EN RUEDA</t>
  </si>
  <si>
    <t>Comis. P/Intermediación FUERA DE RUEDA</t>
  </si>
  <si>
    <t>Gastos de Atención al Personal</t>
  </si>
  <si>
    <t>Private Investment Bank Ltd</t>
  </si>
  <si>
    <t>Ingreso por Asesoria Financiera (Nota 5.v.)</t>
  </si>
  <si>
    <t>Ingreso por Custodia de Valores (Nota 5.v.)</t>
  </si>
  <si>
    <t>Anticipos a Rendir</t>
  </si>
  <si>
    <t>Cuentas a Pagar a Personas y Empresas Relacionadas (Nota 5.o. y Nota 5.r. )</t>
  </si>
  <si>
    <t>Descuentos al Personal por Embargo Judicial</t>
  </si>
  <si>
    <t>Art. De limpieza y Cafetería</t>
  </si>
  <si>
    <t>Pérdidas Extraordinarias</t>
  </si>
  <si>
    <t>Ejercicio Anterior Gs.</t>
  </si>
  <si>
    <t>Cambio Cierre Periodo Actual</t>
  </si>
  <si>
    <t>(Guaraníes)</t>
  </si>
  <si>
    <t>Cambio Cierre Ejercicio Anterior</t>
  </si>
  <si>
    <t>Saldo al Cierre Periodo Anterior</t>
  </si>
  <si>
    <t>Honorarios Profesionales P. Jurídica</t>
  </si>
  <si>
    <t>FECHA</t>
  </si>
  <si>
    <t>FORMA DE CONSTITUCION</t>
  </si>
  <si>
    <t>CARACTERISTICA</t>
  </si>
  <si>
    <t>51.300 USD</t>
  </si>
  <si>
    <t>32.640 USD</t>
  </si>
  <si>
    <t>BONO BANCO CONTINENTAL</t>
  </si>
  <si>
    <t>BONO VISION BANCO</t>
  </si>
  <si>
    <t>PYCON02F7024</t>
  </si>
  <si>
    <t>PYVIS04F7345</t>
  </si>
  <si>
    <t>N° 15</t>
  </si>
  <si>
    <t>02 de  marzo de 2020</t>
  </si>
  <si>
    <t>Banco Basa Cta. Cte. USD</t>
  </si>
  <si>
    <t>Banco Rio Caja de Ahorro USD</t>
  </si>
  <si>
    <t>Private Investment Bank Ltd. USD</t>
  </si>
  <si>
    <t>Morgan Stanley USD</t>
  </si>
  <si>
    <t>Private Investment Bank Usd - Fondos Propios</t>
  </si>
  <si>
    <t>Banco Rio Cta Cte Usd</t>
  </si>
  <si>
    <t>Banco Basa Cta. Cte. GS</t>
  </si>
  <si>
    <t>Banco Rio Cta Cte Gs</t>
  </si>
  <si>
    <t>Bono Banco Continental - Garantía BVPASA</t>
  </si>
  <si>
    <t>Bono Visión Banco - Garantía BVPASA</t>
  </si>
  <si>
    <t>Bono Rieder &amp; Cía Serie PYRIE10F8552</t>
  </si>
  <si>
    <t>Bono Rieder &amp; Cía Serie PYRIE11F8577</t>
  </si>
  <si>
    <t>Transferencia A Resultados Acumulados</t>
  </si>
  <si>
    <t>Transferencia de Aporte para futuras Capitalizaciones a Capital</t>
  </si>
  <si>
    <t>Intereses Ganados bancarios</t>
  </si>
  <si>
    <t>Intereses Cobrados por Operación de Bolsa</t>
  </si>
  <si>
    <t>IVA a pagar</t>
  </si>
  <si>
    <t>BALANCE GENERAL AL 31 DE DICIEMBRE DE 2020 PRESENTADO EN FORMA COMPARATIVO CON EL EJERCICIO ANTERIOR CERRADO AL 31 DE DICIEMBRE DE 2019</t>
  </si>
  <si>
    <t>ESTADO DE RESULTADOS CORRESPONDIENTE AL 31 DE DICIEMBRE DE 2020 PRESENTADO EN FORMA COMPARATIVA CON EL 31 DE DICIEMBRE DE 2019</t>
  </si>
  <si>
    <t>CORRESPONDIENTE AL 31 DE DICIEMBRE DE 2020 PRESENTADO EN FORMA COMPARATIVA CON EL 31 DE DICIEMBRE 2019</t>
  </si>
  <si>
    <t>CORRESPONDIENTE AL 31 DE DICIEMBRE DE 2020 PRESENTADO EN FORMA COMPARATIVA CON EL 31 DE DICIEMBRE DE 2019</t>
  </si>
  <si>
    <t>NOTAS A LOS ESTADOS CONTABLES AL 31 DE DICIEMBRE DE 2020</t>
  </si>
  <si>
    <t>Ejercicio Actual Gs.</t>
  </si>
  <si>
    <t>Información sobre el Emisor al 31/12/20</t>
  </si>
  <si>
    <t>BALANCE GENERAL AL 31 DE DICIEMBRE DE 2020</t>
  </si>
  <si>
    <t>La composición del rubro al 31 de Diciembre de 2020 comparativo con el 31 de diciembre de 2019 es como sigue:</t>
  </si>
  <si>
    <t xml:space="preserve">El saldo al 31 de Diciembre de 2020 de cuentas y provisiones a pagar se detalla en el siguiente cuadro: </t>
  </si>
  <si>
    <t>Al 31/12/2020 y al 31/12/2019</t>
  </si>
  <si>
    <t>Gastos de Eventos y Obsequios al personal</t>
  </si>
  <si>
    <t>Gastos de Viajes al Exterior</t>
  </si>
  <si>
    <t>Pasajes al Exterior</t>
  </si>
  <si>
    <t>Gastos de Fotocopias e Impresión en Gral.</t>
  </si>
  <si>
    <t>Papelería y Útiles de Oficina</t>
  </si>
  <si>
    <t>Total Otros Gastos de Administración</t>
  </si>
  <si>
    <t>w ) Otros Gastos operativos, de comercialización y de administración</t>
  </si>
  <si>
    <t>La moneda extranjera, Dólar fue registrada de acuerdo al tipo de cambio publicado por la Sub Secretaria de Estado de Tributación al 31-12-2020. Tipo de cambio comprador Gs 6.891,96.- para saldos de cuentas del activo y Tipo de cambio vendedor Gs. 6.941,65.- para saldo de cuentas pasivas.</t>
  </si>
  <si>
    <t>Intl Fcstone Financial Inc</t>
  </si>
  <si>
    <t>Banco Jefferies Usd</t>
  </si>
  <si>
    <t>Dirección Gral. De Recaudaciones</t>
  </si>
  <si>
    <t>Juan Jose Moratorio Amelotti</t>
  </si>
  <si>
    <t>Federico Daniel Montossi Pérez</t>
  </si>
  <si>
    <t>Juan José Moratorio Amelotti</t>
  </si>
  <si>
    <t>Anticipo Resultado del Ejercicio</t>
  </si>
  <si>
    <t>Acción de la BVPASA</t>
  </si>
  <si>
    <t xml:space="preserve">B.V.P.A.S.A. Garantía de Casa  </t>
  </si>
  <si>
    <t>Inversiones a Largo Plazo</t>
  </si>
  <si>
    <t>m) Acreedores por Intermediación (Corto y Largo Plazo)</t>
  </si>
  <si>
    <t>Los Estados Financieros correspondientes al 31 de Diciembre del 2020 han sido aprobados para la remisión a la Comisión Nacional de Valores.</t>
  </si>
  <si>
    <t xml:space="preserve">La Sociedad tiene por objeto principal: </t>
  </si>
  <si>
    <t xml:space="preserve">a) Comprar y vender valores por cuenta de terceros y también por cuenta propia, con recursos de terceros o propios, en una bolsa de valores o fuera de ella. </t>
  </si>
  <si>
    <t xml:space="preserve">b) Presentar asesoría en materia de valores y operaciones de bolsa así como brindar a sus clientes un sistema de información y procesamiento de datos. </t>
  </si>
  <si>
    <t xml:space="preserve">c) Suscribir transitoriamente, con recursos propios, parte o la totalidad de emisiones primaria de valores. </t>
  </si>
  <si>
    <t xml:space="preserve">d) Promover el lanzamiento de emisiones de valores públicos y privados y facilitar su colocación. </t>
  </si>
  <si>
    <t xml:space="preserve">e) Actuar como representante de los obligacionistas. </t>
  </si>
  <si>
    <t>f) Prestar servicios de administración de carteras y custodia de valores.</t>
  </si>
  <si>
    <t>g) Llevar el registro contable de valores de sus clientes con sujeción a lo establecido en la Ley de Mercado de Valores o en las reglamentaciones que dicte la Comisión Nacional de Valores al efecto.</t>
  </si>
  <si>
    <t>h) Otorgar crédito, con sus propios recursos, únicamente con el objeto de facilitar la adquisición de valores por sus comitentes, estén o no inscriptos en una bolsa de valores y con la garantía de tales valores.</t>
  </si>
  <si>
    <t>i) Recibir créditos de empresas del sistema financiero para la realización de las actividades que le son propias.</t>
  </si>
  <si>
    <t xml:space="preserve">1.           CONSIDERACIÓN DE LOS ESTADOS CONTABLES </t>
  </si>
  <si>
    <t xml:space="preserve">2.           INFORMACIÓN DE LA EMPRESA </t>
  </si>
  <si>
    <t xml:space="preserve">MILLENIA CAPITAL CASA DE BOLSA SOCIEDAD ANÓNIMA fue constituida por Escritura Pública Nº 74 de fecha 05 de junio de 2014, pasada ante el Notario y Escribano Público </t>
  </si>
  <si>
    <t xml:space="preserve">Jose María Livieres Guggiari. Sus Estatutos Sociales y su Personería Jurídica fueron inscriptos en la Dirección General de los Registros Públicos, Sección Personas Jurídicas y Asociaciones bajo el Nº 769, folio 8990, Serie “C”, </t>
  </si>
  <si>
    <t xml:space="preserve">de fecha 02 de septiembre de 2014 y en la Dirección de General de los Registros Públicos, Registro Público de Comercio, anotado bajo el Nº 618, Serie “A”, folio 9891 de fecha 12 de noviembre de 2014. </t>
  </si>
  <si>
    <t xml:space="preserve">2.1 </t>
  </si>
  <si>
    <t>PARTICIPACIÓN EN OTRAS EMPRESAS</t>
  </si>
  <si>
    <t>La empresa Millenia Capital Casa de Bolsa S.A., al cierre del periodo considerado cuenta con participación en la Bolsa de Valores y Productos de Asunción S.A., de acuerdo a lo establecido en la Ley 5810/17 de Mercado de Valores y la RES CNV CG N° 6/19.</t>
  </si>
  <si>
    <t xml:space="preserve">3.1 </t>
  </si>
  <si>
    <t>BASE DE PREPARACIÓN DE LOS ESTADOS CONTABLES</t>
  </si>
  <si>
    <t xml:space="preserve">3.2 </t>
  </si>
  <si>
    <t>CRITERIOS DE VALUACIÓN</t>
  </si>
  <si>
    <t>La empresa no realiza previsiones, en el caso de constituirlas, las previsiones por incobrables se realizarán de acuerdo a la antigüedad de saldos de las cuentas deudoras, según políticas administrativas de la empresa y criterios establecidos en la ley.</t>
  </si>
  <si>
    <t xml:space="preserve">3.4 </t>
  </si>
  <si>
    <t>POLÍTICA DE DEPRECIACIÓN</t>
  </si>
  <si>
    <t>Los bienes de uso adquiridos por la empresa se encuentran valuados al costo de adquisición, más todos los gastos efectuados y que fueron necesarios para su incorporación al patrimonio del ente y puesta en funcionamiento.</t>
  </si>
  <si>
    <t xml:space="preserve">3.5 </t>
  </si>
  <si>
    <t>POLÍTICA DE RECONOCIMIENTO DE INGRESO</t>
  </si>
  <si>
    <t>Los ingresos generados durante el periodo son registrados como ingresos en función a su devengamiento, independientemente a su realización.</t>
  </si>
  <si>
    <t>3.6</t>
  </si>
  <si>
    <t>DEFINICIÓN DE FONDOS</t>
  </si>
  <si>
    <t>Para la elaboración del Estado de Flujo de efectivo, fue utilizado el método directo con la clasificación de flujo de Efectivo por actividades operativas, de inversión y de financiamiento.</t>
  </si>
  <si>
    <t xml:space="preserve">4. </t>
  </si>
  <si>
    <t>CAMBIOS DE POLÍTICAS Y PROCEDIMIENTOS DE CONTABILIDAD</t>
  </si>
  <si>
    <t>No se registraron cambios en los criterios de valuación con relación al año anterior, manteniéndose uniformes con el periodo comparado.</t>
  </si>
  <si>
    <t>j) Efectuar todas las operaciones y servicios que sean compatibles con la actividad de intermediación en el mercado de valores y que previamente y por reglas de carácter general autorice la Comisión Nacional de Valores</t>
  </si>
  <si>
    <t xml:space="preserve"> y la Bolsa de Valores que integra.</t>
  </si>
  <si>
    <t>k) La Sociedad fija su domicilio en la ciudad de Asunción, República del Paraguay, pudiendo establecer agencias, sucursales, oficinas, filiales y representaciones en la misma ciudad o en otras ciudades o localidades en el país</t>
  </si>
  <si>
    <t xml:space="preserve"> y en el extranjero, previa comunicación a la Comisión Nacional de Valores u otra autoridad competente.</t>
  </si>
  <si>
    <t>l) La Sociedad tendrá una duración de 99 años, contados a partir de la fecha de su inscripción en el Registro de Personas Jurídicas y Asociaciones, plazo que podrá ser extendido o reducido por disposición de una Asamblea</t>
  </si>
  <si>
    <t>General Extraordinaria de Accionistas, previa conformidad de la Comisión Nacional de Valores.</t>
  </si>
  <si>
    <t xml:space="preserve">Los presentes estados contables han sido preparados sobre la base de cifras históricas, sin considerar el efecto que las variaciones en el poder adquisitivo de la moneda local </t>
  </si>
  <si>
    <t xml:space="preserve">pueda tener en los rubros no monetarios que componen dichos estados, debido a que la corrección monetaria no constituye un principio de contabilidad de aceptación generalizada en el </t>
  </si>
  <si>
    <t>Paraguay, excepto los rubros en moneda extranjera que son ajustados al tipo de cambio de cierre.</t>
  </si>
  <si>
    <t>3.3</t>
  </si>
  <si>
    <t>POLÍTICA DE CONSTITUCIÓN DE PREVISIONES</t>
  </si>
  <si>
    <t>3.           PRINCIPALES POLÍTICAS Y PROCEDIMIENTOS CONTABLES</t>
  </si>
  <si>
    <t xml:space="preserve">Los Estados contables fueron preparados de acuerdo a normas, reglamentaciones e instrucciones emitidas por la Comisión Nacional de Valores y con normas contables aceptadas en Paraguay. </t>
  </si>
  <si>
    <t xml:space="preserve">Los presentes estados contables han sido preparados sobre la base de cifras históricas sin considerar el efecto que las variaciones en el poder adquisitivo de la moneda local que pudieran tener sobre los mismos, </t>
  </si>
  <si>
    <t xml:space="preserve">no expresándose la moneda al 31 de Diciembre de 2020, como además los saldos de igual fecha del ejercicio anterior, a excepción de los bienes de uso conforme a la nota 3.2 </t>
  </si>
  <si>
    <t>6.  INFORMACIÓN REFERENTE A CONTINGENCIA Y COMPROMISOS.</t>
  </si>
  <si>
    <t>a) Compromisos directos</t>
  </si>
  <si>
    <t>La empresa no cuenta con garantías otorgadas que impliquen activos comprometidos a la fecha de cierre de los estados contables.</t>
  </si>
  <si>
    <t>b) Contingencias legales</t>
  </si>
  <si>
    <t>La empresa no cuenta con contingencias legales a la fecha de cierre de los estados contables.</t>
  </si>
  <si>
    <t>c) Garantías constituidas</t>
  </si>
  <si>
    <t>Para dar cumplimiento a lo previsto en los artículos 96 y 97 de la ley 5.810/2017, la garantía fue constituida mediante Bonos según detalle:</t>
  </si>
  <si>
    <t>7.  HECHOS POSTERIORES AL CIERRE DEL EJERCICIO.</t>
  </si>
  <si>
    <t>No han ocurrido circunstancias con posterioridad al 31 de Diciembre de 2020, cuya significativilidad amerite su adecuada revelación en los estados contables.</t>
  </si>
  <si>
    <t>8. LIMITACIÓN A LA LIBRE DISPONIBILIDAD DE LOS ACTIVOS O DEL PATRIMONIO Y CUALQUIER RESTRICCIÓN AL DERECHO DE PROPIEDAD.</t>
  </si>
  <si>
    <t>La empresa tiene la libre disponibilidad de todos sus bienes, no registrándose ninguna limitación del sobre sus activos. No fueron constituidas ni prendas ni hipotecas.</t>
  </si>
  <si>
    <t>No se registraron cambios en la aplicación de principios contables y/o en estimaciones contables, manteniéndose uniforme con relación al periodo anterior.</t>
  </si>
  <si>
    <t>No se cuenta con hechos, o restricciones legales, reglamentarias, contractuales o de otra índole para la distribución de utilidades.</t>
  </si>
  <si>
    <t>A la fecha del informe no existen sanciones a la empresa o a sus Directores.</t>
  </si>
  <si>
    <t>9. CAMBIOS CONTABLES.</t>
  </si>
  <si>
    <t>10. RESTRICCIONES PARA DISTRIBUCIÓN DE UTILIDADES.</t>
  </si>
  <si>
    <t>11. SANCIONES.</t>
  </si>
  <si>
    <t>Correspondiente al 31 de Diciembre de 2020</t>
  </si>
  <si>
    <t>INFORMACION AL 31 DE DICIEMBRE DE 2020</t>
  </si>
  <si>
    <t>Información sobre el Documento y Emisor</t>
  </si>
  <si>
    <t>Otros Gastos de Administración</t>
  </si>
  <si>
    <t>Capital Emitido G. 2.600.000.000.-</t>
  </si>
  <si>
    <t>Capital Suscripto G. 2.600.000.000.-</t>
  </si>
  <si>
    <t>Capital Integrado G. 2.600.000.000.-</t>
  </si>
  <si>
    <t xml:space="preserve">Capital Social de acuerdo a las decisiones tomadas en Asamblea Ordinaria N° 14, Asamblea Extraordinaria N° 15 y Asamblea Ordinaria N° 16 todas de fecha 12 de febrero de 2021, </t>
  </si>
  <si>
    <t xml:space="preserve">donde se contempla el aumento del capital mediante la capitalización íntegra de las utilidades obtenidas al 31/12/2020 y un aporte en proporción equitativo al porcentaje de participación de los socios, </t>
  </si>
  <si>
    <t>de modo a que el Capital Social quede representado por G. 2.600.000.000 con acciones nominativas ordinarias.</t>
  </si>
  <si>
    <t>1 AL 221</t>
  </si>
  <si>
    <t>222 AL 247</t>
  </si>
  <si>
    <t>248 AL 260</t>
  </si>
  <si>
    <t>m) El Capital Social se fija en la cantidad de Gs. 2.600.000.000 (guaraníes Dos mil seiscientos millones) representado por 260 (doscientas sesenta) acciones nominativas ordinarias de valor nominal de Gs. 10.000.000 (guaraníes diez millones) cada una.</t>
  </si>
  <si>
    <r>
      <t xml:space="preserve">Ingresos Operativos: </t>
    </r>
    <r>
      <rPr>
        <sz val="10"/>
        <rFont val="Tahoma"/>
        <family val="2"/>
      </rPr>
      <t>Agrupa las cuentas divisionarias que acumulan ingresos por comisiones y servicios</t>
    </r>
  </si>
  <si>
    <t>inherentes a la actividad de Intermediación.</t>
  </si>
  <si>
    <r>
      <rPr>
        <b/>
        <sz val="10"/>
        <rFont val="Tahoma"/>
        <family val="2"/>
      </rPr>
      <t xml:space="preserve">Ingresos por Asesoría Financiera: </t>
    </r>
    <r>
      <rPr>
        <sz val="10"/>
        <rFont val="Tahoma"/>
        <family val="2"/>
      </rPr>
      <t>Surge por facturaciones realizadas a los clientes por Asesoramiento</t>
    </r>
  </si>
  <si>
    <t>sobre coyuntura , mercado financiero, estructuración y planeamiento financiero.</t>
  </si>
</sst>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41" formatCode="_ * #,##0_ ;_ * \-#,##0_ ;_ * &quot;-&quot;_ ;_ @_ "/>
    <numFmt numFmtId="43" formatCode="_ * #,##0.00_ ;_ * \-#,##0.00_ ;_ * &quot;-&quot;??_ ;_ @_ "/>
    <numFmt numFmtId="164" formatCode="_(* #,##0.00_);_(* \(#,##0.00\);_(* &quot;-&quot;??_);_(@_)"/>
    <numFmt numFmtId="165" formatCode="_-* #,##0.00\ _P_t_s_-;\-* #,##0.00\ _P_t_s_-;_-* \-??\ _P_t_s_-;_-@_-"/>
    <numFmt numFmtId="166" formatCode="#,##0;[Red]#,##0"/>
    <numFmt numFmtId="167" formatCode="_(* #,##0_);_(* \(#,##0\);_(* \-??_);_(@_)"/>
    <numFmt numFmtId="168" formatCode="_(* #,##0_);_(* \(#,##0\);_(* \-_);_(@_)"/>
    <numFmt numFmtId="169" formatCode="#,##0;\(#,##0\)"/>
    <numFmt numFmtId="170" formatCode="_-* #,##0\ _P_t_s_-;\-* #,##0\ _P_t_s_-;_-* \-??\ _P_t_s_-;_-@_-"/>
    <numFmt numFmtId="171" formatCode="#,##0;[Black]\(#,##0\)"/>
    <numFmt numFmtId="172" formatCode="_(* #,##0.00_);_(* \(#,##0.00\);_(* \-??_);_(@_)"/>
    <numFmt numFmtId="173" formatCode="dd\.mm\.yy;@"/>
    <numFmt numFmtId="174" formatCode="_-* #,##0.00\ _P_t_s_-;\-* #,##0.00\ _P_t_s_-;_-* &quot;-&quot;??\ _P_t_s_-;_-@_-"/>
    <numFmt numFmtId="175" formatCode="_-* #,##0\ _P_t_s_-;\-* #,##0\ _P_t_s_-;_-* &quot;-&quot;??\ _P_t_s_-;_-@_-"/>
    <numFmt numFmtId="176" formatCode="0.0%"/>
    <numFmt numFmtId="177" formatCode="#,##0_ ;\-#,##0\ "/>
    <numFmt numFmtId="178" formatCode="#,"/>
    <numFmt numFmtId="179" formatCode="#,#00"/>
    <numFmt numFmtId="180" formatCode="#.##000"/>
    <numFmt numFmtId="181" formatCode="\$#,#00"/>
    <numFmt numFmtId="182" formatCode="_(* #,##0_);_(* \(#,##0\);_(* &quot;-&quot;??_);_(@_)"/>
    <numFmt numFmtId="183" formatCode="#,##0_ ;[Red]\-#,##0\ "/>
    <numFmt numFmtId="184" formatCode="dd/mm/yyyy;@"/>
  </numFmts>
  <fonts count="98">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Geneva"/>
      <family val="2"/>
    </font>
    <font>
      <b/>
      <sz val="10"/>
      <name val="Arial"/>
      <family val="2"/>
    </font>
    <font>
      <b/>
      <sz val="10"/>
      <color indexed="12"/>
      <name val="Arial"/>
      <family val="2"/>
    </font>
    <font>
      <sz val="10"/>
      <color indexed="21"/>
      <name val="Arial"/>
      <family val="2"/>
    </font>
    <font>
      <sz val="10"/>
      <color indexed="12"/>
      <name val="Arial"/>
      <family val="2"/>
    </font>
    <font>
      <b/>
      <sz val="14"/>
      <name val="Helv"/>
      <family val="2"/>
    </font>
    <font>
      <b/>
      <u/>
      <sz val="12"/>
      <name val="Helv"/>
      <family val="2"/>
    </font>
    <font>
      <sz val="12"/>
      <name val="Helv"/>
      <family val="2"/>
    </font>
    <font>
      <sz val="11"/>
      <name val="Times New Roman"/>
      <family val="1"/>
    </font>
    <font>
      <b/>
      <sz val="11"/>
      <name val="Times New Roman"/>
      <family val="1"/>
    </font>
    <font>
      <u/>
      <sz val="11"/>
      <name val="Times New Roman"/>
      <family val="1"/>
    </font>
    <font>
      <sz val="8"/>
      <name val="Arial"/>
      <family val="2"/>
    </font>
    <font>
      <sz val="11"/>
      <name val="Arial"/>
      <family val="2"/>
    </font>
    <font>
      <b/>
      <sz val="11"/>
      <name val="Arial"/>
      <family val="2"/>
    </font>
    <font>
      <sz val="10"/>
      <name val="Arial"/>
      <family val="2"/>
    </font>
    <font>
      <b/>
      <sz val="11"/>
      <color indexed="9"/>
      <name val="Arial"/>
      <family val="2"/>
    </font>
    <font>
      <sz val="11"/>
      <color indexed="10"/>
      <name val="Arial"/>
      <family val="2"/>
    </font>
    <font>
      <b/>
      <sz val="11"/>
      <color indexed="8"/>
      <name val="Arial"/>
      <family val="2"/>
    </font>
    <font>
      <sz val="11"/>
      <color indexed="8"/>
      <name val="Arial"/>
      <family val="2"/>
    </font>
    <font>
      <b/>
      <sz val="11"/>
      <color indexed="10"/>
      <name val="Arial"/>
      <family val="2"/>
    </font>
    <font>
      <sz val="10"/>
      <color indexed="8"/>
      <name val="Arial"/>
      <family val="2"/>
    </font>
    <font>
      <b/>
      <sz val="11"/>
      <color indexed="18"/>
      <name val="Arial"/>
      <family val="2"/>
    </font>
    <font>
      <b/>
      <sz val="11"/>
      <color indexed="12"/>
      <name val="Arial"/>
      <family val="2"/>
    </font>
    <font>
      <sz val="9"/>
      <color indexed="8"/>
      <name val="Times New Roman"/>
      <family val="1"/>
    </font>
    <font>
      <sz val="11"/>
      <color indexed="9"/>
      <name val="Arial"/>
      <family val="2"/>
    </font>
    <font>
      <b/>
      <u/>
      <sz val="11"/>
      <name val="Arial"/>
      <family val="2"/>
    </font>
    <font>
      <sz val="1"/>
      <color indexed="8"/>
      <name val="Courier New"/>
      <family val="3"/>
    </font>
    <font>
      <b/>
      <sz val="1"/>
      <color indexed="8"/>
      <name val="Courier New"/>
      <family val="3"/>
    </font>
    <font>
      <sz val="11"/>
      <color indexed="8"/>
      <name val="Calibri"/>
      <family val="2"/>
    </font>
    <font>
      <sz val="11"/>
      <color indexed="10"/>
      <name val="Arial"/>
      <family val="2"/>
    </font>
    <font>
      <sz val="9"/>
      <color indexed="8"/>
      <name val="Times New Roman"/>
      <family val="1"/>
    </font>
    <font>
      <sz val="8"/>
      <name val="Calibri"/>
      <family val="2"/>
    </font>
    <font>
      <sz val="12"/>
      <name val="Arial"/>
      <family val="2"/>
    </font>
    <font>
      <sz val="11"/>
      <color theme="1"/>
      <name val="Calibri"/>
      <family val="2"/>
      <scheme val="minor"/>
    </font>
    <font>
      <b/>
      <sz val="12"/>
      <name val="Arial"/>
      <family val="2"/>
    </font>
    <font>
      <b/>
      <sz val="14"/>
      <name val="Arial"/>
      <family val="2"/>
    </font>
    <font>
      <sz val="14"/>
      <name val="Arial"/>
      <family val="2"/>
    </font>
    <font>
      <sz val="11"/>
      <color rgb="FF000000"/>
      <name val="Tahoma"/>
      <family val="2"/>
    </font>
    <font>
      <b/>
      <sz val="10"/>
      <name val="Tahoma"/>
      <family val="2"/>
    </font>
    <font>
      <sz val="10"/>
      <name val="Tahoma"/>
      <family val="2"/>
    </font>
    <font>
      <sz val="11"/>
      <color rgb="FF333333"/>
      <name val="Tahoma"/>
      <family val="2"/>
    </font>
    <font>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color rgb="FF000000"/>
      <name val="Times New Roman"/>
      <family val="1"/>
    </font>
    <font>
      <sz val="10"/>
      <color rgb="FF000000"/>
      <name val="Times New Roman"/>
      <family val="1"/>
    </font>
    <font>
      <b/>
      <sz val="12"/>
      <name val="Tahoma"/>
      <family val="2"/>
    </font>
    <font>
      <sz val="12"/>
      <name val="Tahoma"/>
      <family val="2"/>
    </font>
    <font>
      <b/>
      <u/>
      <sz val="10"/>
      <name val="Tahoma"/>
      <family val="2"/>
    </font>
    <font>
      <b/>
      <u/>
      <sz val="16"/>
      <color rgb="FFFF0000"/>
      <name val="Tahoma"/>
      <family val="2"/>
    </font>
    <font>
      <b/>
      <sz val="14"/>
      <name val="Tahoma"/>
      <family val="2"/>
    </font>
    <font>
      <b/>
      <u/>
      <sz val="12"/>
      <name val="Tahoma"/>
      <family val="2"/>
    </font>
    <font>
      <sz val="12"/>
      <color indexed="10"/>
      <name val="Tahoma"/>
      <family val="2"/>
    </font>
    <font>
      <b/>
      <sz val="11"/>
      <name val="Tahoma"/>
      <family val="2"/>
    </font>
    <font>
      <b/>
      <sz val="12"/>
      <color indexed="10"/>
      <name val="Tahoma"/>
      <family val="2"/>
    </font>
    <font>
      <u/>
      <sz val="12"/>
      <color indexed="10"/>
      <name val="Tahoma"/>
      <family val="2"/>
    </font>
    <font>
      <u/>
      <sz val="12"/>
      <name val="Tahoma"/>
      <family val="2"/>
    </font>
    <font>
      <sz val="12"/>
      <color theme="1"/>
      <name val="Tahoma"/>
      <family val="2"/>
    </font>
    <font>
      <b/>
      <sz val="14"/>
      <color theme="1"/>
      <name val="Tahoma"/>
      <family val="2"/>
    </font>
    <font>
      <b/>
      <sz val="12"/>
      <color indexed="8"/>
      <name val="Tahoma"/>
      <family val="2"/>
    </font>
    <font>
      <b/>
      <u/>
      <sz val="12"/>
      <color indexed="8"/>
      <name val="Tahoma"/>
      <family val="2"/>
    </font>
    <font>
      <b/>
      <i/>
      <sz val="12"/>
      <color rgb="FFFF0000"/>
      <name val="Tahoma"/>
      <family val="2"/>
    </font>
    <font>
      <b/>
      <sz val="12"/>
      <color theme="1"/>
      <name val="Tahoma"/>
      <family val="2"/>
    </font>
    <font>
      <sz val="14"/>
      <name val="Tahoma"/>
      <family val="2"/>
    </font>
    <font>
      <b/>
      <sz val="12"/>
      <color rgb="FFFF0000"/>
      <name val="Tahoma"/>
      <family val="2"/>
    </font>
    <font>
      <b/>
      <i/>
      <sz val="12"/>
      <color theme="3"/>
      <name val="Tahoma"/>
      <family val="2"/>
    </font>
    <font>
      <b/>
      <u/>
      <sz val="14"/>
      <name val="Tahoma"/>
      <family val="2"/>
    </font>
    <font>
      <sz val="11"/>
      <name val="Tahoma"/>
      <family val="2"/>
    </font>
    <font>
      <sz val="10"/>
      <color rgb="FFFF0000"/>
      <name val="Tahoma"/>
      <family val="2"/>
    </font>
    <font>
      <b/>
      <sz val="13"/>
      <name val="Tahoma"/>
      <family val="2"/>
    </font>
    <font>
      <b/>
      <u/>
      <sz val="11"/>
      <name val="Tahoma"/>
      <family val="2"/>
    </font>
    <font>
      <sz val="9"/>
      <name val="Tahoma"/>
      <family val="2"/>
    </font>
    <font>
      <b/>
      <sz val="7"/>
      <name val="Times New Roman"/>
      <family val="1"/>
    </font>
    <font>
      <b/>
      <sz val="11"/>
      <color rgb="FF000000"/>
      <name val="Tahoma"/>
      <family val="2"/>
    </font>
    <font>
      <b/>
      <sz val="9"/>
      <name val="Tahoma"/>
      <family val="2"/>
    </font>
    <font>
      <b/>
      <u/>
      <sz val="16"/>
      <name val="Tahoma"/>
      <family val="2"/>
    </font>
    <font>
      <sz val="11"/>
      <name val="Calibri"/>
      <family val="2"/>
    </font>
  </fonts>
  <fills count="44">
    <fill>
      <patternFill patternType="none"/>
    </fill>
    <fill>
      <patternFill patternType="gray125"/>
    </fill>
    <fill>
      <patternFill patternType="solid">
        <fgColor indexed="43"/>
        <bgColor indexed="26"/>
      </patternFill>
    </fill>
    <fill>
      <patternFill patternType="solid">
        <fgColor indexed="55"/>
        <bgColor indexed="64"/>
      </patternFill>
    </fill>
    <fill>
      <patternFill patternType="solid">
        <fgColor indexed="18"/>
        <bgColor indexed="64"/>
      </patternFill>
    </fill>
    <fill>
      <patternFill patternType="solid">
        <fgColor indexed="22"/>
        <bgColor indexed="31"/>
      </patternFill>
    </fill>
    <fill>
      <patternFill patternType="solid">
        <fgColor indexed="22"/>
        <bgColor indexed="9"/>
      </patternFill>
    </fill>
    <fill>
      <patternFill patternType="solid">
        <fgColor indexed="22"/>
        <bgColor indexed="64"/>
      </patternFill>
    </fill>
    <fill>
      <patternFill patternType="solid">
        <fgColor indexed="40"/>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90">
    <border>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double">
        <color indexed="8"/>
      </bottom>
      <diagonal/>
    </border>
    <border>
      <left style="thin">
        <color indexed="8"/>
      </left>
      <right style="thin">
        <color indexed="8"/>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8"/>
      </left>
      <right style="thin">
        <color indexed="8"/>
      </right>
      <top/>
      <bottom style="double">
        <color indexed="8"/>
      </bottom>
      <diagonal/>
    </border>
    <border>
      <left/>
      <right style="thin">
        <color indexed="8"/>
      </right>
      <top/>
      <bottom style="double">
        <color indexed="8"/>
      </bottom>
      <diagonal/>
    </border>
    <border>
      <left style="thin">
        <color indexed="8"/>
      </left>
      <right/>
      <top/>
      <bottom style="thin">
        <color indexed="8"/>
      </bottom>
      <diagonal/>
    </border>
    <border>
      <left style="thin">
        <color indexed="8"/>
      </left>
      <right style="thin">
        <color indexed="64"/>
      </right>
      <top/>
      <bottom/>
      <diagonal/>
    </border>
    <border>
      <left/>
      <right/>
      <top/>
      <bottom style="double">
        <color indexed="8"/>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double">
        <color indexed="8"/>
      </bottom>
      <diagonal/>
    </border>
    <border>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medium">
        <color indexed="64"/>
      </top>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diagonal/>
    </border>
    <border>
      <left style="thin">
        <color indexed="64"/>
      </left>
      <right style="thin">
        <color indexed="64"/>
      </right>
      <top style="hair">
        <color indexed="64"/>
      </top>
      <bottom/>
      <diagonal/>
    </border>
    <border>
      <left style="medium">
        <color indexed="64"/>
      </left>
      <right style="thin">
        <color indexed="64"/>
      </right>
      <top style="hair">
        <color indexed="64"/>
      </top>
      <bottom style="medium">
        <color indexed="64"/>
      </bottom>
      <diagonal/>
    </border>
    <border>
      <left/>
      <right style="thin">
        <color indexed="64"/>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top style="medium">
        <color indexed="64"/>
      </top>
      <bottom/>
      <diagonal/>
    </border>
    <border>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diagonal/>
    </border>
    <border>
      <left style="thin">
        <color indexed="64"/>
      </left>
      <right/>
      <top style="hair">
        <color indexed="64"/>
      </top>
      <bottom/>
      <diagonal/>
    </border>
    <border>
      <left/>
      <right style="hair">
        <color indexed="64"/>
      </right>
      <top style="hair">
        <color indexed="64"/>
      </top>
      <bottom/>
      <diagonal/>
    </border>
    <border>
      <left/>
      <right style="medium">
        <color indexed="64"/>
      </right>
      <top style="hair">
        <color indexed="64"/>
      </top>
      <bottom/>
      <diagonal/>
    </border>
    <border>
      <left style="thin">
        <color indexed="64"/>
      </left>
      <right/>
      <top style="hair">
        <color indexed="64"/>
      </top>
      <bottom style="medium">
        <color indexed="64"/>
      </bottom>
      <diagonal/>
    </border>
    <border>
      <left/>
      <right style="hair">
        <color indexed="64"/>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8"/>
      </right>
      <top/>
      <bottom style="thin">
        <color indexed="64"/>
      </bottom>
      <diagonal/>
    </border>
    <border>
      <left style="thin">
        <color indexed="64"/>
      </left>
      <right style="thin">
        <color indexed="8"/>
      </right>
      <top/>
      <bottom style="thin">
        <color indexed="64"/>
      </bottom>
      <diagonal/>
    </border>
    <border>
      <left style="thin">
        <color indexed="64"/>
      </left>
      <right/>
      <top style="thin">
        <color indexed="64"/>
      </top>
      <bottom style="thin">
        <color indexed="64"/>
      </bottom>
      <diagonal/>
    </border>
    <border>
      <left style="thin">
        <color indexed="8"/>
      </left>
      <right style="thin">
        <color indexed="64"/>
      </right>
      <top style="thin">
        <color indexed="8"/>
      </top>
      <bottom style="thin">
        <color indexed="64"/>
      </bottom>
      <diagonal/>
    </border>
    <border>
      <left/>
      <right style="thin">
        <color indexed="64"/>
      </right>
      <top style="thin">
        <color indexed="64"/>
      </top>
      <bottom style="thin">
        <color indexed="64"/>
      </bottom>
      <diagonal/>
    </border>
    <border>
      <left style="thin">
        <color indexed="8"/>
      </left>
      <right style="thin">
        <color indexed="8"/>
      </right>
      <top/>
      <bottom/>
      <diagonal/>
    </border>
    <border>
      <left style="thin">
        <color indexed="64"/>
      </left>
      <right/>
      <top/>
      <bottom/>
      <diagonal/>
    </border>
    <border>
      <left/>
      <right style="thin">
        <color indexed="8"/>
      </right>
      <top style="thin">
        <color indexed="64"/>
      </top>
      <bottom/>
      <diagonal/>
    </border>
    <border>
      <left style="thin">
        <color indexed="8"/>
      </left>
      <right style="thin">
        <color indexed="8"/>
      </right>
      <top style="thin">
        <color indexed="64"/>
      </top>
      <bottom style="hair">
        <color indexed="8"/>
      </bottom>
      <diagonal/>
    </border>
    <border>
      <left style="thin">
        <color indexed="8"/>
      </left>
      <right style="thin">
        <color indexed="8"/>
      </right>
      <top style="hair">
        <color indexed="8"/>
      </top>
      <bottom style="hair">
        <color indexed="8"/>
      </bottom>
      <diagonal/>
    </border>
    <border>
      <left/>
      <right/>
      <top style="thin">
        <color indexed="64"/>
      </top>
      <bottom/>
      <diagonal/>
    </border>
    <border>
      <left/>
      <right/>
      <top style="thin">
        <color indexed="64"/>
      </top>
      <bottom style="thin">
        <color indexed="64"/>
      </bottom>
      <diagonal/>
    </border>
    <border>
      <left style="thin">
        <color auto="1"/>
      </left>
      <right style="thin">
        <color indexed="64"/>
      </right>
      <top style="thin">
        <color indexed="64"/>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8"/>
      </left>
      <right/>
      <top style="thin">
        <color indexed="64"/>
      </top>
      <bottom style="hair">
        <color indexed="8"/>
      </bottom>
      <diagonal/>
    </border>
    <border>
      <left style="thin">
        <color indexed="8"/>
      </left>
      <right/>
      <top style="hair">
        <color indexed="8"/>
      </top>
      <bottom style="hair">
        <color indexed="8"/>
      </bottom>
      <diagonal/>
    </border>
    <border>
      <left/>
      <right style="thin">
        <color indexed="64"/>
      </right>
      <top style="thin">
        <color indexed="64"/>
      </top>
      <bottom style="thin">
        <color indexed="64"/>
      </bottom>
      <diagonal/>
    </border>
    <border>
      <left style="medium">
        <color indexed="64"/>
      </left>
      <right style="thin">
        <color indexed="8"/>
      </right>
      <top style="medium">
        <color indexed="64"/>
      </top>
      <bottom/>
      <diagonal/>
    </border>
    <border>
      <left/>
      <right style="thin">
        <color indexed="64"/>
      </right>
      <top style="medium">
        <color indexed="64"/>
      </top>
      <bottom/>
      <diagonal/>
    </border>
    <border>
      <left style="medium">
        <color indexed="64"/>
      </left>
      <right style="thin">
        <color indexed="8"/>
      </right>
      <top/>
      <bottom style="medium">
        <color indexed="64"/>
      </bottom>
      <diagonal/>
    </border>
    <border>
      <left style="thin">
        <color indexed="64"/>
      </left>
      <right style="thin">
        <color indexed="8"/>
      </right>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right style="thin">
        <color indexed="8"/>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8"/>
      </right>
      <top/>
      <bottom style="thin">
        <color indexed="64"/>
      </bottom>
      <diagonal/>
    </border>
    <border>
      <left style="medium">
        <color indexed="64"/>
      </left>
      <right style="thin">
        <color indexed="64"/>
      </right>
      <top/>
      <bottom style="hair">
        <color auto="1"/>
      </bottom>
      <diagonal/>
    </border>
    <border>
      <left style="medium">
        <color indexed="64"/>
      </left>
      <right/>
      <top/>
      <bottom style="hair">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8"/>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8"/>
      </right>
      <top/>
      <bottom/>
      <diagonal/>
    </border>
    <border>
      <left style="thin">
        <color auto="1"/>
      </left>
      <right style="thin">
        <color auto="1"/>
      </right>
      <top style="medium">
        <color indexed="64"/>
      </top>
      <bottom/>
      <diagonal/>
    </border>
    <border>
      <left style="thin">
        <color indexed="64"/>
      </left>
      <right style="thin">
        <color indexed="8"/>
      </right>
      <top style="thin">
        <color indexed="64"/>
      </top>
      <bottom style="thin">
        <color indexed="64"/>
      </bottom>
      <diagonal/>
    </border>
    <border>
      <left style="medium">
        <color indexed="64"/>
      </left>
      <right style="thin">
        <color indexed="64"/>
      </right>
      <top/>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auto="1"/>
      </left>
      <right style="thin">
        <color auto="1"/>
      </right>
      <top/>
      <bottom/>
      <diagonal/>
    </border>
    <border>
      <left style="thin">
        <color indexed="8"/>
      </left>
      <right style="medium">
        <color indexed="64"/>
      </right>
      <top/>
      <bottom/>
      <diagonal/>
    </border>
    <border>
      <left style="thin">
        <color indexed="8"/>
      </left>
      <right style="thin">
        <color indexed="8"/>
      </right>
      <top/>
      <bottom style="hair">
        <color indexed="64"/>
      </bottom>
      <diagonal/>
    </border>
    <border>
      <left style="thin">
        <color indexed="8"/>
      </left>
      <right style="medium">
        <color indexed="64"/>
      </right>
      <top/>
      <bottom style="hair">
        <color indexed="64"/>
      </bottom>
      <diagonal/>
    </border>
    <border>
      <left style="thin">
        <color indexed="64"/>
      </left>
      <right/>
      <top/>
      <bottom style="hair">
        <color indexed="64"/>
      </bottom>
      <diagonal/>
    </border>
    <border>
      <left style="thin">
        <color indexed="8"/>
      </left>
      <right style="thin">
        <color indexed="8"/>
      </right>
      <top/>
      <bottom/>
      <diagonal/>
    </border>
    <border>
      <left style="thin">
        <color indexed="8"/>
      </left>
      <right/>
      <top style="thin">
        <color indexed="64"/>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thin">
        <color indexed="8"/>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8"/>
      </left>
      <right style="thin">
        <color indexed="8"/>
      </right>
      <top style="thin">
        <color indexed="64"/>
      </top>
      <bottom/>
      <diagonal/>
    </border>
    <border>
      <left/>
      <right style="medium">
        <color rgb="FF000000"/>
      </right>
      <top style="medium">
        <color indexed="64"/>
      </top>
      <bottom style="medium">
        <color indexed="64"/>
      </bottom>
      <diagonal/>
    </border>
    <border>
      <left style="thin">
        <color indexed="64"/>
      </left>
      <right style="medium">
        <color indexed="64"/>
      </right>
      <top/>
      <bottom/>
      <diagonal/>
    </border>
    <border>
      <left/>
      <right style="thin">
        <color indexed="8"/>
      </right>
      <top/>
      <bottom/>
      <diagonal/>
    </border>
    <border>
      <left/>
      <right style="thin">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auto="1"/>
      </left>
      <right style="thin">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8"/>
      </left>
      <right style="medium">
        <color indexed="64"/>
      </right>
      <top/>
      <bottom/>
      <diagonal/>
    </border>
    <border>
      <left style="thin">
        <color indexed="8"/>
      </left>
      <right style="thin">
        <color indexed="8"/>
      </right>
      <top/>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8"/>
      </right>
      <top/>
      <bottom/>
      <diagonal/>
    </border>
    <border>
      <left/>
      <right style="thin">
        <color indexed="64"/>
      </right>
      <top style="thin">
        <color indexed="64"/>
      </top>
      <bottom style="medium">
        <color indexed="64"/>
      </bottom>
      <diagonal/>
    </border>
  </borders>
  <cellStyleXfs count="192">
    <xf numFmtId="0" fontId="0" fillId="0" borderId="0"/>
    <xf numFmtId="4" fontId="34" fillId="0" borderId="0">
      <protection locked="0"/>
    </xf>
    <xf numFmtId="178" fontId="35" fillId="0" borderId="0">
      <protection locked="0"/>
    </xf>
    <xf numFmtId="178" fontId="35" fillId="0" borderId="0">
      <protection locked="0"/>
    </xf>
    <xf numFmtId="179" fontId="34" fillId="0" borderId="0">
      <protection locked="0"/>
    </xf>
    <xf numFmtId="180" fontId="34" fillId="0" borderId="0">
      <protection locked="0"/>
    </xf>
    <xf numFmtId="172" fontId="22" fillId="0" borderId="0" applyFill="0" applyBorder="0" applyAlignment="0" applyProtection="0"/>
    <xf numFmtId="168" fontId="22" fillId="0" borderId="0" applyFill="0" applyBorder="0" applyAlignment="0" applyProtection="0"/>
    <xf numFmtId="174" fontId="7" fillId="0" borderId="0" applyFont="0" applyFill="0" applyBorder="0" applyAlignment="0" applyProtection="0"/>
    <xf numFmtId="164" fontId="36" fillId="0" borderId="0" applyFont="0" applyFill="0" applyBorder="0" applyAlignment="0" applyProtection="0"/>
    <xf numFmtId="165" fontId="22" fillId="0" borderId="0" applyFill="0" applyBorder="0" applyAlignment="0" applyProtection="0"/>
    <xf numFmtId="181" fontId="34" fillId="0" borderId="0">
      <protection locked="0"/>
    </xf>
    <xf numFmtId="0" fontId="7" fillId="0" borderId="0"/>
    <xf numFmtId="0" fontId="41" fillId="0" borderId="0"/>
    <xf numFmtId="0" fontId="28" fillId="0" borderId="0">
      <alignment vertical="top"/>
    </xf>
    <xf numFmtId="0" fontId="22" fillId="0" borderId="0"/>
    <xf numFmtId="0" fontId="41" fillId="0" borderId="0"/>
    <xf numFmtId="0" fontId="22" fillId="0" borderId="0"/>
    <xf numFmtId="0" fontId="8" fillId="0" borderId="0"/>
    <xf numFmtId="0" fontId="8" fillId="0" borderId="0"/>
    <xf numFmtId="0" fontId="8" fillId="0" borderId="0"/>
    <xf numFmtId="0" fontId="8" fillId="0" borderId="0"/>
    <xf numFmtId="0" fontId="8" fillId="0" borderId="0"/>
    <xf numFmtId="0" fontId="8" fillId="0" borderId="0"/>
    <xf numFmtId="37" fontId="22" fillId="0" borderId="0"/>
    <xf numFmtId="9" fontId="7" fillId="0" borderId="0" applyFill="0" applyBorder="0" applyAlignment="0" applyProtection="0"/>
    <xf numFmtId="9" fontId="22" fillId="0" borderId="0" applyFont="0" applyFill="0" applyBorder="0" applyAlignment="0" applyProtection="0"/>
    <xf numFmtId="9" fontId="22" fillId="0" borderId="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4" fillId="0" borderId="0"/>
    <xf numFmtId="0" fontId="4" fillId="0" borderId="0"/>
    <xf numFmtId="0" fontId="3" fillId="0" borderId="0"/>
    <xf numFmtId="41" fontId="3" fillId="0" borderId="0" applyFont="0" applyFill="0" applyBorder="0" applyAlignment="0" applyProtection="0"/>
    <xf numFmtId="0" fontId="49" fillId="0" borderId="0" applyNumberFormat="0" applyFill="0" applyBorder="0" applyAlignment="0" applyProtection="0"/>
    <xf numFmtId="0" fontId="50" fillId="0" borderId="159" applyNumberFormat="0" applyFill="0" applyAlignment="0" applyProtection="0"/>
    <xf numFmtId="0" fontId="51" fillId="0" borderId="160" applyNumberFormat="0" applyFill="0" applyAlignment="0" applyProtection="0"/>
    <xf numFmtId="0" fontId="52" fillId="0" borderId="161" applyNumberFormat="0" applyFill="0" applyAlignment="0" applyProtection="0"/>
    <xf numFmtId="0" fontId="52" fillId="0" borderId="0" applyNumberFormat="0" applyFill="0" applyBorder="0" applyAlignment="0" applyProtection="0"/>
    <xf numFmtId="0" fontId="53" fillId="13" borderId="0" applyNumberFormat="0" applyBorder="0" applyAlignment="0" applyProtection="0"/>
    <xf numFmtId="0" fontId="54" fillId="14" borderId="0" applyNumberFormat="0" applyBorder="0" applyAlignment="0" applyProtection="0"/>
    <xf numFmtId="0" fontId="55" fillId="15" borderId="0" applyNumberFormat="0" applyBorder="0" applyAlignment="0" applyProtection="0"/>
    <xf numFmtId="0" fontId="56" fillId="16" borderId="162" applyNumberFormat="0" applyAlignment="0" applyProtection="0"/>
    <xf numFmtId="0" fontId="57" fillId="17" borderId="163" applyNumberFormat="0" applyAlignment="0" applyProtection="0"/>
    <xf numFmtId="0" fontId="58" fillId="17" borderId="162" applyNumberFormat="0" applyAlignment="0" applyProtection="0"/>
    <xf numFmtId="0" fontId="59" fillId="0" borderId="164" applyNumberFormat="0" applyFill="0" applyAlignment="0" applyProtection="0"/>
    <xf numFmtId="0" fontId="60" fillId="18" borderId="165" applyNumberFormat="0" applyAlignment="0" applyProtection="0"/>
    <xf numFmtId="0" fontId="61" fillId="0" borderId="0" applyNumberFormat="0" applyFill="0" applyBorder="0" applyAlignment="0" applyProtection="0"/>
    <xf numFmtId="0" fontId="62" fillId="0" borderId="0" applyNumberFormat="0" applyFill="0" applyBorder="0" applyAlignment="0" applyProtection="0"/>
    <xf numFmtId="0" fontId="63" fillId="0" borderId="167" applyNumberFormat="0" applyFill="0" applyAlignment="0" applyProtection="0"/>
    <xf numFmtId="0" fontId="64"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64" fillId="23" borderId="0" applyNumberFormat="0" applyBorder="0" applyAlignment="0" applyProtection="0"/>
    <xf numFmtId="0" fontId="64" fillId="24"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64" fillId="27" borderId="0" applyNumberFormat="0" applyBorder="0" applyAlignment="0" applyProtection="0"/>
    <xf numFmtId="0" fontId="64" fillId="28" borderId="0" applyNumberFormat="0" applyBorder="0" applyAlignment="0" applyProtection="0"/>
    <xf numFmtId="0" fontId="2" fillId="29" borderId="0" applyNumberFormat="0" applyBorder="0" applyAlignment="0" applyProtection="0"/>
    <xf numFmtId="0" fontId="2" fillId="30" borderId="0" applyNumberFormat="0" applyBorder="0" applyAlignment="0" applyProtection="0"/>
    <xf numFmtId="0" fontId="64" fillId="31" borderId="0" applyNumberFormat="0" applyBorder="0" applyAlignment="0" applyProtection="0"/>
    <xf numFmtId="0" fontId="64" fillId="32"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64" fillId="35" borderId="0" applyNumberFormat="0" applyBorder="0" applyAlignment="0" applyProtection="0"/>
    <xf numFmtId="0" fontId="64"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64" fillId="39" borderId="0" applyNumberFormat="0" applyBorder="0" applyAlignment="0" applyProtection="0"/>
    <xf numFmtId="0" fontId="64"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64" fillId="43" borderId="0" applyNumberFormat="0" applyBorder="0" applyAlignment="0" applyProtection="0"/>
    <xf numFmtId="0" fontId="2" fillId="0" borderId="0"/>
    <xf numFmtId="41" fontId="2" fillId="0" borderId="0" applyFont="0" applyFill="0" applyBorder="0" applyAlignment="0" applyProtection="0"/>
    <xf numFmtId="0" fontId="2" fillId="19" borderId="166" applyNumberFormat="0" applyFont="0" applyAlignment="0" applyProtection="0"/>
    <xf numFmtId="172" fontId="7" fillId="0" borderId="0" applyFill="0" applyBorder="0" applyAlignment="0" applyProtection="0"/>
    <xf numFmtId="168" fontId="7" fillId="0" borderId="0" applyFill="0" applyBorder="0" applyAlignment="0" applyProtection="0"/>
    <xf numFmtId="43" fontId="36" fillId="0" borderId="0" applyFont="0" applyFill="0" applyBorder="0" applyAlignment="0" applyProtection="0"/>
    <xf numFmtId="0" fontId="1" fillId="0" borderId="0"/>
    <xf numFmtId="0" fontId="7" fillId="0" borderId="0"/>
    <xf numFmtId="0" fontId="1" fillId="0" borderId="0"/>
    <xf numFmtId="0" fontId="7" fillId="0" borderId="0"/>
    <xf numFmtId="172" fontId="7" fillId="0" borderId="0" applyFill="0" applyBorder="0" applyAlignment="0" applyProtection="0"/>
    <xf numFmtId="9" fontId="7" fillId="0" borderId="0" applyFont="0" applyFill="0" applyBorder="0" applyAlignment="0" applyProtection="0"/>
    <xf numFmtId="9" fontId="7"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1" fontId="1" fillId="0" borderId="0" applyFont="0" applyFill="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0" borderId="0"/>
    <xf numFmtId="41" fontId="1" fillId="0" borderId="0" applyFont="0" applyFill="0" applyBorder="0" applyAlignment="0" applyProtection="0"/>
    <xf numFmtId="0" fontId="1" fillId="19" borderId="166" applyNumberFormat="0" applyFont="0" applyAlignment="0" applyProtection="0"/>
  </cellStyleXfs>
  <cellXfs count="1262">
    <xf numFmtId="0" fontId="0" fillId="0" borderId="0" xfId="0"/>
    <xf numFmtId="3" fontId="0" fillId="0" borderId="0" xfId="0" applyNumberFormat="1"/>
    <xf numFmtId="166" fontId="0" fillId="0" borderId="0" xfId="0" applyNumberFormat="1"/>
    <xf numFmtId="0" fontId="9" fillId="0" borderId="0" xfId="0" applyFont="1" applyAlignment="1">
      <alignment horizontal="center"/>
    </xf>
    <xf numFmtId="0" fontId="9" fillId="0" borderId="0" xfId="0" applyFont="1"/>
    <xf numFmtId="3" fontId="9" fillId="0" borderId="0" xfId="0" applyNumberFormat="1" applyFont="1"/>
    <xf numFmtId="0" fontId="9" fillId="2" borderId="1" xfId="0" applyFont="1" applyFill="1" applyBorder="1"/>
    <xf numFmtId="3" fontId="9" fillId="2" borderId="2" xfId="0" applyNumberFormat="1" applyFont="1" applyFill="1" applyBorder="1"/>
    <xf numFmtId="3" fontId="9" fillId="2" borderId="3" xfId="0" applyNumberFormat="1" applyFont="1" applyFill="1" applyBorder="1"/>
    <xf numFmtId="3" fontId="10" fillId="0" borderId="0" xfId="0" applyNumberFormat="1" applyFont="1"/>
    <xf numFmtId="3" fontId="11" fillId="0" borderId="0" xfId="0" applyNumberFormat="1" applyFont="1"/>
    <xf numFmtId="0" fontId="0" fillId="0" borderId="0" xfId="0" applyFont="1"/>
    <xf numFmtId="166" fontId="12" fillId="0" borderId="0" xfId="0" applyNumberFormat="1" applyFont="1"/>
    <xf numFmtId="3" fontId="10" fillId="0" borderId="0" xfId="0" applyNumberFormat="1" applyFont="1" applyFill="1"/>
    <xf numFmtId="3" fontId="12" fillId="0" borderId="0" xfId="0" applyNumberFormat="1" applyFont="1"/>
    <xf numFmtId="0" fontId="12" fillId="0" borderId="0" xfId="0" applyFont="1"/>
    <xf numFmtId="3" fontId="0" fillId="0" borderId="0" xfId="0" applyNumberFormat="1" applyFill="1"/>
    <xf numFmtId="3" fontId="0" fillId="0" borderId="0" xfId="0" applyNumberFormat="1" applyFont="1"/>
    <xf numFmtId="3" fontId="0" fillId="0" borderId="0" xfId="0" applyNumberFormat="1" applyFont="1" applyAlignment="1">
      <alignment horizontal="center"/>
    </xf>
    <xf numFmtId="3" fontId="0" fillId="0" borderId="4" xfId="0" applyNumberFormat="1" applyBorder="1"/>
    <xf numFmtId="167" fontId="0" fillId="0" borderId="0" xfId="0" applyNumberFormat="1"/>
    <xf numFmtId="0" fontId="0" fillId="0" borderId="0" xfId="0" applyFont="1" applyAlignment="1">
      <alignment horizontal="center"/>
    </xf>
    <xf numFmtId="37" fontId="0" fillId="0" borderId="0" xfId="24" applyFont="1"/>
    <xf numFmtId="37" fontId="22" fillId="0" borderId="0" xfId="24" applyAlignment="1">
      <alignment horizontal="center"/>
    </xf>
    <xf numFmtId="170" fontId="0" fillId="0" borderId="0" xfId="10" applyNumberFormat="1" applyFont="1" applyFill="1" applyBorder="1" applyAlignment="1" applyProtection="1">
      <alignment horizontal="center"/>
    </xf>
    <xf numFmtId="37" fontId="0" fillId="0" borderId="0" xfId="24" applyFont="1" applyAlignment="1">
      <alignment horizontal="center"/>
    </xf>
    <xf numFmtId="37" fontId="0" fillId="0" borderId="6" xfId="24" applyFont="1" applyBorder="1"/>
    <xf numFmtId="37" fontId="0" fillId="0" borderId="7" xfId="24" applyFont="1" applyBorder="1"/>
    <xf numFmtId="170" fontId="0" fillId="0" borderId="7" xfId="10" applyNumberFormat="1" applyFont="1" applyFill="1" applyBorder="1" applyAlignment="1" applyProtection="1"/>
    <xf numFmtId="37" fontId="0" fillId="0" borderId="8" xfId="24" applyFont="1" applyBorder="1"/>
    <xf numFmtId="37" fontId="0" fillId="0" borderId="9" xfId="24" applyFont="1" applyBorder="1"/>
    <xf numFmtId="37" fontId="0" fillId="0" borderId="0" xfId="24" applyFont="1" applyBorder="1"/>
    <xf numFmtId="170" fontId="0" fillId="0" borderId="0" xfId="10" applyNumberFormat="1" applyFont="1" applyFill="1" applyBorder="1" applyAlignment="1" applyProtection="1"/>
    <xf numFmtId="37" fontId="0" fillId="0" borderId="10" xfId="24" applyFont="1" applyBorder="1"/>
    <xf numFmtId="14" fontId="9" fillId="0" borderId="11" xfId="10" applyNumberFormat="1" applyFont="1" applyFill="1" applyBorder="1" applyAlignment="1" applyProtection="1">
      <alignment horizontal="center"/>
    </xf>
    <xf numFmtId="14" fontId="9" fillId="0" borderId="12" xfId="24" applyNumberFormat="1" applyFont="1" applyBorder="1" applyAlignment="1">
      <alignment horizontal="center"/>
    </xf>
    <xf numFmtId="170" fontId="0" fillId="0" borderId="13" xfId="10" applyNumberFormat="1" applyFont="1" applyFill="1" applyBorder="1" applyAlignment="1" applyProtection="1"/>
    <xf numFmtId="37" fontId="9" fillId="0" borderId="0" xfId="24" applyFont="1" applyBorder="1"/>
    <xf numFmtId="171" fontId="9" fillId="0" borderId="5" xfId="24" applyNumberFormat="1" applyFont="1" applyFill="1" applyBorder="1"/>
    <xf numFmtId="37" fontId="9" fillId="0" borderId="9" xfId="24" applyFont="1" applyBorder="1"/>
    <xf numFmtId="37" fontId="0" fillId="0" borderId="5" xfId="24" applyFont="1" applyBorder="1"/>
    <xf numFmtId="37" fontId="0" fillId="0" borderId="0" xfId="24" applyFont="1" applyFill="1" applyBorder="1"/>
    <xf numFmtId="171" fontId="0" fillId="0" borderId="5" xfId="24" applyNumberFormat="1" applyFont="1" applyFill="1" applyBorder="1"/>
    <xf numFmtId="167" fontId="9" fillId="0" borderId="14" xfId="24" applyNumberFormat="1" applyFont="1" applyFill="1" applyBorder="1"/>
    <xf numFmtId="167" fontId="0" fillId="0" borderId="5" xfId="24" applyNumberFormat="1" applyFont="1" applyFill="1" applyBorder="1"/>
    <xf numFmtId="1" fontId="0" fillId="0" borderId="5" xfId="6" applyNumberFormat="1" applyFont="1" applyFill="1" applyBorder="1" applyAlignment="1" applyProtection="1"/>
    <xf numFmtId="167" fontId="0" fillId="0" borderId="5" xfId="6" applyNumberFormat="1" applyFont="1" applyFill="1" applyBorder="1" applyAlignment="1" applyProtection="1"/>
    <xf numFmtId="1" fontId="0" fillId="0" borderId="15" xfId="24" applyNumberFormat="1" applyFont="1" applyFill="1" applyBorder="1"/>
    <xf numFmtId="167" fontId="9" fillId="0" borderId="15" xfId="24" applyNumberFormat="1" applyFont="1" applyFill="1" applyBorder="1"/>
    <xf numFmtId="1" fontId="0" fillId="0" borderId="15" xfId="6" applyNumberFormat="1" applyFont="1" applyFill="1" applyBorder="1" applyAlignment="1" applyProtection="1"/>
    <xf numFmtId="167" fontId="0" fillId="0" borderId="9" xfId="6" applyNumberFormat="1" applyFont="1" applyFill="1" applyBorder="1" applyAlignment="1" applyProtection="1"/>
    <xf numFmtId="167" fontId="0" fillId="0" borderId="15" xfId="6" applyNumberFormat="1" applyFont="1" applyFill="1" applyBorder="1" applyAlignment="1" applyProtection="1"/>
    <xf numFmtId="167" fontId="0" fillId="0" borderId="10" xfId="24" applyNumberFormat="1" applyFont="1" applyFill="1" applyBorder="1"/>
    <xf numFmtId="167" fontId="9" fillId="0" borderId="5" xfId="24" applyNumberFormat="1" applyFont="1" applyFill="1" applyBorder="1"/>
    <xf numFmtId="167" fontId="9" fillId="0" borderId="10" xfId="24" applyNumberFormat="1" applyFont="1" applyFill="1" applyBorder="1"/>
    <xf numFmtId="167" fontId="9" fillId="0" borderId="16" xfId="24" applyNumberFormat="1" applyFont="1" applyFill="1" applyBorder="1"/>
    <xf numFmtId="167" fontId="9" fillId="0" borderId="17" xfId="24" applyNumberFormat="1" applyFont="1" applyFill="1" applyBorder="1"/>
    <xf numFmtId="37" fontId="9" fillId="0" borderId="18" xfId="24" applyFont="1" applyBorder="1"/>
    <xf numFmtId="37" fontId="0" fillId="0" borderId="11" xfId="24" applyFont="1" applyBorder="1"/>
    <xf numFmtId="170" fontId="0" fillId="0" borderId="11" xfId="10" applyNumberFormat="1" applyFont="1" applyFill="1" applyBorder="1" applyAlignment="1" applyProtection="1"/>
    <xf numFmtId="37" fontId="0" fillId="0" borderId="12" xfId="24" applyFont="1" applyBorder="1"/>
    <xf numFmtId="37" fontId="9" fillId="0" borderId="0" xfId="24" applyFont="1"/>
    <xf numFmtId="37" fontId="22" fillId="0" borderId="0" xfId="24"/>
    <xf numFmtId="167" fontId="0" fillId="0" borderId="19" xfId="6" applyNumberFormat="1" applyFont="1" applyFill="1" applyBorder="1" applyAlignment="1" applyProtection="1"/>
    <xf numFmtId="0" fontId="20" fillId="0" borderId="0" xfId="0" applyFont="1"/>
    <xf numFmtId="0" fontId="17" fillId="0" borderId="0" xfId="0" applyFont="1" applyFill="1" applyAlignment="1">
      <alignment horizontal="right"/>
    </xf>
    <xf numFmtId="0" fontId="17" fillId="0" borderId="0" xfId="0" applyFont="1" applyFill="1" applyAlignment="1">
      <alignment horizontal="center"/>
    </xf>
    <xf numFmtId="0" fontId="16" fillId="0" borderId="0" xfId="0" applyFont="1" applyFill="1" applyBorder="1" applyAlignment="1">
      <alignment horizontal="center"/>
    </xf>
    <xf numFmtId="0" fontId="16" fillId="0" borderId="0" xfId="0" applyFont="1" applyFill="1" applyAlignment="1">
      <alignment horizontal="center"/>
    </xf>
    <xf numFmtId="0" fontId="16" fillId="0" borderId="11" xfId="0" applyFont="1" applyFill="1" applyBorder="1" applyAlignment="1">
      <alignment horizontal="center"/>
    </xf>
    <xf numFmtId="0" fontId="16" fillId="0" borderId="13" xfId="0" applyFont="1" applyFill="1" applyBorder="1"/>
    <xf numFmtId="0" fontId="16" fillId="0" borderId="10" xfId="0" applyFont="1" applyFill="1" applyBorder="1" applyAlignment="1">
      <alignment horizontal="center"/>
    </xf>
    <xf numFmtId="0" fontId="16" fillId="0" borderId="5" xfId="0" applyFont="1" applyFill="1" applyBorder="1"/>
    <xf numFmtId="0" fontId="16" fillId="0" borderId="6" xfId="0" applyFont="1" applyFill="1" applyBorder="1" applyAlignment="1">
      <alignment horizontal="center"/>
    </xf>
    <xf numFmtId="0" fontId="18" fillId="0" borderId="5" xfId="0" applyFont="1" applyFill="1" applyBorder="1" applyAlignment="1">
      <alignment horizontal="left"/>
    </xf>
    <xf numFmtId="14" fontId="16" fillId="0" borderId="11" xfId="0" applyNumberFormat="1" applyFont="1" applyFill="1" applyBorder="1" applyAlignment="1">
      <alignment horizontal="center"/>
    </xf>
    <xf numFmtId="14" fontId="16" fillId="0" borderId="18" xfId="0" applyNumberFormat="1" applyFont="1" applyFill="1" applyBorder="1" applyAlignment="1">
      <alignment horizontal="center"/>
    </xf>
    <xf numFmtId="14" fontId="16" fillId="0" borderId="12" xfId="0" applyNumberFormat="1" applyFont="1" applyFill="1" applyBorder="1" applyAlignment="1">
      <alignment horizontal="center"/>
    </xf>
    <xf numFmtId="0" fontId="16" fillId="0" borderId="12" xfId="0" applyFont="1" applyFill="1" applyBorder="1" applyAlignment="1">
      <alignment horizontal="center"/>
    </xf>
    <xf numFmtId="0" fontId="16" fillId="0" borderId="0" xfId="0" applyFont="1" applyFill="1" applyBorder="1"/>
    <xf numFmtId="0" fontId="16" fillId="0" borderId="8" xfId="0" applyFont="1" applyFill="1" applyBorder="1"/>
    <xf numFmtId="0" fontId="16" fillId="0" borderId="10" xfId="0" applyFont="1" applyFill="1" applyBorder="1"/>
    <xf numFmtId="0" fontId="18" fillId="0" borderId="5" xfId="0" applyFont="1" applyFill="1" applyBorder="1"/>
    <xf numFmtId="3" fontId="16" fillId="0" borderId="0" xfId="0" applyNumberFormat="1" applyFont="1" applyFill="1" applyBorder="1"/>
    <xf numFmtId="3" fontId="16" fillId="0" borderId="10" xfId="0" applyNumberFormat="1" applyFont="1" applyFill="1" applyBorder="1"/>
    <xf numFmtId="169" fontId="16" fillId="0" borderId="10" xfId="0" applyNumberFormat="1" applyFont="1" applyFill="1" applyBorder="1"/>
    <xf numFmtId="169" fontId="16" fillId="0" borderId="0" xfId="0" applyNumberFormat="1" applyFont="1" applyFill="1" applyBorder="1"/>
    <xf numFmtId="169" fontId="16" fillId="0" borderId="0" xfId="0" applyNumberFormat="1" applyFont="1" applyFill="1" applyBorder="1" applyAlignment="1">
      <alignment horizontal="right"/>
    </xf>
    <xf numFmtId="169" fontId="16" fillId="0" borderId="10" xfId="0" applyNumberFormat="1" applyFont="1" applyFill="1" applyBorder="1" applyAlignment="1">
      <alignment horizontal="right"/>
    </xf>
    <xf numFmtId="169" fontId="16" fillId="0" borderId="11" xfId="0" applyNumberFormat="1" applyFont="1" applyFill="1" applyBorder="1"/>
    <xf numFmtId="169" fontId="16" fillId="0" borderId="12" xfId="0" applyNumberFormat="1" applyFont="1" applyFill="1" applyBorder="1"/>
    <xf numFmtId="169" fontId="16" fillId="0" borderId="12" xfId="0" applyNumberFormat="1" applyFont="1" applyFill="1" applyBorder="1" applyAlignment="1">
      <alignment horizontal="right"/>
    </xf>
    <xf numFmtId="169" fontId="16" fillId="0" borderId="11" xfId="0" applyNumberFormat="1" applyFont="1" applyFill="1" applyBorder="1" applyAlignment="1">
      <alignment horizontal="right"/>
    </xf>
    <xf numFmtId="169" fontId="16" fillId="0" borderId="20" xfId="0" applyNumberFormat="1" applyFont="1" applyFill="1" applyBorder="1"/>
    <xf numFmtId="169" fontId="16" fillId="0" borderId="17" xfId="0" applyNumberFormat="1" applyFont="1" applyFill="1" applyBorder="1"/>
    <xf numFmtId="0" fontId="16" fillId="0" borderId="0" xfId="0" applyFont="1" applyFill="1"/>
    <xf numFmtId="0" fontId="16" fillId="0" borderId="15" xfId="0" applyFont="1" applyFill="1" applyBorder="1"/>
    <xf numFmtId="3" fontId="16" fillId="0" borderId="20" xfId="0" applyNumberFormat="1" applyFont="1" applyFill="1" applyBorder="1"/>
    <xf numFmtId="169" fontId="16" fillId="0" borderId="20" xfId="0" applyNumberFormat="1" applyFont="1" applyFill="1" applyBorder="1" applyAlignment="1">
      <alignment horizontal="right"/>
    </xf>
    <xf numFmtId="168" fontId="16" fillId="0" borderId="20" xfId="7" applyFont="1" applyFill="1" applyBorder="1" applyAlignment="1" applyProtection="1"/>
    <xf numFmtId="168" fontId="16" fillId="0" borderId="17" xfId="7" applyFont="1" applyFill="1" applyBorder="1" applyAlignment="1" applyProtection="1"/>
    <xf numFmtId="3" fontId="16" fillId="0" borderId="17" xfId="0" applyNumberFormat="1" applyFont="1" applyFill="1" applyBorder="1"/>
    <xf numFmtId="169" fontId="16" fillId="0" borderId="0" xfId="0" applyNumberFormat="1" applyFont="1" applyFill="1"/>
    <xf numFmtId="0" fontId="20" fillId="0" borderId="0" xfId="0" applyFont="1" applyFill="1"/>
    <xf numFmtId="0" fontId="21" fillId="0" borderId="0" xfId="0" applyFont="1" applyFill="1" applyAlignment="1">
      <alignment horizontal="right"/>
    </xf>
    <xf numFmtId="3" fontId="16" fillId="0" borderId="0" xfId="0" applyNumberFormat="1" applyFont="1" applyFill="1" applyAlignment="1">
      <alignment horizontal="center"/>
    </xf>
    <xf numFmtId="0" fontId="20" fillId="0" borderId="0" xfId="0" applyFont="1" applyFill="1" applyAlignment="1">
      <alignment horizontal="center"/>
    </xf>
    <xf numFmtId="0" fontId="16" fillId="0" borderId="13" xfId="0" applyFont="1" applyFill="1" applyBorder="1" applyAlignment="1">
      <alignment horizontal="center"/>
    </xf>
    <xf numFmtId="3" fontId="16" fillId="0" borderId="13" xfId="0" applyNumberFormat="1" applyFont="1" applyFill="1" applyBorder="1" applyAlignment="1">
      <alignment horizontal="center"/>
    </xf>
    <xf numFmtId="0" fontId="20" fillId="0" borderId="13" xfId="0" applyFont="1" applyFill="1" applyBorder="1" applyAlignment="1">
      <alignment horizontal="center"/>
    </xf>
    <xf numFmtId="0" fontId="20" fillId="0" borderId="6" xfId="0" applyFont="1" applyFill="1" applyBorder="1"/>
    <xf numFmtId="0" fontId="20" fillId="0" borderId="8" xfId="0" applyFont="1" applyFill="1" applyBorder="1"/>
    <xf numFmtId="0" fontId="16" fillId="0" borderId="5" xfId="0" applyFont="1" applyFill="1" applyBorder="1" applyAlignment="1">
      <alignment horizontal="center"/>
    </xf>
    <xf numFmtId="3" fontId="16" fillId="0" borderId="5" xfId="0" applyNumberFormat="1" applyFont="1" applyFill="1" applyBorder="1" applyAlignment="1">
      <alignment horizontal="center"/>
    </xf>
    <xf numFmtId="0" fontId="20" fillId="0" borderId="5" xfId="0" applyFont="1" applyFill="1" applyBorder="1" applyAlignment="1">
      <alignment horizontal="center"/>
    </xf>
    <xf numFmtId="0" fontId="20" fillId="0" borderId="15" xfId="0" applyFont="1" applyFill="1" applyBorder="1" applyAlignment="1">
      <alignment horizontal="center"/>
    </xf>
    <xf numFmtId="0" fontId="16" fillId="0" borderId="15" xfId="0" applyFont="1" applyFill="1" applyBorder="1" applyAlignment="1">
      <alignment horizontal="center"/>
    </xf>
    <xf numFmtId="3" fontId="16" fillId="0" borderId="15" xfId="0" applyNumberFormat="1" applyFont="1" applyFill="1" applyBorder="1" applyAlignment="1">
      <alignment horizontal="center"/>
    </xf>
    <xf numFmtId="3" fontId="16" fillId="0" borderId="13" xfId="0" applyNumberFormat="1" applyFont="1" applyFill="1" applyBorder="1"/>
    <xf numFmtId="0" fontId="20" fillId="0" borderId="13" xfId="0" applyFont="1" applyFill="1" applyBorder="1"/>
    <xf numFmtId="3" fontId="16" fillId="0" borderId="5" xfId="0" applyNumberFormat="1" applyFont="1" applyFill="1" applyBorder="1"/>
    <xf numFmtId="0" fontId="20" fillId="0" borderId="5" xfId="0" applyFont="1" applyFill="1" applyBorder="1"/>
    <xf numFmtId="3" fontId="20" fillId="0" borderId="5" xfId="0" applyNumberFormat="1" applyFont="1" applyFill="1" applyBorder="1"/>
    <xf numFmtId="3" fontId="20" fillId="0" borderId="0" xfId="0" applyNumberFormat="1" applyFont="1" applyFill="1"/>
    <xf numFmtId="3" fontId="16" fillId="0" borderId="15" xfId="0" applyNumberFormat="1" applyFont="1" applyFill="1" applyBorder="1"/>
    <xf numFmtId="0" fontId="20" fillId="0" borderId="15" xfId="0" applyFont="1" applyFill="1" applyBorder="1"/>
    <xf numFmtId="0" fontId="16" fillId="0" borderId="14" xfId="0" applyFont="1" applyFill="1" applyBorder="1"/>
    <xf numFmtId="3" fontId="16" fillId="0" borderId="14" xfId="0" applyNumberFormat="1" applyFont="1" applyFill="1" applyBorder="1"/>
    <xf numFmtId="3" fontId="20" fillId="0" borderId="26" xfId="0" applyNumberFormat="1" applyFont="1" applyFill="1" applyBorder="1"/>
    <xf numFmtId="3" fontId="16" fillId="0" borderId="0" xfId="0" applyNumberFormat="1" applyFont="1" applyFill="1"/>
    <xf numFmtId="0" fontId="20" fillId="3" borderId="0" xfId="12" applyFont="1" applyFill="1" applyBorder="1"/>
    <xf numFmtId="0" fontId="20" fillId="0" borderId="0" xfId="12" applyFont="1" applyFill="1" applyBorder="1"/>
    <xf numFmtId="0" fontId="20" fillId="4" borderId="0" xfId="12" applyFont="1" applyFill="1"/>
    <xf numFmtId="0" fontId="23" fillId="4" borderId="0" xfId="12" applyFont="1" applyFill="1" applyAlignment="1">
      <alignment horizontal="center"/>
    </xf>
    <xf numFmtId="0" fontId="20" fillId="0" borderId="0" xfId="12" applyFont="1"/>
    <xf numFmtId="0" fontId="24" fillId="0" borderId="0" xfId="12" applyFont="1"/>
    <xf numFmtId="0" fontId="25" fillId="0" borderId="0" xfId="12" applyFont="1"/>
    <xf numFmtId="0" fontId="26" fillId="0" borderId="0" xfId="12" applyFont="1"/>
    <xf numFmtId="0" fontId="26" fillId="0" borderId="0" xfId="12" applyFont="1" applyAlignment="1">
      <alignment horizontal="center"/>
    </xf>
    <xf numFmtId="0" fontId="27" fillId="0" borderId="0" xfId="12" applyFont="1" applyFill="1" applyAlignment="1">
      <alignment horizontal="center" vertical="center"/>
    </xf>
    <xf numFmtId="0" fontId="29" fillId="0" borderId="0" xfId="14" applyFont="1" applyAlignment="1"/>
    <xf numFmtId="3" fontId="26" fillId="0" borderId="0" xfId="12" applyNumberFormat="1" applyFont="1" applyAlignment="1">
      <alignment horizontal="center"/>
    </xf>
    <xf numFmtId="0" fontId="25" fillId="0" borderId="27" xfId="12" applyFont="1" applyBorder="1"/>
    <xf numFmtId="0" fontId="26" fillId="0" borderId="27" xfId="12" applyFont="1" applyBorder="1"/>
    <xf numFmtId="0" fontId="26" fillId="0" borderId="27" xfId="12" applyFont="1" applyBorder="1" applyAlignment="1">
      <alignment horizontal="center"/>
    </xf>
    <xf numFmtId="0" fontId="27" fillId="0" borderId="27" xfId="12" applyFont="1" applyFill="1" applyBorder="1" applyAlignment="1">
      <alignment horizontal="center" vertical="center"/>
    </xf>
    <xf numFmtId="4" fontId="25" fillId="0" borderId="0" xfId="14" applyNumberFormat="1" applyFont="1" applyFill="1" applyAlignment="1">
      <alignment horizontal="left"/>
    </xf>
    <xf numFmtId="0" fontId="21" fillId="5" borderId="0" xfId="14" applyFont="1" applyFill="1" applyBorder="1" applyAlignment="1"/>
    <xf numFmtId="0" fontId="20" fillId="0" borderId="0" xfId="12" applyFont="1" applyFill="1"/>
    <xf numFmtId="0" fontId="21" fillId="0" borderId="0" xfId="12" applyFont="1" applyFill="1" applyAlignment="1">
      <alignment horizontal="left"/>
    </xf>
    <xf numFmtId="0" fontId="21" fillId="3" borderId="0" xfId="12" applyFont="1" applyFill="1" applyBorder="1" applyAlignment="1">
      <alignment horizontal="center"/>
    </xf>
    <xf numFmtId="173" fontId="21" fillId="5" borderId="0" xfId="14" applyNumberFormat="1" applyFont="1" applyFill="1" applyBorder="1" applyAlignment="1">
      <alignment horizontal="left"/>
    </xf>
    <xf numFmtId="0" fontId="25" fillId="0" borderId="0" xfId="12" applyFont="1" applyAlignment="1">
      <alignment horizontal="left"/>
    </xf>
    <xf numFmtId="14" fontId="21" fillId="3" borderId="0" xfId="12" applyNumberFormat="1" applyFont="1" applyFill="1" applyBorder="1" applyAlignment="1">
      <alignment horizontal="center"/>
    </xf>
    <xf numFmtId="0" fontId="25" fillId="0" borderId="0" xfId="12" applyFont="1" applyAlignment="1">
      <alignment vertical="center"/>
    </xf>
    <xf numFmtId="0" fontId="26" fillId="3" borderId="0" xfId="12" applyFont="1" applyFill="1" applyBorder="1" applyAlignment="1">
      <alignment horizontal="right"/>
    </xf>
    <xf numFmtId="0" fontId="26" fillId="0" borderId="0" xfId="12" applyFont="1" applyAlignment="1">
      <alignment vertical="center"/>
    </xf>
    <xf numFmtId="0" fontId="26" fillId="0" borderId="0" xfId="12" applyFont="1" applyFill="1"/>
    <xf numFmtId="0" fontId="27" fillId="0" borderId="27" xfId="12" applyFont="1" applyBorder="1"/>
    <xf numFmtId="0" fontId="26" fillId="0" borderId="27" xfId="12" applyFont="1" applyFill="1" applyBorder="1"/>
    <xf numFmtId="3" fontId="30" fillId="0" borderId="0" xfId="12" applyNumberFormat="1" applyFont="1"/>
    <xf numFmtId="10" fontId="25" fillId="0" borderId="0" xfId="12" applyNumberFormat="1" applyFont="1"/>
    <xf numFmtId="10" fontId="26" fillId="0" borderId="0" xfId="12" applyNumberFormat="1" applyFont="1" applyAlignment="1">
      <alignment horizontal="left"/>
    </xf>
    <xf numFmtId="175" fontId="26" fillId="0" borderId="0" xfId="8" applyNumberFormat="1" applyFont="1" applyAlignment="1">
      <alignment horizontal="left"/>
    </xf>
    <xf numFmtId="10" fontId="25" fillId="0" borderId="0" xfId="12" applyNumberFormat="1" applyFont="1" applyAlignment="1">
      <alignment horizontal="left"/>
    </xf>
    <xf numFmtId="173" fontId="25" fillId="6" borderId="0" xfId="12" applyNumberFormat="1" applyFont="1" applyFill="1" applyAlignment="1">
      <alignment horizontal="center" vertical="center"/>
    </xf>
    <xf numFmtId="0" fontId="25" fillId="0" borderId="0" xfId="12" applyFont="1" applyAlignment="1"/>
    <xf numFmtId="0" fontId="26" fillId="0" borderId="0" xfId="12" applyFont="1" applyFill="1" applyBorder="1"/>
    <xf numFmtId="0" fontId="25" fillId="6" borderId="28" xfId="12" applyFont="1" applyFill="1" applyBorder="1" applyAlignment="1">
      <alignment horizontal="center" vertical="center"/>
    </xf>
    <xf numFmtId="0" fontId="25" fillId="6" borderId="29" xfId="12" applyFont="1" applyFill="1" applyBorder="1" applyAlignment="1">
      <alignment horizontal="center" vertical="center"/>
    </xf>
    <xf numFmtId="3" fontId="21" fillId="7" borderId="29" xfId="12" applyNumberFormat="1" applyFont="1" applyFill="1" applyBorder="1" applyAlignment="1">
      <alignment horizontal="center" vertical="center" wrapText="1"/>
    </xf>
    <xf numFmtId="10" fontId="21" fillId="7" borderId="29" xfId="12" applyNumberFormat="1" applyFont="1" applyFill="1" applyBorder="1" applyAlignment="1">
      <alignment horizontal="center" vertical="center" wrapText="1"/>
    </xf>
    <xf numFmtId="10" fontId="21" fillId="7" borderId="30" xfId="12" applyNumberFormat="1" applyFont="1" applyFill="1" applyBorder="1" applyAlignment="1">
      <alignment horizontal="center" vertical="center" wrapText="1"/>
    </xf>
    <xf numFmtId="4" fontId="25" fillId="6" borderId="29" xfId="12" applyNumberFormat="1" applyFont="1" applyFill="1" applyBorder="1" applyAlignment="1">
      <alignment horizontal="center" vertical="center" wrapText="1"/>
    </xf>
    <xf numFmtId="0" fontId="20" fillId="0" borderId="0" xfId="12" applyFont="1" applyAlignment="1">
      <alignment horizontal="center" vertical="center"/>
    </xf>
    <xf numFmtId="0" fontId="24" fillId="0" borderId="0" xfId="12" applyFont="1" applyAlignment="1">
      <alignment horizontal="center" vertical="center"/>
    </xf>
    <xf numFmtId="0" fontId="21" fillId="0" borderId="0" xfId="12" applyFont="1" applyFill="1" applyAlignment="1">
      <alignment horizontal="right"/>
    </xf>
    <xf numFmtId="0" fontId="21" fillId="0" borderId="0" xfId="12" applyFont="1" applyFill="1" applyAlignment="1">
      <alignment horizontal="center"/>
    </xf>
    <xf numFmtId="3" fontId="21" fillId="0" borderId="0" xfId="12" applyNumberFormat="1" applyFont="1" applyFill="1" applyAlignment="1">
      <alignment horizontal="center"/>
    </xf>
    <xf numFmtId="0" fontId="20" fillId="0" borderId="0" xfId="12" applyFont="1" applyFill="1" applyAlignment="1">
      <alignment horizontal="center"/>
    </xf>
    <xf numFmtId="0" fontId="24" fillId="0" borderId="0" xfId="12" applyFont="1" applyFill="1" applyAlignment="1">
      <alignment horizontal="center"/>
    </xf>
    <xf numFmtId="0" fontId="21" fillId="0" borderId="31" xfId="12" applyFont="1" applyFill="1" applyBorder="1" applyAlignment="1">
      <alignment horizontal="left"/>
    </xf>
    <xf numFmtId="0" fontId="21" fillId="0" borderId="32" xfId="12" applyFont="1" applyFill="1" applyBorder="1"/>
    <xf numFmtId="3" fontId="21" fillId="0" borderId="33" xfId="12" applyNumberFormat="1" applyFont="1" applyFill="1" applyBorder="1" applyAlignment="1">
      <alignment horizontal="right"/>
    </xf>
    <xf numFmtId="176" fontId="21" fillId="0" borderId="34" xfId="12" applyNumberFormat="1" applyFont="1" applyFill="1" applyBorder="1" applyAlignment="1">
      <alignment horizontal="right"/>
    </xf>
    <xf numFmtId="4" fontId="27" fillId="0" borderId="33" xfId="12" applyNumberFormat="1" applyFont="1" applyFill="1" applyBorder="1"/>
    <xf numFmtId="3" fontId="21" fillId="0" borderId="33" xfId="12" applyNumberFormat="1" applyFont="1" applyFill="1" applyBorder="1"/>
    <xf numFmtId="3" fontId="24" fillId="0" borderId="0" xfId="12" applyNumberFormat="1" applyFont="1" applyFill="1" applyBorder="1"/>
    <xf numFmtId="0" fontId="21" fillId="0" borderId="35" xfId="12" applyFont="1" applyFill="1" applyBorder="1" applyAlignment="1">
      <alignment horizontal="left"/>
    </xf>
    <xf numFmtId="0" fontId="21" fillId="0" borderId="36" xfId="12" applyFont="1" applyFill="1" applyBorder="1" applyAlignment="1"/>
    <xf numFmtId="3" fontId="21" fillId="0" borderId="37" xfId="12" applyNumberFormat="1" applyFont="1" applyFill="1" applyBorder="1" applyAlignment="1">
      <alignment horizontal="right"/>
    </xf>
    <xf numFmtId="176" fontId="21" fillId="0" borderId="37" xfId="12" applyNumberFormat="1" applyFont="1" applyFill="1" applyBorder="1" applyAlignment="1">
      <alignment horizontal="right"/>
    </xf>
    <xf numFmtId="176" fontId="20" fillId="0" borderId="37" xfId="12" applyNumberFormat="1" applyFont="1" applyFill="1" applyBorder="1" applyAlignment="1">
      <alignment horizontal="right"/>
    </xf>
    <xf numFmtId="4" fontId="27" fillId="0" borderId="37" xfId="12" applyNumberFormat="1" applyFont="1" applyFill="1" applyBorder="1"/>
    <xf numFmtId="0" fontId="21" fillId="0" borderId="35" xfId="12" applyFont="1" applyFill="1" applyBorder="1"/>
    <xf numFmtId="0" fontId="21" fillId="0" borderId="36" xfId="12" applyFont="1" applyFill="1" applyBorder="1"/>
    <xf numFmtId="0" fontId="21" fillId="0" borderId="0" xfId="12" applyFont="1" applyFill="1" applyBorder="1"/>
    <xf numFmtId="0" fontId="20" fillId="0" borderId="35" xfId="12" applyFont="1" applyFill="1" applyBorder="1" applyAlignment="1">
      <alignment horizontal="left"/>
    </xf>
    <xf numFmtId="0" fontId="20" fillId="0" borderId="36" xfId="12" applyFont="1" applyFill="1" applyBorder="1"/>
    <xf numFmtId="3" fontId="20" fillId="0" borderId="37" xfId="12" applyNumberFormat="1" applyFont="1" applyFill="1" applyBorder="1" applyAlignment="1">
      <alignment horizontal="right"/>
    </xf>
    <xf numFmtId="4" fontId="24" fillId="0" borderId="37" xfId="12" applyNumberFormat="1" applyFont="1" applyFill="1" applyBorder="1"/>
    <xf numFmtId="0" fontId="20" fillId="0" borderId="35" xfId="12" applyFont="1" applyFill="1" applyBorder="1"/>
    <xf numFmtId="0" fontId="20" fillId="0" borderId="38" xfId="12" applyFont="1" applyFill="1" applyBorder="1" applyAlignment="1">
      <alignment horizontal="left"/>
    </xf>
    <xf numFmtId="0" fontId="20" fillId="0" borderId="36" xfId="12" applyFont="1" applyFill="1" applyBorder="1" applyAlignment="1">
      <alignment horizontal="left"/>
    </xf>
    <xf numFmtId="0" fontId="21" fillId="0" borderId="36" xfId="12" applyFont="1" applyFill="1" applyBorder="1" applyAlignment="1">
      <alignment horizontal="left"/>
    </xf>
    <xf numFmtId="0" fontId="21" fillId="0" borderId="35" xfId="12" applyFont="1" applyFill="1" applyBorder="1" applyAlignment="1"/>
    <xf numFmtId="0" fontId="21" fillId="0" borderId="35" xfId="12" applyFont="1" applyFill="1" applyBorder="1" applyAlignment="1">
      <alignment vertical="center"/>
    </xf>
    <xf numFmtId="0" fontId="21" fillId="0" borderId="36" xfId="12" applyFont="1" applyFill="1" applyBorder="1" applyAlignment="1">
      <alignment vertical="center"/>
    </xf>
    <xf numFmtId="0" fontId="20" fillId="0" borderId="35" xfId="12" applyFont="1" applyFill="1" applyBorder="1" applyAlignment="1">
      <alignment vertical="center"/>
    </xf>
    <xf numFmtId="0" fontId="20" fillId="0" borderId="36" xfId="12" applyFont="1" applyFill="1" applyBorder="1" applyAlignment="1">
      <alignment vertical="center"/>
    </xf>
    <xf numFmtId="0" fontId="20" fillId="0" borderId="38" xfId="12" applyFont="1" applyFill="1" applyBorder="1" applyAlignment="1">
      <alignment vertical="center"/>
    </xf>
    <xf numFmtId="0" fontId="20" fillId="0" borderId="36" xfId="12" applyFont="1" applyFill="1" applyBorder="1" applyAlignment="1"/>
    <xf numFmtId="0" fontId="21" fillId="0" borderId="38" xfId="12" applyFont="1" applyFill="1" applyBorder="1" applyAlignment="1">
      <alignment horizontal="left" vertical="center"/>
    </xf>
    <xf numFmtId="0" fontId="20" fillId="0" borderId="38" xfId="12" applyFont="1" applyFill="1" applyBorder="1" applyAlignment="1">
      <alignment horizontal="left" vertical="center"/>
    </xf>
    <xf numFmtId="0" fontId="31" fillId="0" borderId="0" xfId="12" applyFont="1" applyFill="1" applyAlignment="1">
      <alignment vertical="center"/>
    </xf>
    <xf numFmtId="0" fontId="21" fillId="0" borderId="38" xfId="12" applyFont="1" applyFill="1" applyBorder="1" applyAlignment="1">
      <alignment horizontal="left"/>
    </xf>
    <xf numFmtId="4" fontId="20" fillId="0" borderId="37" xfId="12" applyNumberFormat="1" applyFont="1" applyFill="1" applyBorder="1"/>
    <xf numFmtId="0" fontId="20" fillId="0" borderId="39" xfId="12" applyFont="1" applyFill="1" applyBorder="1"/>
    <xf numFmtId="3" fontId="21" fillId="0" borderId="40" xfId="12" applyNumberFormat="1" applyFont="1" applyFill="1" applyBorder="1"/>
    <xf numFmtId="3" fontId="20" fillId="0" borderId="40" xfId="12" applyNumberFormat="1" applyFont="1" applyFill="1" applyBorder="1"/>
    <xf numFmtId="4" fontId="21" fillId="0" borderId="40" xfId="12" applyNumberFormat="1" applyFont="1" applyFill="1" applyBorder="1"/>
    <xf numFmtId="0" fontId="20" fillId="0" borderId="41" xfId="12" applyFont="1" applyFill="1" applyBorder="1"/>
    <xf numFmtId="0" fontId="20" fillId="0" borderId="42" xfId="12" applyFont="1" applyFill="1" applyBorder="1"/>
    <xf numFmtId="3" fontId="20" fillId="0" borderId="43" xfId="12" applyNumberFormat="1" applyFont="1" applyFill="1" applyBorder="1" applyAlignment="1">
      <alignment horizontal="right"/>
    </xf>
    <xf numFmtId="176" fontId="20" fillId="0" borderId="43" xfId="12" applyNumberFormat="1" applyFont="1" applyFill="1" applyBorder="1" applyAlignment="1">
      <alignment horizontal="right"/>
    </xf>
    <xf numFmtId="4" fontId="20" fillId="0" borderId="43" xfId="12" applyNumberFormat="1" applyFont="1" applyFill="1" applyBorder="1"/>
    <xf numFmtId="0" fontId="20" fillId="0" borderId="32" xfId="12" applyFont="1" applyFill="1" applyBorder="1"/>
    <xf numFmtId="3" fontId="20" fillId="0" borderId="33" xfId="12" applyNumberFormat="1" applyFont="1" applyFill="1" applyBorder="1"/>
    <xf numFmtId="176" fontId="20" fillId="0" borderId="33" xfId="12" applyNumberFormat="1" applyFont="1" applyFill="1" applyBorder="1" applyAlignment="1">
      <alignment horizontal="right"/>
    </xf>
    <xf numFmtId="4" fontId="21" fillId="0" borderId="33" xfId="12" applyNumberFormat="1" applyFont="1" applyFill="1" applyBorder="1"/>
    <xf numFmtId="4" fontId="21" fillId="0" borderId="37" xfId="12" applyNumberFormat="1" applyFont="1" applyFill="1" applyBorder="1"/>
    <xf numFmtId="3" fontId="21" fillId="0" borderId="37" xfId="12" applyNumberFormat="1" applyFont="1" applyFill="1" applyBorder="1"/>
    <xf numFmtId="3" fontId="20" fillId="0" borderId="37" xfId="12" applyNumberFormat="1" applyFont="1" applyFill="1" applyBorder="1"/>
    <xf numFmtId="0" fontId="20" fillId="0" borderId="38" xfId="12" applyFont="1" applyFill="1" applyBorder="1"/>
    <xf numFmtId="0" fontId="37" fillId="0" borderId="35" xfId="12" applyFont="1" applyFill="1" applyBorder="1" applyAlignment="1">
      <alignment horizontal="left"/>
    </xf>
    <xf numFmtId="0" fontId="20" fillId="0" borderId="41" xfId="12" applyFont="1" applyFill="1" applyBorder="1" applyAlignment="1">
      <alignment horizontal="left"/>
    </xf>
    <xf numFmtId="3" fontId="21" fillId="0" borderId="43" xfId="12" applyNumberFormat="1" applyFont="1" applyFill="1" applyBorder="1" applyAlignment="1">
      <alignment horizontal="right"/>
    </xf>
    <xf numFmtId="0" fontId="20" fillId="0" borderId="0" xfId="12" applyFont="1" applyFill="1" applyAlignment="1">
      <alignment horizontal="left"/>
    </xf>
    <xf numFmtId="0" fontId="20" fillId="0" borderId="0" xfId="12" applyFont="1" applyFill="1" applyAlignment="1">
      <alignment horizontal="right"/>
    </xf>
    <xf numFmtId="0" fontId="20" fillId="3" borderId="0" xfId="12" applyFont="1" applyFill="1"/>
    <xf numFmtId="0" fontId="24" fillId="0" borderId="0" xfId="12" applyFont="1" applyFill="1"/>
    <xf numFmtId="0" fontId="20" fillId="7" borderId="0" xfId="12" applyFont="1" applyFill="1" applyAlignment="1">
      <alignment horizontal="right"/>
    </xf>
    <xf numFmtId="0" fontId="20" fillId="7" borderId="0" xfId="12" applyFont="1" applyFill="1"/>
    <xf numFmtId="3" fontId="20" fillId="0" borderId="0" xfId="12" applyNumberFormat="1" applyFont="1" applyFill="1"/>
    <xf numFmtId="3" fontId="21" fillId="0" borderId="0" xfId="12" applyNumberFormat="1" applyFont="1" applyFill="1"/>
    <xf numFmtId="0" fontId="21" fillId="0" borderId="44" xfId="12" applyFont="1" applyFill="1" applyBorder="1" applyAlignment="1"/>
    <xf numFmtId="0" fontId="20" fillId="0" borderId="33" xfId="12" applyFont="1" applyFill="1" applyBorder="1"/>
    <xf numFmtId="0" fontId="20" fillId="0" borderId="45" xfId="12" applyFont="1" applyFill="1" applyBorder="1"/>
    <xf numFmtId="0" fontId="21" fillId="0" borderId="46" xfId="12" applyFont="1" applyFill="1" applyBorder="1" applyAlignment="1"/>
    <xf numFmtId="0" fontId="20" fillId="0" borderId="37" xfId="12" applyFont="1" applyFill="1" applyBorder="1"/>
    <xf numFmtId="0" fontId="20" fillId="0" borderId="47" xfId="12" applyFont="1" applyFill="1" applyBorder="1"/>
    <xf numFmtId="0" fontId="27" fillId="0" borderId="48" xfId="12" applyFont="1" applyFill="1" applyBorder="1" applyAlignment="1"/>
    <xf numFmtId="3" fontId="24" fillId="0" borderId="43" xfId="12" applyNumberFormat="1" applyFont="1" applyFill="1" applyBorder="1"/>
    <xf numFmtId="0" fontId="24" fillId="0" borderId="43" xfId="12" applyFont="1" applyFill="1" applyBorder="1"/>
    <xf numFmtId="3" fontId="27" fillId="0" borderId="43" xfId="12" applyNumberFormat="1" applyFont="1" applyFill="1" applyBorder="1"/>
    <xf numFmtId="0" fontId="24" fillId="0" borderId="49" xfId="12" applyFont="1" applyFill="1" applyBorder="1"/>
    <xf numFmtId="0" fontId="27" fillId="0" borderId="0" xfId="12" applyFont="1" applyFill="1" applyBorder="1" applyAlignment="1"/>
    <xf numFmtId="0" fontId="24" fillId="0" borderId="0" xfId="12" applyFont="1" applyFill="1" applyBorder="1"/>
    <xf numFmtId="0" fontId="20" fillId="4" borderId="0" xfId="12" applyFont="1" applyFill="1" applyAlignment="1">
      <alignment horizontal="center"/>
    </xf>
    <xf numFmtId="0" fontId="26" fillId="0" borderId="0" xfId="12" applyFont="1" applyFill="1" applyAlignment="1">
      <alignment horizontal="center"/>
    </xf>
    <xf numFmtId="0" fontId="26" fillId="0" borderId="27" xfId="12" applyFont="1" applyFill="1" applyBorder="1" applyAlignment="1">
      <alignment horizontal="center"/>
    </xf>
    <xf numFmtId="0" fontId="21" fillId="0" borderId="0" xfId="12" applyFont="1" applyFill="1" applyBorder="1" applyAlignment="1">
      <alignment horizontal="center"/>
    </xf>
    <xf numFmtId="0" fontId="25" fillId="0" borderId="0" xfId="12" applyFont="1" applyFill="1" applyAlignment="1">
      <alignment horizontal="left"/>
    </xf>
    <xf numFmtId="14" fontId="21" fillId="0" borderId="0" xfId="12" applyNumberFormat="1" applyFont="1" applyFill="1" applyBorder="1" applyAlignment="1">
      <alignment horizontal="center"/>
    </xf>
    <xf numFmtId="0" fontId="21" fillId="0" borderId="0" xfId="12" applyFont="1" applyFill="1" applyBorder="1" applyAlignment="1">
      <alignment horizontal="right"/>
    </xf>
    <xf numFmtId="3" fontId="30" fillId="0" borderId="0" xfId="12" applyNumberFormat="1" applyFont="1" applyFill="1"/>
    <xf numFmtId="10" fontId="25" fillId="0" borderId="0" xfId="12" applyNumberFormat="1" applyFont="1" applyFill="1"/>
    <xf numFmtId="10" fontId="26" fillId="0" borderId="0" xfId="12" applyNumberFormat="1" applyFont="1" applyFill="1" applyAlignment="1">
      <alignment horizontal="left"/>
    </xf>
    <xf numFmtId="10" fontId="26" fillId="0" borderId="0" xfId="12" applyNumberFormat="1" applyFont="1" applyFill="1" applyAlignment="1">
      <alignment horizontal="center"/>
    </xf>
    <xf numFmtId="173" fontId="25" fillId="6" borderId="0" xfId="12" applyNumberFormat="1" applyFont="1" applyFill="1" applyAlignment="1">
      <alignment horizontal="center"/>
    </xf>
    <xf numFmtId="0" fontId="25" fillId="0" borderId="29" xfId="12" applyFont="1" applyFill="1" applyBorder="1" applyAlignment="1">
      <alignment horizontal="center" vertical="center"/>
    </xf>
    <xf numFmtId="3" fontId="21" fillId="0" borderId="29" xfId="12" applyNumberFormat="1" applyFont="1" applyFill="1" applyBorder="1" applyAlignment="1">
      <alignment horizontal="center" vertical="center" wrapText="1"/>
    </xf>
    <xf numFmtId="10" fontId="21" fillId="0" borderId="29" xfId="12" applyNumberFormat="1" applyFont="1" applyFill="1" applyBorder="1" applyAlignment="1">
      <alignment horizontal="center" vertical="center" wrapText="1"/>
    </xf>
    <xf numFmtId="10" fontId="21" fillId="0" borderId="30" xfId="12" applyNumberFormat="1" applyFont="1" applyFill="1" applyBorder="1" applyAlignment="1">
      <alignment horizontal="center" vertical="center" wrapText="1"/>
    </xf>
    <xf numFmtId="4" fontId="25" fillId="0" borderId="29" xfId="12" applyNumberFormat="1" applyFont="1" applyFill="1" applyBorder="1" applyAlignment="1">
      <alignment horizontal="center" vertical="center" wrapText="1"/>
    </xf>
    <xf numFmtId="4" fontId="25" fillId="0" borderId="50" xfId="12" applyNumberFormat="1" applyFont="1" applyFill="1" applyBorder="1" applyAlignment="1">
      <alignment horizontal="center" vertical="center" wrapText="1"/>
    </xf>
    <xf numFmtId="0" fontId="20" fillId="0" borderId="0" xfId="12" applyFont="1" applyFill="1" applyAlignment="1">
      <alignment horizontal="center" vertical="center"/>
    </xf>
    <xf numFmtId="0" fontId="20" fillId="3" borderId="0" xfId="12" applyFont="1" applyFill="1" applyAlignment="1">
      <alignment horizontal="center" vertical="center"/>
    </xf>
    <xf numFmtId="0" fontId="20" fillId="3" borderId="0" xfId="12" applyFont="1" applyFill="1" applyAlignment="1">
      <alignment horizontal="center"/>
    </xf>
    <xf numFmtId="0" fontId="21" fillId="0" borderId="51" xfId="12" applyFont="1" applyFill="1" applyBorder="1" applyAlignment="1">
      <alignment horizontal="left"/>
    </xf>
    <xf numFmtId="0" fontId="21" fillId="0" borderId="52" xfId="12" applyFont="1" applyFill="1" applyBorder="1" applyAlignment="1">
      <alignment horizontal="left"/>
    </xf>
    <xf numFmtId="3" fontId="21" fillId="0" borderId="52" xfId="12" applyNumberFormat="1" applyFont="1" applyFill="1" applyBorder="1"/>
    <xf numFmtId="176" fontId="21" fillId="0" borderId="52" xfId="12" applyNumberFormat="1" applyFont="1" applyFill="1" applyBorder="1" applyAlignment="1">
      <alignment horizontal="right"/>
    </xf>
    <xf numFmtId="176" fontId="21" fillId="0" borderId="53" xfId="12" applyNumberFormat="1" applyFont="1" applyFill="1" applyBorder="1" applyAlignment="1">
      <alignment horizontal="center"/>
    </xf>
    <xf numFmtId="4" fontId="21" fillId="0" borderId="52" xfId="12" applyNumberFormat="1" applyFont="1" applyFill="1" applyBorder="1"/>
    <xf numFmtId="9" fontId="21" fillId="0" borderId="54" xfId="12" applyNumberFormat="1" applyFont="1" applyFill="1" applyBorder="1" applyAlignment="1">
      <alignment horizontal="right"/>
    </xf>
    <xf numFmtId="0" fontId="21" fillId="0" borderId="55" xfId="12" applyFont="1" applyFill="1" applyBorder="1" applyAlignment="1">
      <alignment horizontal="left"/>
    </xf>
    <xf numFmtId="0" fontId="21" fillId="0" borderId="56" xfId="12" applyFont="1" applyFill="1" applyBorder="1" applyAlignment="1">
      <alignment horizontal="left"/>
    </xf>
    <xf numFmtId="3" fontId="21" fillId="0" borderId="56" xfId="12" applyNumberFormat="1" applyFont="1" applyFill="1" applyBorder="1"/>
    <xf numFmtId="176" fontId="21" fillId="0" borderId="56" xfId="12" applyNumberFormat="1" applyFont="1" applyFill="1" applyBorder="1" applyAlignment="1">
      <alignment horizontal="right"/>
    </xf>
    <xf numFmtId="176" fontId="21" fillId="0" borderId="56" xfId="12" applyNumberFormat="1" applyFont="1" applyFill="1" applyBorder="1" applyAlignment="1">
      <alignment horizontal="center"/>
    </xf>
    <xf numFmtId="4" fontId="21" fillId="0" borderId="56" xfId="12" applyNumberFormat="1" applyFont="1" applyFill="1" applyBorder="1"/>
    <xf numFmtId="176" fontId="21" fillId="0" borderId="57" xfId="12" applyNumberFormat="1" applyFont="1" applyFill="1" applyBorder="1" applyAlignment="1">
      <alignment horizontal="right"/>
    </xf>
    <xf numFmtId="3" fontId="21" fillId="0" borderId="56" xfId="12" applyNumberFormat="1" applyFont="1" applyFill="1" applyBorder="1" applyAlignment="1">
      <alignment horizontal="right"/>
    </xf>
    <xf numFmtId="0" fontId="20" fillId="0" borderId="55" xfId="12" applyFont="1" applyFill="1" applyBorder="1"/>
    <xf numFmtId="0" fontId="20" fillId="0" borderId="56" xfId="12" applyFont="1" applyFill="1" applyBorder="1"/>
    <xf numFmtId="3" fontId="20" fillId="0" borderId="56" xfId="12" applyNumberFormat="1" applyFont="1" applyFill="1" applyBorder="1" applyAlignment="1">
      <alignment horizontal="right"/>
    </xf>
    <xf numFmtId="176" fontId="20" fillId="0" borderId="56" xfId="12" applyNumberFormat="1" applyFont="1" applyFill="1" applyBorder="1" applyAlignment="1">
      <alignment horizontal="right"/>
    </xf>
    <xf numFmtId="176" fontId="20" fillId="0" borderId="56" xfId="12" applyNumberFormat="1" applyFont="1" applyFill="1" applyBorder="1" applyAlignment="1">
      <alignment horizontal="center"/>
    </xf>
    <xf numFmtId="0" fontId="21" fillId="0" borderId="56" xfId="12" applyFont="1" applyFill="1" applyBorder="1"/>
    <xf numFmtId="176" fontId="20" fillId="0" borderId="57" xfId="12" applyNumberFormat="1" applyFont="1" applyFill="1" applyBorder="1" applyAlignment="1">
      <alignment horizontal="right"/>
    </xf>
    <xf numFmtId="3" fontId="20" fillId="8" borderId="0" xfId="12" applyNumberFormat="1" applyFont="1" applyFill="1" applyBorder="1"/>
    <xf numFmtId="4" fontId="20" fillId="0" borderId="56" xfId="12" applyNumberFormat="1" applyFont="1" applyFill="1" applyBorder="1"/>
    <xf numFmtId="0" fontId="21" fillId="0" borderId="55" xfId="12" applyFont="1" applyFill="1" applyBorder="1"/>
    <xf numFmtId="4" fontId="38" fillId="3" borderId="0" xfId="12" applyNumberFormat="1" applyFont="1" applyFill="1" applyAlignment="1">
      <alignment horizontal="right" vertical="top" wrapText="1"/>
    </xf>
    <xf numFmtId="4" fontId="20" fillId="3" borderId="0" xfId="12" applyNumberFormat="1" applyFont="1" applyFill="1" applyBorder="1"/>
    <xf numFmtId="3" fontId="20" fillId="0" borderId="56" xfId="12" applyNumberFormat="1" applyFont="1" applyFill="1" applyBorder="1"/>
    <xf numFmtId="0" fontId="20" fillId="0" borderId="58" xfId="12" applyFont="1" applyFill="1" applyBorder="1"/>
    <xf numFmtId="0" fontId="20" fillId="0" borderId="59" xfId="12" applyFont="1" applyFill="1" applyBorder="1"/>
    <xf numFmtId="3" fontId="20" fillId="0" borderId="59" xfId="12" applyNumberFormat="1" applyFont="1" applyFill="1" applyBorder="1" applyAlignment="1">
      <alignment horizontal="right"/>
    </xf>
    <xf numFmtId="176" fontId="20" fillId="0" borderId="59" xfId="12" applyNumberFormat="1" applyFont="1" applyFill="1" applyBorder="1" applyAlignment="1">
      <alignment horizontal="right"/>
    </xf>
    <xf numFmtId="176" fontId="20" fillId="0" borderId="60" xfId="12" applyNumberFormat="1" applyFont="1" applyFill="1" applyBorder="1" applyAlignment="1">
      <alignment horizontal="center"/>
    </xf>
    <xf numFmtId="4" fontId="21" fillId="0" borderId="59" xfId="12" applyNumberFormat="1" applyFont="1" applyFill="1" applyBorder="1"/>
    <xf numFmtId="0" fontId="20" fillId="0" borderId="61" xfId="12" applyFont="1" applyFill="1" applyBorder="1" applyAlignment="1">
      <alignment horizontal="left"/>
    </xf>
    <xf numFmtId="0" fontId="20" fillId="0" borderId="61" xfId="12" applyFont="1" applyFill="1" applyBorder="1" applyAlignment="1">
      <alignment horizontal="right"/>
    </xf>
    <xf numFmtId="0" fontId="20" fillId="0" borderId="61" xfId="12" applyFont="1" applyFill="1" applyBorder="1"/>
    <xf numFmtId="0" fontId="20" fillId="0" borderId="61" xfId="12" applyFont="1" applyFill="1" applyBorder="1" applyAlignment="1">
      <alignment horizontal="center"/>
    </xf>
    <xf numFmtId="0" fontId="21" fillId="0" borderId="44" xfId="12" applyFont="1" applyFill="1" applyBorder="1" applyAlignment="1">
      <alignment horizontal="left"/>
    </xf>
    <xf numFmtId="3" fontId="20" fillId="0" borderId="52" xfId="12" applyNumberFormat="1" applyFont="1" applyFill="1" applyBorder="1" applyAlignment="1">
      <alignment horizontal="right"/>
    </xf>
    <xf numFmtId="176" fontId="21" fillId="0" borderId="33" xfId="12" applyNumberFormat="1" applyFont="1" applyFill="1" applyBorder="1" applyAlignment="1">
      <alignment horizontal="right"/>
    </xf>
    <xf numFmtId="3" fontId="20" fillId="0" borderId="33" xfId="12" applyNumberFormat="1" applyFont="1" applyFill="1" applyBorder="1" applyAlignment="1">
      <alignment horizontal="right"/>
    </xf>
    <xf numFmtId="176" fontId="20" fillId="0" borderId="62" xfId="12" applyNumberFormat="1" applyFont="1" applyFill="1" applyBorder="1" applyAlignment="1">
      <alignment horizontal="center"/>
    </xf>
    <xf numFmtId="176" fontId="20" fillId="0" borderId="63" xfId="12" applyNumberFormat="1" applyFont="1" applyFill="1" applyBorder="1" applyAlignment="1">
      <alignment horizontal="right"/>
    </xf>
    <xf numFmtId="3" fontId="20" fillId="0" borderId="0" xfId="12" applyNumberFormat="1" applyFont="1" applyFill="1" applyBorder="1"/>
    <xf numFmtId="0" fontId="21" fillId="0" borderId="46" xfId="12" applyFont="1" applyFill="1" applyBorder="1"/>
    <xf numFmtId="0" fontId="21" fillId="0" borderId="37" xfId="12" applyFont="1" applyFill="1" applyBorder="1"/>
    <xf numFmtId="176" fontId="20" fillId="0" borderId="64" xfId="12" applyNumberFormat="1" applyFont="1" applyFill="1" applyBorder="1" applyAlignment="1">
      <alignment horizontal="center"/>
    </xf>
    <xf numFmtId="176" fontId="20" fillId="0" borderId="65" xfId="12" applyNumberFormat="1" applyFont="1" applyFill="1" applyBorder="1" applyAlignment="1">
      <alignment horizontal="center"/>
    </xf>
    <xf numFmtId="176" fontId="20" fillId="0" borderId="66" xfId="12" applyNumberFormat="1" applyFont="1" applyFill="1" applyBorder="1" applyAlignment="1">
      <alignment horizontal="right"/>
    </xf>
    <xf numFmtId="3" fontId="20" fillId="3" borderId="0" xfId="12" applyNumberFormat="1" applyFont="1" applyFill="1" applyBorder="1"/>
    <xf numFmtId="0" fontId="20" fillId="0" borderId="46" xfId="12" applyFont="1" applyFill="1" applyBorder="1"/>
    <xf numFmtId="176" fontId="20" fillId="0" borderId="67" xfId="12" applyNumberFormat="1" applyFont="1" applyFill="1" applyBorder="1" applyAlignment="1">
      <alignment horizontal="right"/>
    </xf>
    <xf numFmtId="9" fontId="20" fillId="0" borderId="0" xfId="12" applyNumberFormat="1" applyFont="1" applyFill="1" applyBorder="1"/>
    <xf numFmtId="0" fontId="20" fillId="0" borderId="37" xfId="12" applyFont="1" applyFill="1" applyBorder="1" applyAlignment="1">
      <alignment horizontal="left"/>
    </xf>
    <xf numFmtId="175" fontId="20" fillId="3" borderId="0" xfId="8" applyNumberFormat="1" applyFont="1" applyFill="1" applyBorder="1"/>
    <xf numFmtId="175" fontId="20" fillId="3" borderId="0" xfId="12" applyNumberFormat="1" applyFont="1" applyFill="1" applyBorder="1"/>
    <xf numFmtId="0" fontId="21" fillId="0" borderId="46" xfId="12" applyFont="1" applyFill="1" applyBorder="1" applyAlignment="1">
      <alignment horizontal="left"/>
    </xf>
    <xf numFmtId="176" fontId="21" fillId="0" borderId="65" xfId="12" applyNumberFormat="1" applyFont="1" applyFill="1" applyBorder="1" applyAlignment="1">
      <alignment horizontal="center"/>
    </xf>
    <xf numFmtId="176" fontId="21" fillId="0" borderId="66" xfId="12" applyNumberFormat="1" applyFont="1" applyFill="1" applyBorder="1" applyAlignment="1">
      <alignment horizontal="right"/>
    </xf>
    <xf numFmtId="0" fontId="20" fillId="0" borderId="46" xfId="12" applyFont="1" applyFill="1" applyBorder="1" applyAlignment="1">
      <alignment horizontal="left"/>
    </xf>
    <xf numFmtId="0" fontId="21" fillId="0" borderId="37" xfId="12" applyFont="1" applyFill="1" applyBorder="1" applyAlignment="1">
      <alignment horizontal="left"/>
    </xf>
    <xf numFmtId="176" fontId="21" fillId="0" borderId="67" xfId="12" applyNumberFormat="1" applyFont="1" applyFill="1" applyBorder="1" applyAlignment="1">
      <alignment horizontal="right"/>
    </xf>
    <xf numFmtId="0" fontId="21" fillId="3" borderId="0" xfId="12" applyFont="1" applyFill="1" applyBorder="1"/>
    <xf numFmtId="3" fontId="20" fillId="0" borderId="40" xfId="12" applyNumberFormat="1" applyFont="1" applyFill="1" applyBorder="1" applyAlignment="1">
      <alignment horizontal="right"/>
    </xf>
    <xf numFmtId="0" fontId="20" fillId="0" borderId="68" xfId="12" applyFont="1" applyFill="1" applyBorder="1" applyAlignment="1">
      <alignment horizontal="left"/>
    </xf>
    <xf numFmtId="0" fontId="20" fillId="0" borderId="40" xfId="12" applyFont="1" applyFill="1" applyBorder="1" applyAlignment="1">
      <alignment horizontal="left"/>
    </xf>
    <xf numFmtId="176" fontId="20" fillId="0" borderId="40" xfId="12" applyNumberFormat="1" applyFont="1" applyFill="1" applyBorder="1" applyAlignment="1">
      <alignment horizontal="right"/>
    </xf>
    <xf numFmtId="4" fontId="20" fillId="0" borderId="40" xfId="12" applyNumberFormat="1" applyFont="1" applyFill="1" applyBorder="1"/>
    <xf numFmtId="176" fontId="20" fillId="0" borderId="69" xfId="12" applyNumberFormat="1" applyFont="1" applyFill="1" applyBorder="1" applyAlignment="1">
      <alignment horizontal="right"/>
    </xf>
    <xf numFmtId="176" fontId="20" fillId="0" borderId="70" xfId="12" applyNumberFormat="1" applyFont="1" applyFill="1" applyBorder="1" applyAlignment="1">
      <alignment horizontal="center"/>
    </xf>
    <xf numFmtId="176" fontId="20" fillId="0" borderId="71" xfId="12" applyNumberFormat="1" applyFont="1" applyFill="1" applyBorder="1" applyAlignment="1">
      <alignment horizontal="right"/>
    </xf>
    <xf numFmtId="0" fontId="21" fillId="0" borderId="40" xfId="12" applyFont="1" applyFill="1" applyBorder="1" applyAlignment="1">
      <alignment horizontal="left"/>
    </xf>
    <xf numFmtId="3" fontId="21" fillId="0" borderId="40" xfId="12" applyNumberFormat="1" applyFont="1" applyFill="1" applyBorder="1" applyAlignment="1">
      <alignment horizontal="right"/>
    </xf>
    <xf numFmtId="0" fontId="20" fillId="0" borderId="48" xfId="12" applyFont="1" applyFill="1" applyBorder="1"/>
    <xf numFmtId="0" fontId="20" fillId="0" borderId="43" xfId="12" applyFont="1" applyFill="1" applyBorder="1"/>
    <xf numFmtId="176" fontId="20" fillId="0" borderId="72" xfId="12" applyNumberFormat="1" applyFont="1" applyFill="1" applyBorder="1" applyAlignment="1">
      <alignment horizontal="right"/>
    </xf>
    <xf numFmtId="176" fontId="20" fillId="0" borderId="73" xfId="12" applyNumberFormat="1" applyFont="1" applyFill="1" applyBorder="1" applyAlignment="1">
      <alignment horizontal="center"/>
    </xf>
    <xf numFmtId="3" fontId="20" fillId="0" borderId="43" xfId="12" applyNumberFormat="1" applyFont="1" applyFill="1" applyBorder="1"/>
    <xf numFmtId="176" fontId="20" fillId="0" borderId="74" xfId="12" applyNumberFormat="1" applyFont="1" applyFill="1" applyBorder="1" applyAlignment="1">
      <alignment horizontal="right"/>
    </xf>
    <xf numFmtId="0" fontId="32" fillId="0" borderId="0" xfId="12" applyFont="1" applyFill="1" applyBorder="1" applyAlignment="1">
      <alignment horizontal="left"/>
    </xf>
    <xf numFmtId="0" fontId="20" fillId="0" borderId="0" xfId="12" applyFont="1" applyFill="1" applyBorder="1" applyAlignment="1">
      <alignment horizontal="center"/>
    </xf>
    <xf numFmtId="0" fontId="20" fillId="0" borderId="29" xfId="12" applyFont="1" applyFill="1" applyBorder="1"/>
    <xf numFmtId="0" fontId="20" fillId="0" borderId="75" xfId="12" applyFont="1" applyFill="1" applyBorder="1"/>
    <xf numFmtId="3" fontId="20" fillId="0" borderId="76" xfId="12" applyNumberFormat="1" applyFont="1" applyFill="1" applyBorder="1" applyAlignment="1">
      <alignment horizontal="right"/>
    </xf>
    <xf numFmtId="176" fontId="20" fillId="0" borderId="76" xfId="12" applyNumberFormat="1" applyFont="1" applyFill="1" applyBorder="1" applyAlignment="1">
      <alignment horizontal="right"/>
    </xf>
    <xf numFmtId="177" fontId="20" fillId="0" borderId="76" xfId="8" applyNumberFormat="1" applyFont="1" applyFill="1" applyBorder="1" applyAlignment="1"/>
    <xf numFmtId="176" fontId="20" fillId="0" borderId="76" xfId="12" applyNumberFormat="1" applyFont="1" applyFill="1" applyBorder="1" applyAlignment="1">
      <alignment horizontal="center"/>
    </xf>
    <xf numFmtId="4" fontId="20" fillId="0" borderId="76" xfId="12" applyNumberFormat="1" applyFont="1" applyFill="1" applyBorder="1"/>
    <xf numFmtId="3" fontId="20" fillId="0" borderId="76" xfId="12" applyNumberFormat="1" applyFont="1" applyFill="1" applyBorder="1"/>
    <xf numFmtId="176" fontId="20" fillId="0" borderId="77" xfId="12" applyNumberFormat="1" applyFont="1" applyFill="1" applyBorder="1" applyAlignment="1">
      <alignment horizontal="right"/>
    </xf>
    <xf numFmtId="0" fontId="20" fillId="0" borderId="0" xfId="12" applyFont="1" applyFill="1" applyBorder="1" applyAlignment="1">
      <alignment horizontal="left"/>
    </xf>
    <xf numFmtId="0" fontId="20" fillId="0" borderId="0" xfId="12" applyFont="1" applyFill="1" applyBorder="1" applyAlignment="1">
      <alignment horizontal="right"/>
    </xf>
    <xf numFmtId="0" fontId="33" fillId="0" borderId="0" xfId="12" applyFont="1" applyFill="1" applyAlignment="1">
      <alignment horizontal="left"/>
    </xf>
    <xf numFmtId="3" fontId="20" fillId="0" borderId="0" xfId="12" applyNumberFormat="1" applyFont="1" applyFill="1" applyAlignment="1">
      <alignment horizontal="center"/>
    </xf>
    <xf numFmtId="3" fontId="20" fillId="0" borderId="0" xfId="12" applyNumberFormat="1" applyFont="1" applyFill="1" applyBorder="1" applyAlignment="1">
      <alignment horizontal="right"/>
    </xf>
    <xf numFmtId="0" fontId="20" fillId="3" borderId="0" xfId="12" applyFont="1" applyFill="1" applyAlignment="1">
      <alignment horizontal="left"/>
    </xf>
    <xf numFmtId="0" fontId="24" fillId="0" borderId="0" xfId="12" applyFont="1" applyFill="1" applyAlignment="1">
      <alignment horizontal="left"/>
    </xf>
    <xf numFmtId="3" fontId="24" fillId="0" borderId="0" xfId="12" applyNumberFormat="1" applyFont="1" applyFill="1" applyBorder="1" applyAlignment="1">
      <alignment horizontal="right"/>
    </xf>
    <xf numFmtId="0" fontId="17" fillId="0" borderId="0" xfId="0" applyFont="1" applyFill="1" applyBorder="1" applyAlignment="1"/>
    <xf numFmtId="3" fontId="17" fillId="0" borderId="0" xfId="0" applyNumberFormat="1" applyFont="1" applyFill="1" applyBorder="1" applyAlignment="1"/>
    <xf numFmtId="0" fontId="16" fillId="0" borderId="0" xfId="0" applyFont="1" applyFill="1" applyBorder="1" applyAlignment="1"/>
    <xf numFmtId="0" fontId="17" fillId="0" borderId="0" xfId="0" applyFont="1" applyFill="1" applyBorder="1" applyAlignment="1">
      <alignment horizontal="center" vertical="center"/>
    </xf>
    <xf numFmtId="0" fontId="16" fillId="0" borderId="0" xfId="0" applyFont="1" applyFill="1" applyBorder="1" applyAlignment="1">
      <alignment horizontal="center" vertical="center"/>
    </xf>
    <xf numFmtId="0" fontId="16" fillId="0" borderId="0" xfId="0" applyFont="1" applyFill="1" applyAlignment="1">
      <alignment horizontal="center" vertical="center"/>
    </xf>
    <xf numFmtId="0" fontId="42" fillId="0" borderId="0" xfId="0" applyFont="1" applyFill="1" applyBorder="1" applyAlignment="1"/>
    <xf numFmtId="0" fontId="40" fillId="0" borderId="0" xfId="0" applyFont="1" applyFill="1" applyAlignment="1">
      <alignment horizontal="center"/>
    </xf>
    <xf numFmtId="0" fontId="40" fillId="0" borderId="0" xfId="0" applyFont="1" applyFill="1"/>
    <xf numFmtId="3" fontId="40" fillId="0" borderId="0" xfId="0" applyNumberFormat="1" applyFont="1" applyFill="1"/>
    <xf numFmtId="3" fontId="42" fillId="0" borderId="0" xfId="0" applyNumberFormat="1" applyFont="1" applyFill="1" applyBorder="1" applyAlignment="1"/>
    <xf numFmtId="3" fontId="40" fillId="0" borderId="0" xfId="0" applyNumberFormat="1" applyFont="1" applyFill="1" applyAlignment="1">
      <alignment horizontal="center"/>
    </xf>
    <xf numFmtId="0" fontId="42" fillId="10" borderId="14" xfId="0" applyFont="1" applyFill="1" applyBorder="1"/>
    <xf numFmtId="3" fontId="42" fillId="10" borderId="14" xfId="0" applyNumberFormat="1" applyFont="1" applyFill="1" applyBorder="1"/>
    <xf numFmtId="3" fontId="42" fillId="10" borderId="84" xfId="22" applyNumberFormat="1" applyFont="1" applyFill="1" applyBorder="1"/>
    <xf numFmtId="3" fontId="42" fillId="10" borderId="3" xfId="0" applyNumberFormat="1" applyFont="1" applyFill="1" applyBorder="1"/>
    <xf numFmtId="0" fontId="42" fillId="0" borderId="0" xfId="0" applyFont="1" applyFill="1" applyBorder="1" applyAlignment="1">
      <alignment horizontal="center" vertical="center"/>
    </xf>
    <xf numFmtId="3" fontId="42" fillId="10" borderId="10" xfId="0" applyNumberFormat="1" applyFont="1" applyFill="1" applyBorder="1" applyAlignment="1">
      <alignment horizontal="center" vertical="center" wrapText="1"/>
    </xf>
    <xf numFmtId="14" fontId="42" fillId="10" borderId="81" xfId="0" applyNumberFormat="1" applyFont="1" applyFill="1" applyBorder="1" applyAlignment="1">
      <alignment horizontal="center" vertical="center" wrapText="1"/>
    </xf>
    <xf numFmtId="3" fontId="42" fillId="10" borderId="86" xfId="0" applyNumberFormat="1" applyFont="1" applyFill="1" applyBorder="1" applyAlignment="1">
      <alignment horizontal="center" vertical="center" wrapText="1"/>
    </xf>
    <xf numFmtId="0" fontId="40" fillId="0" borderId="89" xfId="0" applyFont="1" applyFill="1" applyBorder="1" applyAlignment="1">
      <alignment wrapText="1"/>
    </xf>
    <xf numFmtId="3" fontId="40" fillId="0" borderId="89" xfId="0" applyNumberFormat="1" applyFont="1" applyFill="1" applyBorder="1"/>
    <xf numFmtId="0" fontId="40" fillId="0" borderId="90" xfId="0" applyFont="1" applyFill="1" applyBorder="1" applyAlignment="1">
      <alignment wrapText="1"/>
    </xf>
    <xf numFmtId="3" fontId="40" fillId="0" borderId="90" xfId="0" applyNumberFormat="1" applyFont="1" applyFill="1" applyBorder="1"/>
    <xf numFmtId="0" fontId="40" fillId="0" borderId="90" xfId="0" applyFont="1" applyFill="1" applyBorder="1"/>
    <xf numFmtId="0" fontId="40" fillId="0" borderId="0" xfId="0" applyFont="1" applyFill="1" applyBorder="1" applyAlignment="1">
      <alignment horizontal="center" vertical="center"/>
    </xf>
    <xf numFmtId="0" fontId="40" fillId="0" borderId="0" xfId="0" applyFont="1" applyFill="1" applyBorder="1" applyAlignment="1">
      <alignment horizontal="center" vertical="center"/>
    </xf>
    <xf numFmtId="3" fontId="40" fillId="0" borderId="96" xfId="0" applyNumberFormat="1" applyFont="1" applyFill="1" applyBorder="1"/>
    <xf numFmtId="3" fontId="40" fillId="0" borderId="97" xfId="0" applyNumberFormat="1" applyFont="1" applyFill="1" applyBorder="1"/>
    <xf numFmtId="3" fontId="42" fillId="10" borderId="15" xfId="0" applyNumberFormat="1" applyFont="1" applyFill="1" applyBorder="1"/>
    <xf numFmtId="3" fontId="40" fillId="0" borderId="80" xfId="0" applyNumberFormat="1" applyFont="1" applyFill="1" applyBorder="1"/>
    <xf numFmtId="0" fontId="45" fillId="0" borderId="29" xfId="0" applyFont="1" applyBorder="1" applyAlignment="1">
      <alignment horizontal="justify" vertical="center"/>
    </xf>
    <xf numFmtId="0" fontId="45" fillId="0" borderId="149" xfId="0" applyFont="1" applyBorder="1" applyAlignment="1">
      <alignment horizontal="justify" vertical="center"/>
    </xf>
    <xf numFmtId="0" fontId="45" fillId="0" borderId="109" xfId="0" applyFont="1" applyBorder="1" applyAlignment="1">
      <alignment horizontal="justify" vertical="center"/>
    </xf>
    <xf numFmtId="0" fontId="45" fillId="0" borderId="29" xfId="0" applyFont="1" applyBorder="1" applyAlignment="1">
      <alignment vertical="center" wrapText="1"/>
    </xf>
    <xf numFmtId="0" fontId="45" fillId="0" borderId="50" xfId="0" applyFont="1" applyBorder="1" applyAlignment="1">
      <alignment vertical="center" wrapText="1"/>
    </xf>
    <xf numFmtId="0" fontId="45" fillId="0" borderId="149" xfId="0" applyFont="1" applyBorder="1" applyAlignment="1">
      <alignment vertical="center" wrapText="1"/>
    </xf>
    <xf numFmtId="0" fontId="45" fillId="0" borderId="109" xfId="0" applyFont="1" applyBorder="1" applyAlignment="1">
      <alignment vertical="center" wrapText="1"/>
    </xf>
    <xf numFmtId="0" fontId="45" fillId="9" borderId="108" xfId="0" applyFont="1" applyFill="1" applyBorder="1" applyAlignment="1">
      <alignment vertical="center" wrapText="1"/>
    </xf>
    <xf numFmtId="0" fontId="45" fillId="9" borderId="109" xfId="0" applyFont="1" applyFill="1" applyBorder="1" applyAlignment="1">
      <alignment vertical="center" wrapText="1"/>
    </xf>
    <xf numFmtId="0" fontId="45" fillId="0" borderId="29" xfId="0" applyFont="1" applyBorder="1" applyAlignment="1">
      <alignment horizontal="center" vertical="center"/>
    </xf>
    <xf numFmtId="0" fontId="45" fillId="0" borderId="50" xfId="0" applyFont="1" applyBorder="1" applyAlignment="1">
      <alignment horizontal="center" vertical="center"/>
    </xf>
    <xf numFmtId="0" fontId="45" fillId="0" borderId="50" xfId="0" applyFont="1" applyBorder="1" applyAlignment="1">
      <alignment horizontal="center" vertical="center" wrapText="1"/>
    </xf>
    <xf numFmtId="0" fontId="45" fillId="0" borderId="109" xfId="0" applyFont="1" applyBorder="1" applyAlignment="1">
      <alignment horizontal="center" vertical="center"/>
    </xf>
    <xf numFmtId="3" fontId="45" fillId="0" borderId="109" xfId="0" applyNumberFormat="1" applyFont="1" applyBorder="1" applyAlignment="1">
      <alignment horizontal="center" vertical="center"/>
    </xf>
    <xf numFmtId="0" fontId="45" fillId="0" borderId="109" xfId="0" applyFont="1" applyBorder="1" applyAlignment="1">
      <alignment horizontal="left" vertical="center" wrapText="1"/>
    </xf>
    <xf numFmtId="0" fontId="46" fillId="0" borderId="149" xfId="0" applyFont="1" applyBorder="1" applyAlignment="1">
      <alignment horizontal="justify" vertical="center"/>
    </xf>
    <xf numFmtId="0" fontId="46" fillId="0" borderId="109" xfId="0" applyFont="1" applyBorder="1" applyAlignment="1">
      <alignment horizontal="justify" vertical="center"/>
    </xf>
    <xf numFmtId="0" fontId="47" fillId="0" borderId="149" xfId="0" applyFont="1" applyBorder="1" applyAlignment="1">
      <alignment horizontal="justify" vertical="center"/>
    </xf>
    <xf numFmtId="0" fontId="45" fillId="12" borderId="29" xfId="0" applyFont="1" applyFill="1" applyBorder="1" applyAlignment="1">
      <alignment horizontal="justify" vertical="center"/>
    </xf>
    <xf numFmtId="0" fontId="45" fillId="12" borderId="50" xfId="0" applyFont="1" applyFill="1" applyBorder="1" applyAlignment="1">
      <alignment horizontal="justify" vertical="center" wrapText="1"/>
    </xf>
    <xf numFmtId="3" fontId="47" fillId="0" borderId="109" xfId="0" applyNumberFormat="1" applyFont="1" applyBorder="1" applyAlignment="1">
      <alignment horizontal="right" vertical="center"/>
    </xf>
    <xf numFmtId="3" fontId="46" fillId="0" borderId="109" xfId="0" applyNumberFormat="1" applyFont="1" applyBorder="1" applyAlignment="1">
      <alignment vertical="center"/>
    </xf>
    <xf numFmtId="0" fontId="68" fillId="0" borderId="0" xfId="19" applyFont="1" applyFill="1"/>
    <xf numFmtId="0" fontId="67" fillId="0" borderId="119" xfId="19" applyFont="1" applyFill="1" applyBorder="1"/>
    <xf numFmtId="37" fontId="68" fillId="0" borderId="80" xfId="19" applyNumberFormat="1" applyFont="1" applyFill="1" applyBorder="1"/>
    <xf numFmtId="37" fontId="68" fillId="0" borderId="112" xfId="19" applyNumberFormat="1" applyFont="1" applyFill="1" applyBorder="1"/>
    <xf numFmtId="0" fontId="68" fillId="0" borderId="119" xfId="19" applyFont="1" applyFill="1" applyBorder="1"/>
    <xf numFmtId="37" fontId="67" fillId="0" borderId="80" xfId="19" applyNumberFormat="1" applyFont="1" applyFill="1" applyBorder="1"/>
    <xf numFmtId="37" fontId="67" fillId="0" borderId="112" xfId="19" applyNumberFormat="1" applyFont="1" applyFill="1" applyBorder="1"/>
    <xf numFmtId="0" fontId="67" fillId="0" borderId="125" xfId="19" applyFont="1" applyFill="1" applyBorder="1"/>
    <xf numFmtId="37" fontId="67" fillId="0" borderId="115" xfId="19" applyNumberFormat="1" applyFont="1" applyFill="1" applyBorder="1"/>
    <xf numFmtId="37" fontId="68" fillId="0" borderId="143" xfId="19" applyNumberFormat="1" applyFont="1" applyFill="1" applyBorder="1"/>
    <xf numFmtId="0" fontId="47" fillId="0" borderId="0" xfId="0" applyFont="1"/>
    <xf numFmtId="14" fontId="47" fillId="0" borderId="0" xfId="0" applyNumberFormat="1" applyFont="1"/>
    <xf numFmtId="0" fontId="47" fillId="11" borderId="124" xfId="0" applyFont="1" applyFill="1" applyBorder="1" applyAlignment="1">
      <alignment horizontal="center" vertical="center"/>
    </xf>
    <xf numFmtId="0" fontId="47" fillId="11" borderId="121" xfId="0" applyFont="1" applyFill="1" applyBorder="1" applyAlignment="1">
      <alignment horizontal="center" vertical="center" wrapText="1"/>
    </xf>
    <xf numFmtId="0" fontId="47" fillId="11" borderId="145" xfId="0" applyFont="1" applyFill="1" applyBorder="1" applyAlignment="1">
      <alignment horizontal="center" vertical="center"/>
    </xf>
    <xf numFmtId="0" fontId="47" fillId="11" borderId="124" xfId="0" applyFont="1" applyFill="1" applyBorder="1" applyAlignment="1">
      <alignment horizontal="center"/>
    </xf>
    <xf numFmtId="0" fontId="47" fillId="11" borderId="121" xfId="0" applyFont="1" applyFill="1" applyBorder="1" applyAlignment="1">
      <alignment horizontal="center"/>
    </xf>
    <xf numFmtId="0" fontId="47" fillId="11" borderId="145" xfId="0" applyFont="1" applyFill="1" applyBorder="1" applyAlignment="1">
      <alignment horizontal="center"/>
    </xf>
    <xf numFmtId="0" fontId="47" fillId="0" borderId="119" xfId="0" applyFont="1" applyBorder="1"/>
    <xf numFmtId="3" fontId="47" fillId="0" borderId="112" xfId="0" applyNumberFormat="1" applyFont="1" applyBorder="1"/>
    <xf numFmtId="3" fontId="47" fillId="0" borderId="80" xfId="0" applyNumberFormat="1" applyFont="1" applyBorder="1"/>
    <xf numFmtId="0" fontId="47" fillId="0" borderId="80" xfId="0" applyFont="1" applyBorder="1"/>
    <xf numFmtId="0" fontId="47" fillId="0" borderId="112" xfId="0" applyFont="1" applyBorder="1"/>
    <xf numFmtId="0" fontId="47" fillId="0" borderId="115" xfId="0" applyFont="1" applyBorder="1"/>
    <xf numFmtId="0" fontId="47" fillId="0" borderId="143" xfId="0" applyFont="1" applyBorder="1"/>
    <xf numFmtId="0" fontId="46" fillId="11" borderId="125" xfId="0" applyFont="1" applyFill="1" applyBorder="1"/>
    <xf numFmtId="3" fontId="46" fillId="11" borderId="115" xfId="0" applyNumberFormat="1" applyFont="1" applyFill="1" applyBorder="1"/>
    <xf numFmtId="3" fontId="46" fillId="11" borderId="143" xfId="0" applyNumberFormat="1" applyFont="1" applyFill="1" applyBorder="1"/>
    <xf numFmtId="0" fontId="46" fillId="11" borderId="124" xfId="0" applyFont="1" applyFill="1" applyBorder="1" applyAlignment="1">
      <alignment horizontal="center" vertical="center"/>
    </xf>
    <xf numFmtId="0" fontId="46" fillId="11" borderId="121" xfId="0" applyFont="1" applyFill="1" applyBorder="1" applyAlignment="1">
      <alignment horizontal="center" vertical="center" wrapText="1"/>
    </xf>
    <xf numFmtId="0" fontId="46" fillId="11" borderId="145" xfId="0" applyFont="1" applyFill="1" applyBorder="1" applyAlignment="1">
      <alignment horizontal="center" vertical="center"/>
    </xf>
    <xf numFmtId="3" fontId="47" fillId="0" borderId="83" xfId="0" applyNumberFormat="1" applyFont="1" applyBorder="1"/>
    <xf numFmtId="0" fontId="46" fillId="11" borderId="119" xfId="0" applyFont="1" applyFill="1" applyBorder="1"/>
    <xf numFmtId="3" fontId="46" fillId="11" borderId="83" xfId="0" applyNumberFormat="1" applyFont="1" applyFill="1" applyBorder="1"/>
    <xf numFmtId="3" fontId="46" fillId="11" borderId="112" xfId="0" applyNumberFormat="1" applyFont="1" applyFill="1" applyBorder="1"/>
    <xf numFmtId="0" fontId="46" fillId="11" borderId="119" xfId="0" applyFont="1" applyFill="1" applyBorder="1" applyAlignment="1">
      <alignment horizontal="center"/>
    </xf>
    <xf numFmtId="0" fontId="46" fillId="11" borderId="80" xfId="0" applyFont="1" applyFill="1" applyBorder="1"/>
    <xf numFmtId="0" fontId="46" fillId="11" borderId="112" xfId="0" applyFont="1" applyFill="1" applyBorder="1"/>
    <xf numFmtId="3" fontId="47" fillId="0" borderId="0" xfId="0" applyNumberFormat="1" applyFont="1"/>
    <xf numFmtId="0" fontId="67" fillId="9" borderId="0" xfId="21" applyFont="1" applyFill="1" applyBorder="1" applyAlignment="1">
      <alignment horizontal="center"/>
    </xf>
    <xf numFmtId="3" fontId="67" fillId="9" borderId="0" xfId="21" applyNumberFormat="1" applyFont="1" applyFill="1"/>
    <xf numFmtId="0" fontId="67" fillId="9" borderId="0" xfId="21" applyFont="1" applyFill="1"/>
    <xf numFmtId="0" fontId="72" fillId="9" borderId="140" xfId="21" applyFont="1" applyFill="1" applyBorder="1" applyAlignment="1">
      <alignment horizontal="center"/>
    </xf>
    <xf numFmtId="0" fontId="72" fillId="9" borderId="95" xfId="21" applyFont="1" applyFill="1" applyBorder="1" applyAlignment="1">
      <alignment horizontal="center"/>
    </xf>
    <xf numFmtId="0" fontId="72" fillId="9" borderId="141" xfId="21" applyFont="1" applyFill="1" applyBorder="1" applyAlignment="1">
      <alignment horizontal="center"/>
    </xf>
    <xf numFmtId="0" fontId="67" fillId="9" borderId="103" xfId="21" applyFont="1" applyFill="1" applyBorder="1"/>
    <xf numFmtId="168" fontId="67" fillId="9" borderId="130" xfId="21" applyNumberFormat="1" applyFont="1" applyFill="1" applyBorder="1"/>
    <xf numFmtId="168" fontId="67" fillId="9" borderId="100" xfId="21" applyNumberFormat="1" applyFont="1" applyFill="1" applyBorder="1"/>
    <xf numFmtId="0" fontId="67" fillId="9" borderId="61" xfId="21" applyFont="1" applyFill="1" applyBorder="1"/>
    <xf numFmtId="168" fontId="67" fillId="9" borderId="131" xfId="21" applyNumberFormat="1" applyFont="1" applyFill="1" applyBorder="1"/>
    <xf numFmtId="0" fontId="67" fillId="9" borderId="116" xfId="21" applyFont="1" applyFill="1" applyBorder="1"/>
    <xf numFmtId="168" fontId="67" fillId="9" borderId="154" xfId="21" applyNumberFormat="1" applyFont="1" applyFill="1" applyBorder="1"/>
    <xf numFmtId="0" fontId="67" fillId="9" borderId="82" xfId="21" applyFont="1" applyFill="1" applyBorder="1"/>
    <xf numFmtId="0" fontId="67" fillId="9" borderId="110" xfId="21" applyFont="1" applyFill="1" applyBorder="1"/>
    <xf numFmtId="3" fontId="67" fillId="9" borderId="154" xfId="21" applyNumberFormat="1" applyFont="1" applyFill="1" applyBorder="1"/>
    <xf numFmtId="0" fontId="67" fillId="9" borderId="0" xfId="21" applyFont="1" applyFill="1" applyBorder="1"/>
    <xf numFmtId="0" fontId="72" fillId="9" borderId="118" xfId="21" applyFont="1" applyFill="1" applyBorder="1"/>
    <xf numFmtId="3" fontId="68" fillId="9" borderId="134" xfId="21" applyNumberFormat="1" applyFont="1" applyFill="1" applyBorder="1"/>
    <xf numFmtId="3" fontId="72" fillId="9" borderId="136" xfId="21" applyNumberFormat="1" applyFont="1" applyFill="1" applyBorder="1"/>
    <xf numFmtId="3" fontId="68" fillId="9" borderId="135" xfId="21" applyNumberFormat="1" applyFont="1" applyFill="1" applyBorder="1"/>
    <xf numFmtId="0" fontId="68" fillId="9" borderId="110" xfId="21" applyFont="1" applyFill="1" applyBorder="1"/>
    <xf numFmtId="3" fontId="68" fillId="9" borderId="0" xfId="21" applyNumberFormat="1" applyFont="1" applyFill="1" applyBorder="1"/>
    <xf numFmtId="3" fontId="67" fillId="9" borderId="80" xfId="21" applyNumberFormat="1" applyFont="1" applyFill="1" applyBorder="1"/>
    <xf numFmtId="3" fontId="68" fillId="9" borderId="168" xfId="21" applyNumberFormat="1" applyFont="1" applyFill="1" applyBorder="1"/>
    <xf numFmtId="3" fontId="68" fillId="9" borderId="144" xfId="21" applyNumberFormat="1" applyFont="1" applyFill="1" applyBorder="1"/>
    <xf numFmtId="3" fontId="67" fillId="9" borderId="112" xfId="21" applyNumberFormat="1" applyFont="1" applyFill="1" applyBorder="1"/>
    <xf numFmtId="172" fontId="68" fillId="9" borderId="25" xfId="6" applyFont="1" applyFill="1" applyBorder="1"/>
    <xf numFmtId="172" fontId="67" fillId="9" borderId="154" xfId="6" applyFont="1" applyFill="1" applyBorder="1"/>
    <xf numFmtId="167" fontId="67" fillId="9" borderId="80" xfId="6" applyNumberFormat="1" applyFont="1" applyFill="1" applyBorder="1"/>
    <xf numFmtId="0" fontId="72" fillId="9" borderId="117" xfId="21" applyFont="1" applyFill="1" applyBorder="1"/>
    <xf numFmtId="0" fontId="68" fillId="9" borderId="129" xfId="21" applyFont="1" applyFill="1" applyBorder="1"/>
    <xf numFmtId="167" fontId="68" fillId="9" borderId="80" xfId="6" applyNumberFormat="1" applyFont="1" applyFill="1" applyBorder="1"/>
    <xf numFmtId="167" fontId="68" fillId="9" borderId="142" xfId="6" applyNumberFormat="1" applyFont="1" applyFill="1" applyBorder="1"/>
    <xf numFmtId="3" fontId="72" fillId="9" borderId="0" xfId="21" applyNumberFormat="1" applyFont="1" applyFill="1" applyBorder="1"/>
    <xf numFmtId="167" fontId="68" fillId="9" borderId="152" xfId="6" applyNumberFormat="1" applyFont="1" applyFill="1" applyBorder="1"/>
    <xf numFmtId="172" fontId="67" fillId="9" borderId="0" xfId="6" applyFont="1" applyFill="1" applyBorder="1"/>
    <xf numFmtId="167" fontId="67" fillId="9" borderId="112" xfId="6" applyNumberFormat="1" applyFont="1" applyFill="1" applyBorder="1"/>
    <xf numFmtId="3" fontId="68" fillId="9" borderId="152" xfId="21" applyNumberFormat="1" applyFont="1" applyFill="1" applyBorder="1"/>
    <xf numFmtId="167" fontId="68" fillId="9" borderId="144" xfId="6" applyNumberFormat="1" applyFont="1" applyFill="1" applyBorder="1"/>
    <xf numFmtId="3" fontId="68" fillId="9" borderId="136" xfId="21" applyNumberFormat="1" applyFont="1" applyFill="1" applyBorder="1"/>
    <xf numFmtId="3" fontId="67" fillId="9" borderId="119" xfId="21" applyNumberFormat="1" applyFont="1" applyFill="1" applyBorder="1"/>
    <xf numFmtId="172" fontId="68" fillId="9" borderId="154" xfId="6" applyFont="1" applyFill="1" applyBorder="1"/>
    <xf numFmtId="0" fontId="67" fillId="9" borderId="152" xfId="21" applyFont="1" applyFill="1" applyBorder="1"/>
    <xf numFmtId="3" fontId="67" fillId="9" borderId="120" xfId="21" applyNumberFormat="1" applyFont="1" applyFill="1" applyBorder="1"/>
    <xf numFmtId="172" fontId="68" fillId="9" borderId="80" xfId="6" applyFont="1" applyFill="1" applyBorder="1"/>
    <xf numFmtId="3" fontId="67" fillId="9" borderId="128" xfId="21" applyNumberFormat="1" applyFont="1" applyFill="1" applyBorder="1"/>
    <xf numFmtId="0" fontId="67" fillId="9" borderId="80" xfId="21" applyFont="1" applyFill="1" applyBorder="1"/>
    <xf numFmtId="0" fontId="67" fillId="9" borderId="112" xfId="21" applyFont="1" applyFill="1" applyBorder="1"/>
    <xf numFmtId="167" fontId="68" fillId="9" borderId="122" xfId="6" applyNumberFormat="1" applyFont="1" applyFill="1" applyBorder="1" applyAlignment="1">
      <alignment horizontal="right"/>
    </xf>
    <xf numFmtId="3" fontId="67" fillId="9" borderId="168" xfId="21" applyNumberFormat="1" applyFont="1" applyFill="1" applyBorder="1"/>
    <xf numFmtId="0" fontId="72" fillId="9" borderId="110" xfId="21" applyFont="1" applyFill="1" applyBorder="1"/>
    <xf numFmtId="167" fontId="68" fillId="9" borderId="112" xfId="6" applyNumberFormat="1" applyFont="1" applyFill="1" applyBorder="1"/>
    <xf numFmtId="3" fontId="67" fillId="9" borderId="152" xfId="21" applyNumberFormat="1" applyFont="1" applyFill="1" applyBorder="1"/>
    <xf numFmtId="0" fontId="68" fillId="9" borderId="0" xfId="21" applyFont="1" applyFill="1" applyBorder="1"/>
    <xf numFmtId="0" fontId="67" fillId="9" borderId="111" xfId="21" applyFont="1" applyFill="1" applyBorder="1"/>
    <xf numFmtId="3" fontId="67" fillId="9" borderId="22" xfId="21" applyNumberFormat="1" applyFont="1" applyFill="1" applyBorder="1"/>
    <xf numFmtId="3" fontId="67" fillId="9" borderId="123" xfId="21" applyNumberFormat="1" applyFont="1" applyFill="1" applyBorder="1"/>
    <xf numFmtId="0" fontId="67" fillId="9" borderId="83" xfId="21" applyFont="1" applyFill="1" applyBorder="1"/>
    <xf numFmtId="3" fontId="67" fillId="9" borderId="139" xfId="21" applyNumberFormat="1" applyFont="1" applyFill="1" applyBorder="1"/>
    <xf numFmtId="172" fontId="68" fillId="9" borderId="168" xfId="6" applyFont="1" applyFill="1" applyBorder="1"/>
    <xf numFmtId="3" fontId="67" fillId="9" borderId="122" xfId="21" applyNumberFormat="1" applyFont="1" applyFill="1" applyBorder="1"/>
    <xf numFmtId="3" fontId="68" fillId="9" borderId="22" xfId="21" applyNumberFormat="1" applyFont="1" applyFill="1" applyBorder="1"/>
    <xf numFmtId="3" fontId="68" fillId="9" borderId="83" xfId="21" applyNumberFormat="1" applyFont="1" applyFill="1" applyBorder="1"/>
    <xf numFmtId="3" fontId="68" fillId="9" borderId="80" xfId="21" applyNumberFormat="1" applyFont="1" applyFill="1" applyBorder="1"/>
    <xf numFmtId="3" fontId="67" fillId="9" borderId="0" xfId="21" applyNumberFormat="1" applyFont="1" applyFill="1" applyBorder="1"/>
    <xf numFmtId="3" fontId="67" fillId="9" borderId="138" xfId="21" applyNumberFormat="1" applyFont="1" applyFill="1" applyBorder="1"/>
    <xf numFmtId="172" fontId="68" fillId="9" borderId="0" xfId="6" applyFont="1" applyFill="1" applyBorder="1"/>
    <xf numFmtId="167" fontId="68" fillId="9" borderId="0" xfId="6" applyNumberFormat="1" applyFont="1" applyFill="1" applyBorder="1"/>
    <xf numFmtId="3" fontId="67" fillId="9" borderId="0" xfId="21" applyNumberFormat="1" applyFont="1" applyFill="1" applyBorder="1" applyAlignment="1">
      <alignment horizontal="center"/>
    </xf>
    <xf numFmtId="169" fontId="67" fillId="9" borderId="0" xfId="21" applyNumberFormat="1" applyFont="1" applyFill="1" applyBorder="1"/>
    <xf numFmtId="0" fontId="67" fillId="9" borderId="0" xfId="21" applyFont="1" applyFill="1" applyAlignment="1">
      <alignment horizontal="center"/>
    </xf>
    <xf numFmtId="0" fontId="67" fillId="9" borderId="0" xfId="21" applyFont="1" applyFill="1" applyAlignment="1">
      <alignment horizontal="left"/>
    </xf>
    <xf numFmtId="0" fontId="73" fillId="0" borderId="0" xfId="22" applyFont="1"/>
    <xf numFmtId="0" fontId="70" fillId="0" borderId="0" xfId="21" applyFont="1" applyBorder="1" applyAlignment="1"/>
    <xf numFmtId="0" fontId="68" fillId="0" borderId="0" xfId="22" applyFont="1"/>
    <xf numFmtId="0" fontId="72" fillId="0" borderId="0" xfId="22" applyFont="1" applyBorder="1" applyAlignment="1">
      <alignment horizontal="center" vertical="center"/>
    </xf>
    <xf numFmtId="14" fontId="68" fillId="0" borderId="0" xfId="22" applyNumberFormat="1" applyFont="1"/>
    <xf numFmtId="14" fontId="68" fillId="0" borderId="0" xfId="22" applyNumberFormat="1" applyFont="1" applyAlignment="1">
      <alignment horizontal="center"/>
    </xf>
    <xf numFmtId="0" fontId="75" fillId="0" borderId="0" xfId="22" applyFont="1"/>
    <xf numFmtId="14" fontId="67" fillId="0" borderId="147" xfId="21" applyNumberFormat="1" applyFont="1" applyFill="1" applyBorder="1" applyAlignment="1">
      <alignment horizontal="center"/>
    </xf>
    <xf numFmtId="0" fontId="67" fillId="0" borderId="0" xfId="22" applyFont="1"/>
    <xf numFmtId="0" fontId="72" fillId="0" borderId="149" xfId="21" applyFont="1" applyFill="1" applyBorder="1" applyAlignment="1">
      <alignment horizontal="center"/>
    </xf>
    <xf numFmtId="0" fontId="67" fillId="0" borderId="111" xfId="22" applyFont="1" applyBorder="1"/>
    <xf numFmtId="183" fontId="68" fillId="0" borderId="139" xfId="22" applyNumberFormat="1" applyFont="1" applyFill="1" applyBorder="1" applyAlignment="1">
      <alignment horizontal="right"/>
    </xf>
    <xf numFmtId="0" fontId="72" fillId="0" borderId="111" xfId="22" applyFont="1" applyBorder="1"/>
    <xf numFmtId="183" fontId="68" fillId="0" borderId="155" xfId="22" applyNumberFormat="1" applyFont="1" applyFill="1" applyBorder="1" applyAlignment="1">
      <alignment horizontal="right"/>
    </xf>
    <xf numFmtId="0" fontId="68" fillId="0" borderId="111" xfId="22" applyFont="1" applyBorder="1"/>
    <xf numFmtId="182" fontId="68" fillId="0" borderId="155" xfId="22" applyNumberFormat="1" applyFont="1" applyFill="1" applyBorder="1"/>
    <xf numFmtId="183" fontId="68" fillId="9" borderId="139" xfId="22" applyNumberFormat="1" applyFont="1" applyFill="1" applyBorder="1" applyAlignment="1">
      <alignment horizontal="right"/>
    </xf>
    <xf numFmtId="183" fontId="68" fillId="0" borderId="155" xfId="22" applyNumberFormat="1" applyFont="1" applyFill="1" applyBorder="1"/>
    <xf numFmtId="183" fontId="68" fillId="9" borderId="139" xfId="22" applyNumberFormat="1" applyFont="1" applyFill="1" applyBorder="1"/>
    <xf numFmtId="183" fontId="67" fillId="0" borderId="155" xfId="22" applyNumberFormat="1" applyFont="1" applyFill="1" applyBorder="1"/>
    <xf numFmtId="0" fontId="76" fillId="0" borderId="0" xfId="22" applyFont="1"/>
    <xf numFmtId="0" fontId="77" fillId="0" borderId="0" xfId="22" applyFont="1"/>
    <xf numFmtId="172" fontId="68" fillId="0" borderId="155" xfId="6" applyFont="1" applyFill="1" applyBorder="1"/>
    <xf numFmtId="183" fontId="68" fillId="0" borderId="155" xfId="6" applyNumberFormat="1" applyFont="1" applyFill="1" applyBorder="1"/>
    <xf numFmtId="167" fontId="68" fillId="0" borderId="155" xfId="6" applyNumberFormat="1" applyFont="1" applyFill="1" applyBorder="1"/>
    <xf numFmtId="183" fontId="67" fillId="9" borderId="139" xfId="22" applyNumberFormat="1" applyFont="1" applyFill="1" applyBorder="1"/>
    <xf numFmtId="183" fontId="67" fillId="0" borderId="155" xfId="22" applyNumberFormat="1" applyFont="1" applyFill="1" applyBorder="1" applyAlignment="1">
      <alignment horizontal="right"/>
    </xf>
    <xf numFmtId="183" fontId="67" fillId="9" borderId="139" xfId="22" applyNumberFormat="1" applyFont="1" applyFill="1" applyBorder="1" applyAlignment="1">
      <alignment horizontal="right"/>
    </xf>
    <xf numFmtId="0" fontId="67" fillId="0" borderId="155" xfId="22" applyFont="1" applyBorder="1"/>
    <xf numFmtId="0" fontId="67" fillId="0" borderId="0" xfId="22" applyFont="1" applyBorder="1"/>
    <xf numFmtId="183" fontId="67" fillId="0" borderId="0" xfId="22" applyNumberFormat="1" applyFont="1" applyBorder="1" applyAlignment="1"/>
    <xf numFmtId="0" fontId="68" fillId="0" borderId="0" xfId="22" applyFont="1" applyBorder="1"/>
    <xf numFmtId="183" fontId="68" fillId="9" borderId="155" xfId="22" applyNumberFormat="1" applyFont="1" applyFill="1" applyBorder="1" applyAlignment="1">
      <alignment horizontal="right"/>
    </xf>
    <xf numFmtId="10" fontId="46" fillId="0" borderId="0" xfId="25" applyNumberFormat="1" applyFont="1" applyBorder="1" applyAlignment="1">
      <alignment horizontal="right"/>
    </xf>
    <xf numFmtId="183" fontId="68" fillId="0" borderId="0" xfId="22" applyNumberFormat="1" applyFont="1" applyBorder="1"/>
    <xf numFmtId="0" fontId="68" fillId="0" borderId="155" xfId="22" applyFont="1" applyBorder="1"/>
    <xf numFmtId="183" fontId="68" fillId="0" borderId="156" xfId="22" applyNumberFormat="1" applyFont="1" applyFill="1" applyBorder="1" applyAlignment="1">
      <alignment horizontal="right"/>
    </xf>
    <xf numFmtId="183" fontId="68" fillId="9" borderId="170" xfId="22" applyNumberFormat="1" applyFont="1" applyFill="1" applyBorder="1" applyAlignment="1">
      <alignment horizontal="right"/>
    </xf>
    <xf numFmtId="0" fontId="68" fillId="0" borderId="156" xfId="22" applyFont="1" applyBorder="1"/>
    <xf numFmtId="0" fontId="67" fillId="0" borderId="146" xfId="22" applyFont="1" applyBorder="1"/>
    <xf numFmtId="0" fontId="68" fillId="0" borderId="110" xfId="22" applyFont="1" applyBorder="1"/>
    <xf numFmtId="177" fontId="68" fillId="0" borderId="155" xfId="22" applyNumberFormat="1" applyFont="1" applyFill="1" applyBorder="1" applyAlignment="1">
      <alignment horizontal="right"/>
    </xf>
    <xf numFmtId="177" fontId="68" fillId="9" borderId="139" xfId="22" applyNumberFormat="1" applyFont="1" applyFill="1" applyBorder="1" applyAlignment="1">
      <alignment horizontal="right"/>
    </xf>
    <xf numFmtId="0" fontId="68" fillId="0" borderId="146" xfId="22" applyFont="1" applyBorder="1"/>
    <xf numFmtId="177" fontId="68" fillId="0" borderId="158" xfId="22" applyNumberFormat="1" applyFont="1" applyFill="1" applyBorder="1" applyAlignment="1">
      <alignment horizontal="right"/>
    </xf>
    <xf numFmtId="177" fontId="68" fillId="9" borderId="171" xfId="22" applyNumberFormat="1" applyFont="1" applyFill="1" applyBorder="1" applyAlignment="1">
      <alignment horizontal="right"/>
    </xf>
    <xf numFmtId="0" fontId="68" fillId="0" borderId="158" xfId="22" applyFont="1" applyFill="1" applyBorder="1"/>
    <xf numFmtId="183" fontId="68" fillId="9" borderId="171" xfId="22" applyNumberFormat="1" applyFont="1" applyFill="1" applyBorder="1" applyAlignment="1">
      <alignment horizontal="right"/>
    </xf>
    <xf numFmtId="3" fontId="67" fillId="0" borderId="148" xfId="22" applyNumberFormat="1" applyFont="1" applyBorder="1"/>
    <xf numFmtId="3" fontId="67" fillId="9" borderId="108" xfId="22" applyNumberFormat="1" applyFont="1" applyFill="1" applyBorder="1"/>
    <xf numFmtId="0" fontId="67" fillId="11" borderId="113" xfId="22" applyFont="1" applyFill="1" applyBorder="1"/>
    <xf numFmtId="3" fontId="67" fillId="11" borderId="157" xfId="22" applyNumberFormat="1" applyFont="1" applyFill="1" applyBorder="1"/>
    <xf numFmtId="3" fontId="67" fillId="11" borderId="172" xfId="22" applyNumberFormat="1" applyFont="1" applyFill="1" applyBorder="1"/>
    <xf numFmtId="168" fontId="47" fillId="0" borderId="0" xfId="7" applyFont="1"/>
    <xf numFmtId="0" fontId="47" fillId="0" borderId="0" xfId="0" applyFont="1" applyFill="1"/>
    <xf numFmtId="0" fontId="78" fillId="0" borderId="0" xfId="16" applyFont="1"/>
    <xf numFmtId="0" fontId="78" fillId="0" borderId="0" xfId="16" applyFont="1" applyBorder="1" applyAlignment="1">
      <alignment horizontal="left" vertical="center"/>
    </xf>
    <xf numFmtId="0" fontId="78" fillId="0" borderId="0" xfId="16" applyFont="1" applyAlignment="1">
      <alignment horizontal="left" vertical="center"/>
    </xf>
    <xf numFmtId="14" fontId="68" fillId="0" borderId="0" xfId="0" applyNumberFormat="1" applyFont="1"/>
    <xf numFmtId="14" fontId="78" fillId="0" borderId="0" xfId="16" applyNumberFormat="1" applyFont="1" applyAlignment="1">
      <alignment horizontal="right" vertical="center"/>
    </xf>
    <xf numFmtId="14" fontId="67" fillId="0" borderId="130" xfId="21" applyNumberFormat="1" applyFont="1" applyFill="1" applyBorder="1" applyAlignment="1">
      <alignment horizontal="center"/>
    </xf>
    <xf numFmtId="14" fontId="67" fillId="0" borderId="131" xfId="21" applyNumberFormat="1" applyFont="1" applyFill="1" applyBorder="1" applyAlignment="1">
      <alignment horizontal="center"/>
    </xf>
    <xf numFmtId="0" fontId="81" fillId="0" borderId="94" xfId="16" applyFont="1" applyFill="1" applyBorder="1" applyAlignment="1">
      <alignment horizontal="center" vertical="center"/>
    </xf>
    <xf numFmtId="0" fontId="81" fillId="0" borderId="105" xfId="16" applyFont="1" applyFill="1" applyBorder="1" applyAlignment="1">
      <alignment horizontal="center" vertical="center"/>
    </xf>
    <xf numFmtId="0" fontId="81" fillId="0" borderId="103" xfId="16" applyFont="1" applyBorder="1" applyAlignment="1">
      <alignment horizontal="left" vertical="center"/>
    </xf>
    <xf numFmtId="0" fontId="78" fillId="0" borderId="61" xfId="16" applyFont="1" applyBorder="1" applyAlignment="1">
      <alignment horizontal="left" vertical="center"/>
    </xf>
    <xf numFmtId="3" fontId="78" fillId="0" borderId="127" xfId="16" applyNumberFormat="1" applyFont="1" applyBorder="1" applyAlignment="1">
      <alignment horizontal="left" vertical="center"/>
    </xf>
    <xf numFmtId="0" fontId="78" fillId="0" borderId="110" xfId="16" applyFont="1" applyBorder="1" applyAlignment="1">
      <alignment horizontal="left" vertical="center"/>
    </xf>
    <xf numFmtId="3" fontId="78" fillId="0" borderId="132" xfId="16" applyNumberFormat="1" applyFont="1" applyFill="1" applyBorder="1" applyAlignment="1">
      <alignment horizontal="right" vertical="center"/>
    </xf>
    <xf numFmtId="3" fontId="80" fillId="0" borderId="80" xfId="16" applyNumberFormat="1" applyFont="1" applyBorder="1" applyAlignment="1">
      <alignment horizontal="right" vertical="center"/>
    </xf>
    <xf numFmtId="167" fontId="68" fillId="0" borderId="0" xfId="6" applyNumberFormat="1" applyFont="1" applyAlignment="1">
      <alignment horizontal="left" vertical="center"/>
    </xf>
    <xf numFmtId="0" fontId="81" fillId="0" borderId="110" xfId="16" applyFont="1" applyBorder="1" applyAlignment="1">
      <alignment horizontal="left" vertical="center"/>
    </xf>
    <xf numFmtId="3" fontId="78" fillId="0" borderId="132" xfId="16" applyNumberFormat="1" applyFont="1" applyBorder="1" applyAlignment="1">
      <alignment horizontal="right" vertical="center"/>
    </xf>
    <xf numFmtId="0" fontId="80" fillId="0" borderId="111" xfId="16" applyFont="1" applyBorder="1" applyAlignment="1">
      <alignment horizontal="left" vertical="center"/>
    </xf>
    <xf numFmtId="0" fontId="78" fillId="0" borderId="92" xfId="16" applyFont="1" applyBorder="1" applyAlignment="1">
      <alignment horizontal="left" vertical="center"/>
    </xf>
    <xf numFmtId="0" fontId="78" fillId="0" borderId="98" xfId="16" applyFont="1" applyBorder="1" applyAlignment="1">
      <alignment horizontal="left" vertical="center"/>
    </xf>
    <xf numFmtId="0" fontId="78" fillId="0" borderId="110" xfId="16" applyFont="1" applyFill="1" applyBorder="1" applyAlignment="1">
      <alignment horizontal="left" vertical="center"/>
    </xf>
    <xf numFmtId="0" fontId="78" fillId="0" borderId="0" xfId="16" applyFont="1" applyFill="1" applyBorder="1" applyAlignment="1">
      <alignment horizontal="left" vertical="center"/>
    </xf>
    <xf numFmtId="3" fontId="82" fillId="0" borderId="0" xfId="16" applyNumberFormat="1" applyFont="1" applyFill="1" applyBorder="1" applyAlignment="1">
      <alignment horizontal="left" vertical="center"/>
    </xf>
    <xf numFmtId="0" fontId="83" fillId="0" borderId="92" xfId="16" applyFont="1" applyBorder="1" applyAlignment="1">
      <alignment horizontal="left" vertical="center"/>
    </xf>
    <xf numFmtId="0" fontId="83" fillId="0" borderId="98" xfId="16" applyFont="1" applyBorder="1" applyAlignment="1">
      <alignment horizontal="left" vertical="center"/>
    </xf>
    <xf numFmtId="3" fontId="83" fillId="0" borderId="80" xfId="16" applyNumberFormat="1" applyFont="1" applyBorder="1" applyAlignment="1">
      <alignment horizontal="right" vertical="center"/>
    </xf>
    <xf numFmtId="0" fontId="83" fillId="0" borderId="0" xfId="16" applyFont="1" applyAlignment="1">
      <alignment horizontal="left" vertical="center"/>
    </xf>
    <xf numFmtId="0" fontId="83" fillId="0" borderId="0" xfId="16" applyFont="1"/>
    <xf numFmtId="0" fontId="80" fillId="0" borderId="113" xfId="16" applyFont="1" applyFill="1" applyBorder="1" applyAlignment="1">
      <alignment horizontal="left" vertical="center"/>
    </xf>
    <xf numFmtId="0" fontId="78" fillId="0" borderId="114" xfId="16" applyFont="1" applyFill="1" applyBorder="1" applyAlignment="1">
      <alignment horizontal="left" vertical="center"/>
    </xf>
    <xf numFmtId="3" fontId="80" fillId="0" borderId="143" xfId="9" applyNumberFormat="1" applyFont="1" applyFill="1" applyBorder="1" applyAlignment="1">
      <alignment horizontal="right" vertical="center"/>
    </xf>
    <xf numFmtId="168" fontId="47" fillId="0" borderId="0" xfId="7" applyFont="1" applyAlignment="1">
      <alignment horizontal="right" vertical="center"/>
    </xf>
    <xf numFmtId="168" fontId="47" fillId="0" borderId="0" xfId="7" applyFont="1" applyAlignment="1">
      <alignment horizontal="left" vertical="center"/>
    </xf>
    <xf numFmtId="167" fontId="68" fillId="0" borderId="0" xfId="6" applyNumberFormat="1" applyFont="1" applyFill="1" applyAlignment="1">
      <alignment horizontal="left" vertical="center"/>
    </xf>
    <xf numFmtId="3" fontId="78" fillId="0" borderId="0" xfId="16" applyNumberFormat="1" applyFont="1" applyAlignment="1">
      <alignment horizontal="left" vertical="center"/>
    </xf>
    <xf numFmtId="0" fontId="68" fillId="0" borderId="0" xfId="0" applyFont="1"/>
    <xf numFmtId="0" fontId="67" fillId="9" borderId="0" xfId="23" applyFont="1" applyFill="1" applyBorder="1" applyAlignment="1"/>
    <xf numFmtId="0" fontId="47" fillId="9" borderId="0" xfId="0" applyFont="1" applyFill="1"/>
    <xf numFmtId="0" fontId="68" fillId="9" borderId="0" xfId="23" applyFont="1" applyFill="1"/>
    <xf numFmtId="0" fontId="67" fillId="9" borderId="9" xfId="23" applyFont="1" applyFill="1" applyBorder="1" applyAlignment="1">
      <alignment horizontal="center"/>
    </xf>
    <xf numFmtId="0" fontId="68" fillId="9" borderId="119" xfId="23" applyFont="1" applyFill="1" applyBorder="1"/>
    <xf numFmtId="3" fontId="68" fillId="9" borderId="80" xfId="6" applyNumberFormat="1" applyFont="1" applyFill="1" applyBorder="1"/>
    <xf numFmtId="3" fontId="68" fillId="9" borderId="112" xfId="6" applyNumberFormat="1" applyFont="1" applyFill="1" applyBorder="1"/>
    <xf numFmtId="0" fontId="68" fillId="0" borderId="119" xfId="23" applyFont="1" applyFill="1" applyBorder="1"/>
    <xf numFmtId="3" fontId="68" fillId="0" borderId="80" xfId="6" applyNumberFormat="1" applyFont="1" applyFill="1" applyBorder="1"/>
    <xf numFmtId="0" fontId="67" fillId="12" borderId="119" xfId="23" applyFont="1" applyFill="1" applyBorder="1"/>
    <xf numFmtId="3" fontId="67" fillId="12" borderId="80" xfId="6" applyNumberFormat="1" applyFont="1" applyFill="1" applyBorder="1"/>
    <xf numFmtId="3" fontId="67" fillId="12" borderId="112" xfId="6" applyNumberFormat="1" applyFont="1" applyFill="1" applyBorder="1"/>
    <xf numFmtId="0" fontId="67" fillId="9" borderId="125" xfId="23" applyFont="1" applyFill="1" applyBorder="1"/>
    <xf numFmtId="3" fontId="67" fillId="9" borderId="115" xfId="6" applyNumberFormat="1" applyFont="1" applyFill="1" applyBorder="1"/>
    <xf numFmtId="3" fontId="67" fillId="9" borderId="143" xfId="6" applyNumberFormat="1" applyFont="1" applyFill="1" applyBorder="1"/>
    <xf numFmtId="0" fontId="68" fillId="9" borderId="0" xfId="23" applyFont="1" applyFill="1" applyBorder="1"/>
    <xf numFmtId="169" fontId="67" fillId="9" borderId="0" xfId="23" applyNumberFormat="1" applyFont="1" applyFill="1" applyBorder="1"/>
    <xf numFmtId="172" fontId="47" fillId="9" borderId="0" xfId="6" applyFont="1" applyFill="1" applyBorder="1"/>
    <xf numFmtId="3" fontId="85" fillId="9" borderId="0" xfId="6" applyNumberFormat="1" applyFont="1" applyFill="1" applyBorder="1" applyAlignment="1">
      <alignment horizontal="right" vertical="center"/>
    </xf>
    <xf numFmtId="0" fontId="86" fillId="9" borderId="0" xfId="23" applyFont="1" applyFill="1"/>
    <xf numFmtId="3" fontId="68" fillId="9" borderId="0" xfId="23" applyNumberFormat="1" applyFont="1" applyFill="1"/>
    <xf numFmtId="0" fontId="68" fillId="9" borderId="0" xfId="20" applyFont="1" applyFill="1"/>
    <xf numFmtId="0" fontId="68" fillId="9" borderId="0" xfId="20" applyFont="1" applyFill="1" applyAlignment="1">
      <alignment horizontal="center"/>
    </xf>
    <xf numFmtId="0" fontId="72" fillId="9" borderId="119" xfId="20" applyFont="1" applyFill="1" applyBorder="1" applyAlignment="1">
      <alignment horizontal="center"/>
    </xf>
    <xf numFmtId="0" fontId="68" fillId="9" borderId="80" xfId="20" applyFont="1" applyFill="1" applyBorder="1"/>
    <xf numFmtId="4" fontId="68" fillId="9" borderId="80" xfId="20" applyNumberFormat="1" applyFont="1" applyFill="1" applyBorder="1"/>
    <xf numFmtId="3" fontId="68" fillId="9" borderId="80" xfId="20" applyNumberFormat="1" applyFont="1" applyFill="1" applyBorder="1"/>
    <xf numFmtId="3" fontId="68" fillId="9" borderId="112" xfId="20" applyNumberFormat="1" applyFont="1" applyFill="1" applyBorder="1"/>
    <xf numFmtId="0" fontId="72" fillId="9" borderId="119" xfId="20" applyFont="1" applyFill="1" applyBorder="1" applyAlignment="1">
      <alignment horizontal="left"/>
    </xf>
    <xf numFmtId="0" fontId="68" fillId="9" borderId="119" xfId="20" applyFont="1" applyFill="1" applyBorder="1" applyAlignment="1">
      <alignment horizontal="left"/>
    </xf>
    <xf numFmtId="0" fontId="68" fillId="9" borderId="80" xfId="20" applyFont="1" applyFill="1" applyBorder="1" applyAlignment="1">
      <alignment horizontal="center"/>
    </xf>
    <xf numFmtId="0" fontId="67" fillId="9" borderId="80" xfId="20" applyFont="1" applyFill="1" applyBorder="1"/>
    <xf numFmtId="4" fontId="67" fillId="9" borderId="80" xfId="20" applyNumberFormat="1" applyFont="1" applyFill="1" applyBorder="1"/>
    <xf numFmtId="3" fontId="67" fillId="9" borderId="80" xfId="20" applyNumberFormat="1" applyFont="1" applyFill="1" applyBorder="1"/>
    <xf numFmtId="3" fontId="67" fillId="9" borderId="112" xfId="20" applyNumberFormat="1" applyFont="1" applyFill="1" applyBorder="1"/>
    <xf numFmtId="0" fontId="67" fillId="9" borderId="0" xfId="20" applyFont="1" applyFill="1"/>
    <xf numFmtId="0" fontId="68" fillId="9" borderId="119" xfId="20" applyFont="1" applyFill="1" applyBorder="1"/>
    <xf numFmtId="3" fontId="68" fillId="9" borderId="0" xfId="20" applyNumberFormat="1" applyFont="1" applyFill="1"/>
    <xf numFmtId="0" fontId="72" fillId="9" borderId="119" xfId="20" applyFont="1" applyFill="1" applyBorder="1"/>
    <xf numFmtId="43" fontId="68" fillId="9" borderId="0" xfId="20" applyNumberFormat="1" applyFont="1" applyFill="1"/>
    <xf numFmtId="0" fontId="67" fillId="9" borderId="80" xfId="20" applyFont="1" applyFill="1" applyBorder="1" applyAlignment="1">
      <alignment horizontal="center"/>
    </xf>
    <xf numFmtId="172" fontId="67" fillId="9" borderId="80" xfId="6" applyFont="1" applyFill="1" applyBorder="1"/>
    <xf numFmtId="4" fontId="68" fillId="0" borderId="80" xfId="20" applyNumberFormat="1" applyFont="1" applyFill="1" applyBorder="1"/>
    <xf numFmtId="0" fontId="67" fillId="9" borderId="119" xfId="20" applyFont="1" applyFill="1" applyBorder="1"/>
    <xf numFmtId="4" fontId="68" fillId="9" borderId="80" xfId="20" applyNumberFormat="1" applyFont="1" applyFill="1" applyBorder="1" applyAlignment="1"/>
    <xf numFmtId="4" fontId="68" fillId="9" borderId="80" xfId="20" applyNumberFormat="1" applyFont="1" applyFill="1" applyBorder="1" applyAlignment="1">
      <alignment horizontal="right"/>
    </xf>
    <xf numFmtId="3" fontId="68" fillId="9" borderId="80" xfId="20" applyNumberFormat="1" applyFont="1" applyFill="1" applyBorder="1" applyAlignment="1">
      <alignment horizontal="right"/>
    </xf>
    <xf numFmtId="4" fontId="68" fillId="9" borderId="0" xfId="20" applyNumberFormat="1" applyFont="1" applyFill="1"/>
    <xf numFmtId="0" fontId="67" fillId="9" borderId="125" xfId="20" applyFont="1" applyFill="1" applyBorder="1"/>
    <xf numFmtId="0" fontId="67" fillId="9" borderId="115" xfId="20" applyFont="1" applyFill="1" applyBorder="1"/>
    <xf numFmtId="4" fontId="67" fillId="9" borderId="115" xfId="20" applyNumberFormat="1" applyFont="1" applyFill="1" applyBorder="1"/>
    <xf numFmtId="3" fontId="67" fillId="9" borderId="115" xfId="20" applyNumberFormat="1" applyFont="1" applyFill="1" applyBorder="1"/>
    <xf numFmtId="3" fontId="67" fillId="9" borderId="143" xfId="20" applyNumberFormat="1" applyFont="1" applyFill="1" applyBorder="1"/>
    <xf numFmtId="14" fontId="47" fillId="9" borderId="0" xfId="0" applyNumberFormat="1" applyFont="1" applyFill="1"/>
    <xf numFmtId="0" fontId="46" fillId="0" borderId="80" xfId="0" applyFont="1" applyBorder="1" applyAlignment="1">
      <alignment horizontal="center" vertical="center"/>
    </xf>
    <xf numFmtId="0" fontId="46" fillId="0" borderId="80" xfId="0" applyFont="1" applyBorder="1" applyAlignment="1">
      <alignment horizontal="center" vertical="center" wrapText="1"/>
    </xf>
    <xf numFmtId="0" fontId="46" fillId="0" borderId="0" xfId="0" applyFont="1"/>
    <xf numFmtId="0" fontId="47" fillId="0" borderId="80" xfId="0" applyFont="1" applyBorder="1" applyAlignment="1">
      <alignment wrapText="1"/>
    </xf>
    <xf numFmtId="4" fontId="47" fillId="0" borderId="80" xfId="0" applyNumberFormat="1" applyFont="1" applyBorder="1"/>
    <xf numFmtId="3" fontId="47" fillId="0" borderId="80" xfId="0" applyNumberFormat="1" applyFont="1" applyFill="1" applyBorder="1"/>
    <xf numFmtId="4" fontId="47" fillId="0" borderId="80" xfId="0" applyNumberFormat="1" applyFont="1" applyFill="1" applyBorder="1"/>
    <xf numFmtId="0" fontId="46" fillId="12" borderId="80" xfId="0" applyFont="1" applyFill="1" applyBorder="1"/>
    <xf numFmtId="3" fontId="46" fillId="12" borderId="80" xfId="0" applyNumberFormat="1" applyFont="1" applyFill="1" applyBorder="1"/>
    <xf numFmtId="4" fontId="46" fillId="12" borderId="80" xfId="0" applyNumberFormat="1" applyFont="1" applyFill="1" applyBorder="1"/>
    <xf numFmtId="0" fontId="46" fillId="12" borderId="80" xfId="0" applyFont="1" applyFill="1" applyBorder="1" applyAlignment="1">
      <alignment horizontal="center"/>
    </xf>
    <xf numFmtId="3" fontId="46" fillId="0" borderId="0" xfId="0" applyNumberFormat="1" applyFont="1"/>
    <xf numFmtId="0" fontId="68" fillId="0" borderId="0" xfId="18" applyFont="1"/>
    <xf numFmtId="0" fontId="84" fillId="0" borderId="0" xfId="18" applyFont="1" applyAlignment="1">
      <alignment horizontal="center"/>
    </xf>
    <xf numFmtId="0" fontId="71" fillId="0" borderId="0" xfId="18" applyFont="1" applyAlignment="1">
      <alignment horizontal="center"/>
    </xf>
    <xf numFmtId="0" fontId="72" fillId="0" borderId="110" xfId="18" applyFont="1" applyBorder="1"/>
    <xf numFmtId="172" fontId="47" fillId="0" borderId="25" xfId="6" applyFont="1" applyBorder="1"/>
    <xf numFmtId="172" fontId="47" fillId="0" borderId="123" xfId="6" applyFont="1" applyBorder="1"/>
    <xf numFmtId="0" fontId="68" fillId="0" borderId="111" xfId="18" applyFont="1" applyBorder="1"/>
    <xf numFmtId="172" fontId="47" fillId="0" borderId="80" xfId="6" applyFont="1" applyBorder="1"/>
    <xf numFmtId="167" fontId="47" fillId="0" borderId="80" xfId="6" applyNumberFormat="1" applyFont="1" applyFill="1" applyBorder="1"/>
    <xf numFmtId="172" fontId="84" fillId="0" borderId="80" xfId="6" applyFont="1" applyBorder="1" applyAlignment="1">
      <alignment horizontal="center"/>
    </xf>
    <xf numFmtId="172" fontId="84" fillId="0" borderId="112" xfId="6" applyFont="1" applyBorder="1" applyAlignment="1">
      <alignment horizontal="center"/>
    </xf>
    <xf numFmtId="0" fontId="72" fillId="12" borderId="119" xfId="18" applyFont="1" applyFill="1" applyBorder="1"/>
    <xf numFmtId="172" fontId="46" fillId="12" borderId="80" xfId="6" applyFont="1" applyFill="1" applyBorder="1"/>
    <xf numFmtId="167" fontId="46" fillId="12" borderId="80" xfId="6" applyNumberFormat="1" applyFont="1" applyFill="1" applyBorder="1"/>
    <xf numFmtId="172" fontId="46" fillId="12" borderId="112" xfId="6" applyFont="1" applyFill="1" applyBorder="1"/>
    <xf numFmtId="0" fontId="67" fillId="0" borderId="119" xfId="18" applyFont="1" applyBorder="1"/>
    <xf numFmtId="172" fontId="46" fillId="0" borderId="80" xfId="6" applyFont="1" applyBorder="1"/>
    <xf numFmtId="167" fontId="46" fillId="0" borderId="80" xfId="6" applyNumberFormat="1" applyFont="1" applyBorder="1"/>
    <xf numFmtId="172" fontId="46" fillId="0" borderId="112" xfId="6" applyFont="1" applyBorder="1"/>
    <xf numFmtId="0" fontId="72" fillId="0" borderId="119" xfId="18" applyFont="1" applyFill="1" applyBorder="1"/>
    <xf numFmtId="172" fontId="47" fillId="0" borderId="80" xfId="6" applyFont="1" applyFill="1" applyBorder="1"/>
    <xf numFmtId="172" fontId="47" fillId="0" borderId="112" xfId="6" applyFont="1" applyFill="1" applyBorder="1"/>
    <xf numFmtId="0" fontId="68" fillId="0" borderId="119" xfId="18" applyFont="1" applyFill="1" applyBorder="1"/>
    <xf numFmtId="0" fontId="67" fillId="0" borderId="125" xfId="18" applyFont="1" applyFill="1" applyBorder="1"/>
    <xf numFmtId="172" fontId="46" fillId="0" borderId="115" xfId="6" applyFont="1" applyFill="1" applyBorder="1"/>
    <xf numFmtId="167" fontId="46" fillId="0" borderId="115" xfId="6" applyNumberFormat="1" applyFont="1" applyFill="1" applyBorder="1"/>
    <xf numFmtId="167" fontId="46" fillId="0" borderId="115" xfId="6" applyNumberFormat="1" applyFont="1" applyFill="1" applyBorder="1" applyAlignment="1" applyProtection="1"/>
    <xf numFmtId="167" fontId="46" fillId="0" borderId="115" xfId="6" applyNumberFormat="1" applyFont="1" applyBorder="1"/>
    <xf numFmtId="167" fontId="46" fillId="0" borderId="143" xfId="6" applyNumberFormat="1" applyFont="1" applyBorder="1"/>
    <xf numFmtId="14" fontId="68" fillId="0" borderId="0" xfId="18" applyNumberFormat="1" applyFont="1"/>
    <xf numFmtId="0" fontId="67" fillId="0" borderId="0" xfId="19" applyFont="1" applyFill="1" applyBorder="1" applyAlignment="1"/>
    <xf numFmtId="0" fontId="84" fillId="0" borderId="0" xfId="19" applyFont="1" applyFill="1"/>
    <xf numFmtId="0" fontId="84" fillId="0" borderId="0" xfId="19" applyFont="1" applyFill="1" applyAlignment="1">
      <alignment horizontal="center"/>
    </xf>
    <xf numFmtId="0" fontId="68" fillId="0" borderId="0" xfId="19" applyFont="1"/>
    <xf numFmtId="166" fontId="68" fillId="0" borderId="0" xfId="19" applyNumberFormat="1" applyFont="1"/>
    <xf numFmtId="14" fontId="68" fillId="0" borderId="0" xfId="19" applyNumberFormat="1" applyFont="1" applyFill="1"/>
    <xf numFmtId="0" fontId="67" fillId="0" borderId="0" xfId="19" applyFont="1" applyFill="1"/>
    <xf numFmtId="168" fontId="68" fillId="0" borderId="80" xfId="7" applyFont="1" applyFill="1" applyBorder="1"/>
    <xf numFmtId="168" fontId="68" fillId="0" borderId="112" xfId="7" applyFont="1" applyFill="1" applyBorder="1"/>
    <xf numFmtId="0" fontId="68" fillId="0" borderId="125" xfId="19" applyFont="1" applyFill="1" applyBorder="1"/>
    <xf numFmtId="3" fontId="68" fillId="0" borderId="115" xfId="19" applyNumberFormat="1" applyFont="1" applyFill="1" applyBorder="1"/>
    <xf numFmtId="3" fontId="68" fillId="0" borderId="143" xfId="19" applyNumberFormat="1" applyFont="1" applyFill="1" applyBorder="1"/>
    <xf numFmtId="0" fontId="46" fillId="0" borderId="119" xfId="0" applyFont="1" applyBorder="1"/>
    <xf numFmtId="0" fontId="46" fillId="0" borderId="80" xfId="0" applyFont="1" applyBorder="1"/>
    <xf numFmtId="0" fontId="46" fillId="0" borderId="112" xfId="0" applyFont="1" applyBorder="1"/>
    <xf numFmtId="0" fontId="46" fillId="12" borderId="119" xfId="0" applyFont="1" applyFill="1" applyBorder="1" applyAlignment="1">
      <alignment horizontal="center"/>
    </xf>
    <xf numFmtId="0" fontId="46" fillId="12" borderId="80" xfId="0" applyFont="1" applyFill="1" applyBorder="1" applyAlignment="1">
      <alignment horizontal="center" wrapText="1"/>
    </xf>
    <xf numFmtId="0" fontId="46" fillId="12" borderId="112" xfId="0" applyFont="1" applyFill="1" applyBorder="1" applyAlignment="1">
      <alignment horizontal="center" wrapText="1"/>
    </xf>
    <xf numFmtId="0" fontId="46" fillId="0" borderId="125" xfId="0" applyFont="1" applyBorder="1"/>
    <xf numFmtId="0" fontId="68" fillId="9" borderId="0" xfId="0" applyFont="1" applyFill="1"/>
    <xf numFmtId="0" fontId="67" fillId="9" borderId="0" xfId="0" applyFont="1" applyFill="1" applyBorder="1" applyAlignment="1">
      <alignment horizontal="center" vertical="center"/>
    </xf>
    <xf numFmtId="0" fontId="67" fillId="9" borderId="0" xfId="0" applyFont="1" applyFill="1" applyBorder="1" applyAlignment="1"/>
    <xf numFmtId="0" fontId="67" fillId="9" borderId="0" xfId="0" applyFont="1" applyFill="1" applyAlignment="1">
      <alignment horizontal="right"/>
    </xf>
    <xf numFmtId="0" fontId="71" fillId="9" borderId="0" xfId="0" applyFont="1" applyFill="1" applyBorder="1" applyAlignment="1"/>
    <xf numFmtId="0" fontId="84" fillId="9" borderId="0" xfId="0" applyFont="1" applyFill="1"/>
    <xf numFmtId="0" fontId="68" fillId="9" borderId="0" xfId="0" applyFont="1" applyFill="1" applyBorder="1"/>
    <xf numFmtId="169" fontId="68" fillId="9" borderId="0" xfId="0" applyNumberFormat="1" applyFont="1" applyFill="1"/>
    <xf numFmtId="169" fontId="74" fillId="9" borderId="30" xfId="0" applyNumberFormat="1" applyFont="1" applyFill="1" applyBorder="1"/>
    <xf numFmtId="172" fontId="68" fillId="9" borderId="0" xfId="6" applyFont="1" applyFill="1"/>
    <xf numFmtId="14" fontId="68" fillId="9" borderId="0" xfId="0" applyNumberFormat="1" applyFont="1" applyFill="1"/>
    <xf numFmtId="0" fontId="88" fillId="9" borderId="0" xfId="0" applyFont="1" applyFill="1"/>
    <xf numFmtId="3" fontId="88" fillId="9" borderId="0" xfId="0" applyNumberFormat="1" applyFont="1" applyFill="1"/>
    <xf numFmtId="3" fontId="68" fillId="9" borderId="0" xfId="0" applyNumberFormat="1" applyFont="1" applyFill="1"/>
    <xf numFmtId="0" fontId="47" fillId="12" borderId="124" xfId="0" applyFont="1" applyFill="1" applyBorder="1" applyAlignment="1">
      <alignment horizontal="center"/>
    </xf>
    <xf numFmtId="0" fontId="47" fillId="12" borderId="121" xfId="0" applyFont="1" applyFill="1" applyBorder="1" applyAlignment="1">
      <alignment horizontal="center"/>
    </xf>
    <xf numFmtId="0" fontId="47" fillId="12" borderId="145" xfId="0" applyFont="1" applyFill="1" applyBorder="1" applyAlignment="1">
      <alignment horizontal="center"/>
    </xf>
    <xf numFmtId="0" fontId="47" fillId="0" borderId="119" xfId="0" applyFont="1" applyFill="1" applyBorder="1" applyAlignment="1">
      <alignment horizontal="center"/>
    </xf>
    <xf numFmtId="0" fontId="47" fillId="0" borderId="80" xfId="0" applyFont="1" applyFill="1" applyBorder="1" applyAlignment="1">
      <alignment horizontal="center"/>
    </xf>
    <xf numFmtId="0" fontId="47" fillId="0" borderId="112" xfId="0" applyFont="1" applyFill="1" applyBorder="1" applyAlignment="1">
      <alignment horizontal="center"/>
    </xf>
    <xf numFmtId="0" fontId="46" fillId="12" borderId="119" xfId="0" applyFont="1" applyFill="1" applyBorder="1"/>
    <xf numFmtId="3" fontId="46" fillId="12" borderId="112" xfId="0" applyNumberFormat="1" applyFont="1" applyFill="1" applyBorder="1"/>
    <xf numFmtId="0" fontId="46" fillId="12" borderId="125" xfId="0" applyFont="1" applyFill="1" applyBorder="1"/>
    <xf numFmtId="0" fontId="46" fillId="12" borderId="115" xfId="0" applyFont="1" applyFill="1" applyBorder="1"/>
    <xf numFmtId="0" fontId="46" fillId="0" borderId="115" xfId="0" applyFont="1" applyBorder="1"/>
    <xf numFmtId="0" fontId="46" fillId="0" borderId="143" xfId="0" applyFont="1" applyBorder="1"/>
    <xf numFmtId="184" fontId="47" fillId="0" borderId="0" xfId="0" applyNumberFormat="1" applyFont="1"/>
    <xf numFmtId="0" fontId="47" fillId="0" borderId="125" xfId="0" applyFont="1" applyBorder="1"/>
    <xf numFmtId="0" fontId="46" fillId="12" borderId="112" xfId="0" applyFont="1" applyFill="1" applyBorder="1"/>
    <xf numFmtId="3" fontId="47" fillId="12" borderId="112" xfId="0" applyNumberFormat="1" applyFont="1" applyFill="1" applyBorder="1"/>
    <xf numFmtId="3" fontId="46" fillId="0" borderId="115" xfId="0" applyNumberFormat="1" applyFont="1" applyBorder="1"/>
    <xf numFmtId="3" fontId="47" fillId="0" borderId="143" xfId="0" applyNumberFormat="1" applyFont="1" applyBorder="1"/>
    <xf numFmtId="0" fontId="47" fillId="0" borderId="0" xfId="0" applyFont="1" applyAlignment="1">
      <alignment wrapText="1"/>
    </xf>
    <xf numFmtId="0" fontId="46" fillId="11" borderId="124" xfId="0" applyFont="1" applyFill="1" applyBorder="1"/>
    <xf numFmtId="0" fontId="46" fillId="11" borderId="121" xfId="0" applyFont="1" applyFill="1" applyBorder="1"/>
    <xf numFmtId="0" fontId="46" fillId="11" borderId="145" xfId="0" applyFont="1" applyFill="1" applyBorder="1"/>
    <xf numFmtId="0" fontId="46" fillId="11" borderId="145" xfId="0" applyFont="1" applyFill="1" applyBorder="1" applyAlignment="1">
      <alignment horizontal="center" vertical="center" wrapText="1"/>
    </xf>
    <xf numFmtId="0" fontId="47" fillId="0" borderId="112" xfId="0" applyFont="1" applyBorder="1" applyAlignment="1">
      <alignment wrapText="1"/>
    </xf>
    <xf numFmtId="0" fontId="47" fillId="0" borderId="115" xfId="0" applyFont="1" applyBorder="1" applyAlignment="1">
      <alignment wrapText="1"/>
    </xf>
    <xf numFmtId="0" fontId="47" fillId="0" borderId="143" xfId="0" applyFont="1" applyBorder="1" applyAlignment="1">
      <alignment wrapText="1"/>
    </xf>
    <xf numFmtId="3" fontId="46" fillId="0" borderId="143" xfId="0" applyNumberFormat="1" applyFont="1" applyBorder="1"/>
    <xf numFmtId="0" fontId="46" fillId="11" borderId="80" xfId="0" applyFont="1" applyFill="1" applyBorder="1" applyAlignment="1">
      <alignment horizontal="left"/>
    </xf>
    <xf numFmtId="0" fontId="46" fillId="11" borderId="80" xfId="0" applyFont="1" applyFill="1" applyBorder="1" applyAlignment="1">
      <alignment horizontal="center" wrapText="1"/>
    </xf>
    <xf numFmtId="3" fontId="47" fillId="0" borderId="80" xfId="0" applyNumberFormat="1" applyFont="1" applyFill="1" applyBorder="1" applyAlignment="1">
      <alignment wrapText="1"/>
    </xf>
    <xf numFmtId="3" fontId="47" fillId="0" borderId="80" xfId="0" applyNumberFormat="1" applyFont="1" applyBorder="1" applyAlignment="1">
      <alignment wrapText="1"/>
    </xf>
    <xf numFmtId="3" fontId="46" fillId="0" borderId="80" xfId="0" applyNumberFormat="1" applyFont="1" applyBorder="1" applyAlignment="1">
      <alignment wrapText="1"/>
    </xf>
    <xf numFmtId="14" fontId="47" fillId="0" borderId="0" xfId="0" applyNumberFormat="1" applyFont="1" applyAlignment="1">
      <alignment wrapText="1"/>
    </xf>
    <xf numFmtId="0" fontId="46" fillId="0" borderId="0" xfId="0" applyFont="1" applyAlignment="1">
      <alignment wrapText="1"/>
    </xf>
    <xf numFmtId="3" fontId="47" fillId="0" borderId="0" xfId="0" applyNumberFormat="1" applyFont="1" applyAlignment="1">
      <alignment wrapText="1"/>
    </xf>
    <xf numFmtId="0" fontId="47" fillId="11" borderId="124" xfId="0" applyFont="1" applyFill="1" applyBorder="1" applyAlignment="1">
      <alignment horizontal="center" vertical="center" wrapText="1"/>
    </xf>
    <xf numFmtId="0" fontId="47" fillId="11" borderId="145" xfId="0" applyFont="1" applyFill="1" applyBorder="1" applyAlignment="1">
      <alignment horizontal="center" vertical="center" wrapText="1"/>
    </xf>
    <xf numFmtId="0" fontId="47" fillId="0" borderId="119" xfId="0" applyFont="1" applyBorder="1" applyAlignment="1">
      <alignment horizontal="center"/>
    </xf>
    <xf numFmtId="0" fontId="47" fillId="0" borderId="80" xfId="0" applyFont="1" applyBorder="1" applyAlignment="1">
      <alignment horizontal="center"/>
    </xf>
    <xf numFmtId="0" fontId="47" fillId="0" borderId="80" xfId="0" applyFont="1" applyBorder="1" applyAlignment="1">
      <alignment horizontal="center" wrapText="1"/>
    </xf>
    <xf numFmtId="3" fontId="47" fillId="0" borderId="80" xfId="0" applyNumberFormat="1" applyFont="1" applyBorder="1" applyAlignment="1"/>
    <xf numFmtId="3" fontId="47" fillId="0" borderId="112" xfId="0" applyNumberFormat="1" applyFont="1" applyBorder="1" applyAlignment="1"/>
    <xf numFmtId="3" fontId="46" fillId="0" borderId="115" xfId="0" applyNumberFormat="1" applyFont="1" applyBorder="1" applyAlignment="1"/>
    <xf numFmtId="3" fontId="46" fillId="0" borderId="143" xfId="0" applyNumberFormat="1" applyFont="1" applyBorder="1" applyAlignment="1"/>
    <xf numFmtId="0" fontId="47" fillId="12" borderId="115" xfId="0" applyFont="1" applyFill="1" applyBorder="1"/>
    <xf numFmtId="3" fontId="46" fillId="12" borderId="115" xfId="0" applyNumberFormat="1" applyFont="1" applyFill="1" applyBorder="1"/>
    <xf numFmtId="3" fontId="46" fillId="12" borderId="143" xfId="0" applyNumberFormat="1" applyFont="1" applyFill="1" applyBorder="1"/>
    <xf numFmtId="0" fontId="47" fillId="11" borderId="121" xfId="0" applyFont="1" applyFill="1" applyBorder="1" applyAlignment="1">
      <alignment horizontal="center" vertical="center"/>
    </xf>
    <xf numFmtId="3" fontId="46" fillId="0" borderId="143" xfId="0" applyNumberFormat="1" applyFont="1" applyBorder="1" applyAlignment="1">
      <alignment horizontal="right"/>
    </xf>
    <xf numFmtId="0" fontId="47" fillId="0" borderId="80" xfId="0" applyFont="1" applyBorder="1" applyAlignment="1">
      <alignment horizontal="center" vertical="center"/>
    </xf>
    <xf numFmtId="0" fontId="47" fillId="0" borderId="80" xfId="0" applyFont="1" applyBorder="1" applyAlignment="1">
      <alignment horizontal="center" vertical="center" wrapText="1"/>
    </xf>
    <xf numFmtId="14" fontId="47" fillId="9" borderId="0" xfId="0" applyNumberFormat="1" applyFont="1" applyFill="1" applyAlignment="1">
      <alignment horizontal="center"/>
    </xf>
    <xf numFmtId="0" fontId="69" fillId="9" borderId="124" xfId="0" applyFont="1" applyFill="1" applyBorder="1"/>
    <xf numFmtId="0" fontId="47" fillId="9" borderId="121" xfId="0" applyFont="1" applyFill="1" applyBorder="1"/>
    <xf numFmtId="0" fontId="47" fillId="9" borderId="145" xfId="0" applyFont="1" applyFill="1" applyBorder="1"/>
    <xf numFmtId="0" fontId="47" fillId="9" borderId="119" xfId="0" applyFont="1" applyFill="1" applyBorder="1"/>
    <xf numFmtId="0" fontId="47" fillId="9" borderId="80" xfId="0" applyFont="1" applyFill="1" applyBorder="1"/>
    <xf numFmtId="0" fontId="47" fillId="9" borderId="112" xfId="0" applyFont="1" applyFill="1" applyBorder="1"/>
    <xf numFmtId="0" fontId="46" fillId="9" borderId="119" xfId="0" applyFont="1" applyFill="1" applyBorder="1"/>
    <xf numFmtId="0" fontId="69" fillId="9" borderId="119" xfId="0" applyFont="1" applyFill="1" applyBorder="1"/>
    <xf numFmtId="3" fontId="47" fillId="9" borderId="80" xfId="0" applyNumberFormat="1" applyFont="1" applyFill="1" applyBorder="1"/>
    <xf numFmtId="3" fontId="46" fillId="9" borderId="80" xfId="0" applyNumberFormat="1" applyFont="1" applyFill="1" applyBorder="1"/>
    <xf numFmtId="3" fontId="46" fillId="9" borderId="112" xfId="0" applyNumberFormat="1" applyFont="1" applyFill="1" applyBorder="1"/>
    <xf numFmtId="0" fontId="69" fillId="9" borderId="125" xfId="0" applyFont="1" applyFill="1" applyBorder="1"/>
    <xf numFmtId="0" fontId="47" fillId="9" borderId="115" xfId="0" applyFont="1" applyFill="1" applyBorder="1"/>
    <xf numFmtId="0" fontId="47" fillId="9" borderId="143" xfId="0" applyFont="1" applyFill="1" applyBorder="1"/>
    <xf numFmtId="168" fontId="22" fillId="0" borderId="0" xfId="7" applyBorder="1" applyAlignment="1">
      <alignment horizontal="right"/>
    </xf>
    <xf numFmtId="168" fontId="68" fillId="0" borderId="0" xfId="22" applyNumberFormat="1" applyFont="1" applyBorder="1"/>
    <xf numFmtId="3" fontId="67" fillId="0" borderId="115" xfId="6" applyNumberFormat="1" applyFont="1" applyFill="1" applyBorder="1"/>
    <xf numFmtId="3" fontId="68" fillId="9" borderId="108" xfId="21" applyNumberFormat="1" applyFont="1" applyFill="1" applyBorder="1"/>
    <xf numFmtId="3" fontId="68" fillId="9" borderId="173" xfId="21" applyNumberFormat="1" applyFont="1" applyFill="1" applyBorder="1"/>
    <xf numFmtId="0" fontId="67" fillId="9" borderId="113" xfId="21" applyFont="1" applyFill="1" applyBorder="1"/>
    <xf numFmtId="3" fontId="67" fillId="9" borderId="174" xfId="21" applyNumberFormat="1" applyFont="1" applyFill="1" applyBorder="1"/>
    <xf numFmtId="3" fontId="67" fillId="9" borderId="115" xfId="21" applyNumberFormat="1" applyFont="1" applyFill="1" applyBorder="1"/>
    <xf numFmtId="3" fontId="67" fillId="9" borderId="143" xfId="21" applyNumberFormat="1" applyFont="1" applyFill="1" applyBorder="1"/>
    <xf numFmtId="0" fontId="68" fillId="9" borderId="118" xfId="21" applyFont="1" applyFill="1" applyBorder="1"/>
    <xf numFmtId="167" fontId="67" fillId="9" borderId="98" xfId="6" applyNumberFormat="1" applyFont="1" applyFill="1" applyBorder="1"/>
    <xf numFmtId="3" fontId="68" fillId="0" borderId="0" xfId="19" applyNumberFormat="1" applyFont="1" applyFill="1"/>
    <xf numFmtId="168" fontId="22" fillId="0" borderId="109" xfId="7" applyBorder="1" applyAlignment="1">
      <alignment horizontal="right" vertical="center"/>
    </xf>
    <xf numFmtId="0" fontId="46" fillId="0" borderId="149" xfId="0" applyFont="1" applyFill="1" applyBorder="1" applyAlignment="1">
      <alignment horizontal="justify" vertical="center"/>
    </xf>
    <xf numFmtId="0" fontId="46" fillId="0" borderId="109" xfId="0" applyFont="1" applyFill="1" applyBorder="1" applyAlignment="1">
      <alignment horizontal="justify" vertical="center"/>
    </xf>
    <xf numFmtId="0" fontId="47" fillId="0" borderId="149" xfId="0" applyFont="1" applyFill="1" applyBorder="1" applyAlignment="1">
      <alignment horizontal="justify" vertical="center"/>
    </xf>
    <xf numFmtId="0" fontId="47" fillId="0" borderId="109" xfId="0" applyFont="1" applyFill="1" applyBorder="1" applyAlignment="1">
      <alignment horizontal="justify" vertical="center"/>
    </xf>
    <xf numFmtId="168" fontId="22" fillId="0" borderId="0" xfId="7"/>
    <xf numFmtId="0" fontId="74" fillId="9" borderId="28" xfId="0" applyFont="1" applyFill="1" applyBorder="1"/>
    <xf numFmtId="169" fontId="74" fillId="9" borderId="29" xfId="0" applyNumberFormat="1" applyFont="1" applyFill="1" applyBorder="1"/>
    <xf numFmtId="0" fontId="89" fillId="0" borderId="0" xfId="0" applyFont="1"/>
    <xf numFmtId="3" fontId="47" fillId="0" borderId="80" xfId="0" applyNumberFormat="1" applyFont="1" applyFill="1" applyBorder="1" applyAlignment="1">
      <alignment horizontal="right" vertical="center"/>
    </xf>
    <xf numFmtId="0" fontId="47" fillId="0" borderId="80" xfId="0" applyFont="1" applyFill="1" applyBorder="1"/>
    <xf numFmtId="0" fontId="47" fillId="0" borderId="175" xfId="0" applyFont="1" applyBorder="1"/>
    <xf numFmtId="3" fontId="47" fillId="0" borderId="173" xfId="0" applyNumberFormat="1" applyFont="1" applyBorder="1"/>
    <xf numFmtId="3" fontId="47" fillId="0" borderId="122" xfId="0" applyNumberFormat="1" applyFont="1" applyBorder="1"/>
    <xf numFmtId="14" fontId="67" fillId="9" borderId="154" xfId="21" applyNumberFormat="1" applyFont="1" applyFill="1" applyBorder="1" applyAlignment="1">
      <alignment horizontal="center"/>
    </xf>
    <xf numFmtId="0" fontId="67" fillId="9" borderId="103" xfId="21" applyFont="1" applyFill="1" applyBorder="1" applyAlignment="1">
      <alignment horizontal="center"/>
    </xf>
    <xf numFmtId="184" fontId="67" fillId="9" borderId="61" xfId="21" applyNumberFormat="1" applyFont="1" applyFill="1" applyBorder="1" applyAlignment="1">
      <alignment horizontal="center"/>
    </xf>
    <xf numFmtId="14" fontId="67" fillId="9" borderId="61" xfId="21" applyNumberFormat="1" applyFont="1" applyFill="1" applyBorder="1" applyAlignment="1">
      <alignment horizontal="center"/>
    </xf>
    <xf numFmtId="0" fontId="67" fillId="9" borderId="61" xfId="21" applyFont="1" applyFill="1" applyBorder="1" applyAlignment="1">
      <alignment horizontal="center"/>
    </xf>
    <xf numFmtId="14" fontId="67" fillId="9" borderId="107" xfId="21" applyNumberFormat="1" applyFont="1" applyFill="1" applyBorder="1" applyAlignment="1">
      <alignment horizontal="center"/>
    </xf>
    <xf numFmtId="0" fontId="47" fillId="0" borderId="119" xfId="0" applyFont="1" applyFill="1" applyBorder="1" applyAlignment="1">
      <alignment horizontal="left" vertical="center"/>
    </xf>
    <xf numFmtId="3" fontId="47" fillId="0" borderId="112" xfId="0" applyNumberFormat="1" applyFont="1" applyFill="1" applyBorder="1" applyAlignment="1">
      <alignment horizontal="right" vertical="center"/>
    </xf>
    <xf numFmtId="183" fontId="68" fillId="9" borderId="155" xfId="22" applyNumberFormat="1" applyFont="1" applyFill="1" applyBorder="1"/>
    <xf numFmtId="0" fontId="45" fillId="0" borderId="124" xfId="0" applyFont="1" applyBorder="1" applyAlignment="1">
      <alignment horizontal="justify" vertical="center"/>
    </xf>
    <xf numFmtId="0" fontId="45" fillId="0" borderId="145" xfId="0" applyFont="1" applyBorder="1" applyAlignment="1">
      <alignment horizontal="justify" vertical="center"/>
    </xf>
    <xf numFmtId="0" fontId="45" fillId="0" borderId="119" xfId="0" applyFont="1" applyBorder="1" applyAlignment="1">
      <alignment horizontal="justify" vertical="center"/>
    </xf>
    <xf numFmtId="0" fontId="45" fillId="0" borderId="112" xfId="0" applyFont="1" applyBorder="1" applyAlignment="1">
      <alignment horizontal="justify" vertical="center"/>
    </xf>
    <xf numFmtId="0" fontId="45" fillId="9" borderId="147" xfId="0" applyFont="1" applyFill="1" applyBorder="1" applyAlignment="1">
      <alignment horizontal="justify" vertical="center" wrapText="1"/>
    </xf>
    <xf numFmtId="0" fontId="45" fillId="9" borderId="107" xfId="0" applyFont="1" applyFill="1" applyBorder="1" applyAlignment="1">
      <alignment horizontal="justify" vertical="center" wrapText="1"/>
    </xf>
    <xf numFmtId="0" fontId="45" fillId="9" borderId="149" xfId="0" applyFont="1" applyFill="1" applyBorder="1" applyAlignment="1">
      <alignment horizontal="justify" vertical="center" wrapText="1"/>
    </xf>
    <xf numFmtId="0" fontId="45" fillId="9" borderId="109" xfId="0" applyFont="1" applyFill="1" applyBorder="1" applyAlignment="1">
      <alignment horizontal="justify" vertical="center" wrapText="1"/>
    </xf>
    <xf numFmtId="0" fontId="45" fillId="9" borderId="148" xfId="0" applyFont="1" applyFill="1" applyBorder="1" applyAlignment="1">
      <alignment horizontal="justify" vertical="center" wrapText="1"/>
    </xf>
    <xf numFmtId="0" fontId="70" fillId="0" borderId="0" xfId="21" applyFont="1" applyBorder="1" applyAlignment="1">
      <alignment horizontal="center"/>
    </xf>
    <xf numFmtId="0" fontId="67" fillId="9" borderId="0" xfId="23" applyFont="1" applyFill="1" applyBorder="1" applyAlignment="1">
      <alignment horizontal="center"/>
    </xf>
    <xf numFmtId="0" fontId="46" fillId="12" borderId="80" xfId="0" applyFont="1" applyFill="1" applyBorder="1" applyAlignment="1">
      <alignment horizontal="center"/>
    </xf>
    <xf numFmtId="0" fontId="84" fillId="9" borderId="0" xfId="0" applyFont="1" applyFill="1" applyBorder="1" applyAlignment="1">
      <alignment horizontal="center" vertical="center"/>
    </xf>
    <xf numFmtId="0" fontId="47" fillId="0" borderId="119" xfId="0" applyFont="1" applyFill="1" applyBorder="1" applyAlignment="1">
      <alignment horizontal="left" vertical="center" wrapText="1"/>
    </xf>
    <xf numFmtId="0" fontId="45" fillId="0" borderId="149" xfId="0" applyFont="1" applyFill="1" applyBorder="1" applyAlignment="1">
      <alignment horizontal="justify" vertical="center"/>
    </xf>
    <xf numFmtId="4" fontId="48" fillId="0" borderId="109" xfId="0" applyNumberFormat="1" applyFont="1" applyFill="1" applyBorder="1" applyAlignment="1">
      <alignment horizontal="justify" vertical="center"/>
    </xf>
    <xf numFmtId="0" fontId="68" fillId="0" borderId="0" xfId="23" applyFont="1" applyFill="1"/>
    <xf numFmtId="0" fontId="46" fillId="0" borderId="0" xfId="0" applyFont="1" applyBorder="1" applyAlignment="1">
      <alignment horizontal="justify" vertical="center"/>
    </xf>
    <xf numFmtId="3" fontId="46" fillId="0" borderId="0" xfId="0" applyNumberFormat="1" applyFont="1" applyBorder="1" applyAlignment="1">
      <alignment vertical="center"/>
    </xf>
    <xf numFmtId="0" fontId="88" fillId="9" borderId="29" xfId="0" applyFont="1" applyFill="1" applyBorder="1"/>
    <xf numFmtId="0" fontId="88" fillId="0" borderId="0" xfId="0" applyFont="1" applyAlignment="1">
      <alignment horizontal="justify" vertical="center"/>
    </xf>
    <xf numFmtId="0" fontId="0" fillId="0" borderId="0" xfId="0" applyFill="1"/>
    <xf numFmtId="14" fontId="47" fillId="0" borderId="0" xfId="0" applyNumberFormat="1" applyFont="1" applyFill="1"/>
    <xf numFmtId="0" fontId="88" fillId="0" borderId="0" xfId="0" applyFont="1"/>
    <xf numFmtId="0" fontId="88" fillId="0" borderId="0" xfId="0" applyFont="1" applyAlignment="1">
      <alignment vertical="center"/>
    </xf>
    <xf numFmtId="0" fontId="71" fillId="0" borderId="0" xfId="0" applyFont="1" applyAlignment="1">
      <alignment horizontal="center" vertical="center"/>
    </xf>
    <xf numFmtId="0" fontId="91" fillId="0" borderId="0" xfId="0" applyFont="1" applyAlignment="1">
      <alignment horizontal="justify" vertical="center"/>
    </xf>
    <xf numFmtId="0" fontId="67" fillId="0" borderId="0" xfId="0" applyFont="1" applyAlignment="1">
      <alignment vertical="center"/>
    </xf>
    <xf numFmtId="0" fontId="84" fillId="0" borderId="0" xfId="0" applyFont="1" applyAlignment="1">
      <alignment vertical="center"/>
    </xf>
    <xf numFmtId="0" fontId="84" fillId="0" borderId="0" xfId="0" applyFont="1"/>
    <xf numFmtId="0" fontId="92" fillId="0" borderId="0" xfId="0" applyFont="1" applyAlignment="1">
      <alignment horizontal="justify" vertical="center"/>
    </xf>
    <xf numFmtId="0" fontId="91" fillId="0" borderId="0" xfId="0" applyFont="1" applyAlignment="1">
      <alignment vertical="center"/>
    </xf>
    <xf numFmtId="0" fontId="68" fillId="0" borderId="0" xfId="0" applyFont="1" applyAlignment="1">
      <alignment vertical="center"/>
    </xf>
    <xf numFmtId="0" fontId="74" fillId="0" borderId="0" xfId="0" applyFont="1"/>
    <xf numFmtId="0" fontId="91" fillId="0" borderId="0" xfId="0" applyFont="1"/>
    <xf numFmtId="0" fontId="74" fillId="0" borderId="0" xfId="0" applyFont="1" applyAlignment="1">
      <alignment horizontal="left" vertical="center"/>
    </xf>
    <xf numFmtId="0" fontId="91" fillId="0" borderId="0" xfId="0" applyFont="1" applyAlignment="1">
      <alignment horizontal="left" vertical="center"/>
    </xf>
    <xf numFmtId="0" fontId="88" fillId="0" borderId="0" xfId="0" applyFont="1" applyAlignment="1">
      <alignment horizontal="left" vertical="center"/>
    </xf>
    <xf numFmtId="0" fontId="71" fillId="0" borderId="0" xfId="18" applyFont="1" applyAlignment="1"/>
    <xf numFmtId="0" fontId="71" fillId="0" borderId="0" xfId="0" applyFont="1"/>
    <xf numFmtId="0" fontId="94" fillId="0" borderId="0" xfId="0" applyFont="1" applyAlignment="1">
      <alignment vertical="center"/>
    </xf>
    <xf numFmtId="0" fontId="65" fillId="0" borderId="0" xfId="0" applyFont="1" applyAlignment="1">
      <alignment vertical="center"/>
    </xf>
    <xf numFmtId="172" fontId="68" fillId="9" borderId="144" xfId="6" applyFont="1" applyFill="1" applyBorder="1"/>
    <xf numFmtId="0" fontId="67" fillId="9" borderId="144" xfId="21" applyFont="1" applyFill="1" applyBorder="1"/>
    <xf numFmtId="167" fontId="68" fillId="9" borderId="19" xfId="6" applyNumberFormat="1" applyFont="1" applyFill="1" applyBorder="1"/>
    <xf numFmtId="168" fontId="47" fillId="0" borderId="0" xfId="7" applyFont="1" applyFill="1"/>
    <xf numFmtId="3" fontId="47" fillId="0" borderId="0" xfId="0" applyNumberFormat="1" applyFont="1" applyFill="1"/>
    <xf numFmtId="172" fontId="67" fillId="9" borderId="144" xfId="6" applyFont="1" applyFill="1" applyBorder="1"/>
    <xf numFmtId="3" fontId="67" fillId="9" borderId="144" xfId="21" applyNumberFormat="1" applyFont="1" applyFill="1" applyBorder="1"/>
    <xf numFmtId="9" fontId="46" fillId="9" borderId="144" xfId="25" applyFont="1" applyFill="1" applyBorder="1"/>
    <xf numFmtId="3" fontId="68" fillId="0" borderId="112" xfId="6" applyNumberFormat="1" applyFont="1" applyFill="1" applyBorder="1"/>
    <xf numFmtId="0" fontId="47" fillId="0" borderId="0" xfId="0" applyFont="1" applyFill="1" applyBorder="1"/>
    <xf numFmtId="0" fontId="68" fillId="0" borderId="111" xfId="18" applyFont="1" applyFill="1" applyBorder="1"/>
    <xf numFmtId="14" fontId="47" fillId="0" borderId="80" xfId="0" applyNumberFormat="1" applyFont="1" applyFill="1" applyBorder="1" applyAlignment="1">
      <alignment horizontal="center"/>
    </xf>
    <xf numFmtId="168" fontId="22" fillId="0" borderId="80" xfId="7" applyBorder="1"/>
    <xf numFmtId="168" fontId="46" fillId="0" borderId="80" xfId="0" applyNumberFormat="1" applyFont="1" applyBorder="1"/>
    <xf numFmtId="0" fontId="9" fillId="0" borderId="0" xfId="0" applyFont="1" applyAlignment="1">
      <alignment vertical="center"/>
    </xf>
    <xf numFmtId="0" fontId="88" fillId="9" borderId="0" xfId="0" applyFont="1" applyFill="1" applyBorder="1"/>
    <xf numFmtId="3" fontId="88" fillId="9" borderId="0" xfId="0" applyNumberFormat="1" applyFont="1" applyFill="1" applyBorder="1"/>
    <xf numFmtId="3" fontId="68" fillId="9" borderId="0" xfId="0" applyNumberFormat="1" applyFont="1" applyFill="1" applyBorder="1"/>
    <xf numFmtId="0" fontId="96" fillId="0" borderId="0" xfId="21" applyFont="1" applyBorder="1" applyAlignment="1">
      <alignment horizontal="center"/>
    </xf>
    <xf numFmtId="177" fontId="67" fillId="0" borderId="155" xfId="22" applyNumberFormat="1" applyFont="1" applyFill="1" applyBorder="1" applyAlignment="1">
      <alignment horizontal="right"/>
    </xf>
    <xf numFmtId="177" fontId="67" fillId="9" borderId="139" xfId="22" applyNumberFormat="1" applyFont="1" applyFill="1" applyBorder="1" applyAlignment="1">
      <alignment horizontal="right"/>
    </xf>
    <xf numFmtId="169" fontId="74" fillId="9" borderId="30" xfId="0" applyNumberFormat="1" applyFont="1" applyFill="1" applyBorder="1" applyAlignment="1">
      <alignment horizontal="right"/>
    </xf>
    <xf numFmtId="0" fontId="47" fillId="0" borderId="155" xfId="0" applyFont="1" applyFill="1" applyBorder="1"/>
    <xf numFmtId="3" fontId="47" fillId="0" borderId="155" xfId="0" applyNumberFormat="1" applyFont="1" applyFill="1" applyBorder="1"/>
    <xf numFmtId="3" fontId="47" fillId="0" borderId="156" xfId="0" applyNumberFormat="1" applyFont="1" applyFill="1" applyBorder="1"/>
    <xf numFmtId="3" fontId="46" fillId="11" borderId="157" xfId="0" applyNumberFormat="1" applyFont="1" applyFill="1" applyBorder="1"/>
    <xf numFmtId="0" fontId="67" fillId="9" borderId="177" xfId="23" applyFont="1" applyFill="1" applyBorder="1" applyAlignment="1">
      <alignment horizontal="center"/>
    </xf>
    <xf numFmtId="0" fontId="67" fillId="9" borderId="176" xfId="23" applyFont="1" applyFill="1" applyBorder="1" applyAlignment="1">
      <alignment horizontal="center"/>
    </xf>
    <xf numFmtId="183" fontId="68" fillId="0" borderId="171" xfId="22" applyNumberFormat="1" applyFont="1" applyFill="1" applyBorder="1" applyAlignment="1">
      <alignment horizontal="right"/>
    </xf>
    <xf numFmtId="183" fontId="68" fillId="0" borderId="158" xfId="22" applyNumberFormat="1" applyFont="1" applyFill="1" applyBorder="1" applyAlignment="1">
      <alignment horizontal="right"/>
    </xf>
    <xf numFmtId="0" fontId="72" fillId="0" borderId="109" xfId="21" applyFont="1" applyFill="1" applyBorder="1" applyAlignment="1">
      <alignment horizontal="center"/>
    </xf>
    <xf numFmtId="0" fontId="9" fillId="0" borderId="0" xfId="0" applyFont="1" applyAlignment="1">
      <alignment horizontal="center" vertical="center"/>
    </xf>
    <xf numFmtId="0" fontId="80" fillId="0" borderId="103" xfId="16" applyFont="1" applyFill="1" applyBorder="1" applyAlignment="1">
      <alignment horizontal="center" vertical="center"/>
    </xf>
    <xf numFmtId="0" fontId="80" fillId="0" borderId="61" xfId="16" applyFont="1" applyFill="1" applyBorder="1" applyAlignment="1">
      <alignment horizontal="center" vertical="center"/>
    </xf>
    <xf numFmtId="0" fontId="80" fillId="0" borderId="100" xfId="16" applyFont="1" applyFill="1" applyBorder="1" applyAlignment="1">
      <alignment horizontal="center" vertical="center"/>
    </xf>
    <xf numFmtId="0" fontId="80" fillId="0" borderId="104" xfId="16" applyFont="1" applyFill="1" applyBorder="1" applyAlignment="1">
      <alignment horizontal="center" vertical="center"/>
    </xf>
    <xf numFmtId="0" fontId="80" fillId="0" borderId="27" xfId="16" applyFont="1" applyFill="1" applyBorder="1" applyAlignment="1">
      <alignment horizontal="center" vertical="center"/>
    </xf>
    <xf numFmtId="0" fontId="80" fillId="0" borderId="95" xfId="16" applyFont="1" applyFill="1" applyBorder="1" applyAlignment="1">
      <alignment horizontal="center" vertical="center"/>
    </xf>
    <xf numFmtId="168" fontId="22" fillId="9" borderId="0" xfId="7" applyFill="1"/>
    <xf numFmtId="168" fontId="44" fillId="9" borderId="0" xfId="7" applyFont="1" applyFill="1"/>
    <xf numFmtId="168" fontId="44" fillId="9" borderId="0" xfId="7" applyFont="1" applyFill="1" applyAlignment="1">
      <alignment horizontal="center"/>
    </xf>
    <xf numFmtId="0" fontId="68" fillId="11" borderId="124" xfId="19" applyFont="1" applyFill="1" applyBorder="1" applyAlignment="1">
      <alignment horizontal="center" vertical="center"/>
    </xf>
    <xf numFmtId="0" fontId="68" fillId="11" borderId="121" xfId="19" applyFont="1" applyFill="1" applyBorder="1" applyAlignment="1">
      <alignment horizontal="center" vertical="center"/>
    </xf>
    <xf numFmtId="0" fontId="88" fillId="9" borderId="110" xfId="0" applyFont="1" applyFill="1" applyBorder="1"/>
    <xf numFmtId="167" fontId="88" fillId="9" borderId="147" xfId="6" applyNumberFormat="1" applyFont="1" applyFill="1" applyBorder="1"/>
    <xf numFmtId="167" fontId="88" fillId="9" borderId="148" xfId="6" applyNumberFormat="1" applyFont="1" applyFill="1" applyBorder="1"/>
    <xf numFmtId="169" fontId="88" fillId="9" borderId="148" xfId="0" applyNumberFormat="1" applyFont="1" applyFill="1" applyBorder="1"/>
    <xf numFmtId="169" fontId="88" fillId="9" borderId="149" xfId="0" applyNumberFormat="1" applyFont="1" applyFill="1" applyBorder="1"/>
    <xf numFmtId="169" fontId="88" fillId="9" borderId="147" xfId="0" applyNumberFormat="1" applyFont="1" applyFill="1" applyBorder="1"/>
    <xf numFmtId="0" fontId="88" fillId="9" borderId="147" xfId="0" applyFont="1" applyFill="1" applyBorder="1"/>
    <xf numFmtId="0" fontId="88" fillId="9" borderId="148" xfId="0" applyFont="1" applyFill="1" applyBorder="1"/>
    <xf numFmtId="0" fontId="88" fillId="9" borderId="149" xfId="0" applyFont="1" applyFill="1" applyBorder="1"/>
    <xf numFmtId="3" fontId="88" fillId="9" borderId="147" xfId="0" applyNumberFormat="1" applyFont="1" applyFill="1" applyBorder="1"/>
    <xf numFmtId="3" fontId="88" fillId="9" borderId="148" xfId="0" applyNumberFormat="1" applyFont="1" applyFill="1" applyBorder="1"/>
    <xf numFmtId="3" fontId="88" fillId="9" borderId="149" xfId="0" applyNumberFormat="1" applyFont="1" applyFill="1" applyBorder="1"/>
    <xf numFmtId="169" fontId="88" fillId="9" borderId="148" xfId="0" applyNumberFormat="1" applyFont="1" applyFill="1" applyBorder="1" applyAlignment="1">
      <alignment horizontal="right"/>
    </xf>
    <xf numFmtId="169" fontId="88" fillId="9" borderId="149" xfId="0" applyNumberFormat="1" applyFont="1" applyFill="1" applyBorder="1" applyAlignment="1">
      <alignment horizontal="right"/>
    </xf>
    <xf numFmtId="167" fontId="88" fillId="9" borderId="147" xfId="6" applyNumberFormat="1" applyFont="1" applyFill="1" applyBorder="1" applyAlignment="1">
      <alignment horizontal="right"/>
    </xf>
    <xf numFmtId="167" fontId="88" fillId="9" borderId="148" xfId="6" applyNumberFormat="1" applyFont="1" applyFill="1" applyBorder="1" applyAlignment="1">
      <alignment horizontal="right"/>
    </xf>
    <xf numFmtId="167" fontId="88" fillId="9" borderId="149" xfId="6" applyNumberFormat="1" applyFont="1" applyFill="1" applyBorder="1" applyAlignment="1">
      <alignment horizontal="right"/>
    </xf>
    <xf numFmtId="14" fontId="0" fillId="0" borderId="0" xfId="0" applyNumberFormat="1"/>
    <xf numFmtId="0" fontId="46" fillId="11" borderId="184" xfId="0" applyFont="1" applyFill="1" applyBorder="1" applyAlignment="1">
      <alignment horizontal="center" vertical="center" wrapText="1"/>
    </xf>
    <xf numFmtId="0" fontId="47" fillId="0" borderId="155" xfId="0" applyFont="1" applyBorder="1"/>
    <xf numFmtId="168" fontId="9" fillId="11" borderId="155" xfId="7" applyFont="1" applyFill="1" applyBorder="1" applyAlignment="1">
      <alignment horizontal="left" vertical="center"/>
    </xf>
    <xf numFmtId="3" fontId="46" fillId="0" borderId="155" xfId="0" applyNumberFormat="1" applyFont="1" applyFill="1" applyBorder="1" applyAlignment="1">
      <alignment horizontal="right" vertical="center"/>
    </xf>
    <xf numFmtId="0" fontId="46" fillId="11" borderId="184" xfId="0" applyFont="1" applyFill="1" applyBorder="1" applyAlignment="1">
      <alignment horizontal="center" vertical="center"/>
    </xf>
    <xf numFmtId="3" fontId="47" fillId="0" borderId="155" xfId="0" applyNumberFormat="1" applyFont="1" applyFill="1" applyBorder="1" applyAlignment="1">
      <alignment horizontal="right" vertical="center"/>
    </xf>
    <xf numFmtId="0" fontId="47" fillId="0" borderId="158" xfId="0" applyFont="1" applyBorder="1"/>
    <xf numFmtId="0" fontId="46" fillId="11" borderId="29" xfId="0" applyFont="1" applyFill="1" applyBorder="1" applyAlignment="1">
      <alignment horizontal="center" vertical="center"/>
    </xf>
    <xf numFmtId="0" fontId="69" fillId="0" borderId="155" xfId="0" applyFont="1" applyBorder="1"/>
    <xf numFmtId="0" fontId="47" fillId="0" borderId="155" xfId="0" applyFont="1" applyBorder="1" applyAlignment="1">
      <alignment wrapText="1"/>
    </xf>
    <xf numFmtId="0" fontId="69" fillId="11" borderId="155" xfId="0" applyFont="1" applyFill="1" applyBorder="1" applyAlignment="1">
      <alignment horizontal="left" vertical="center"/>
    </xf>
    <xf numFmtId="0" fontId="47" fillId="0" borderId="156" xfId="0" applyFont="1" applyBorder="1"/>
    <xf numFmtId="0" fontId="69" fillId="11" borderId="157" xfId="0" applyFont="1" applyFill="1" applyBorder="1"/>
    <xf numFmtId="3" fontId="68" fillId="9" borderId="0" xfId="21" applyNumberFormat="1" applyFont="1" applyFill="1" applyBorder="1" applyAlignment="1">
      <alignment wrapText="1"/>
    </xf>
    <xf numFmtId="0" fontId="68" fillId="0" borderId="0" xfId="18" applyFont="1" applyFill="1"/>
    <xf numFmtId="3" fontId="47" fillId="0" borderId="155" xfId="0" applyNumberFormat="1" applyFont="1" applyBorder="1"/>
    <xf numFmtId="0" fontId="47" fillId="0" borderId="111" xfId="0" applyFont="1" applyBorder="1"/>
    <xf numFmtId="0" fontId="47" fillId="0" borderId="185" xfId="0" applyFont="1" applyBorder="1"/>
    <xf numFmtId="3" fontId="47" fillId="0" borderId="156" xfId="0" applyNumberFormat="1" applyFont="1" applyBorder="1"/>
    <xf numFmtId="168" fontId="22" fillId="11" borderId="121" xfId="7" applyFill="1" applyBorder="1" applyAlignment="1">
      <alignment horizontal="center" vertical="center" wrapText="1"/>
    </xf>
    <xf numFmtId="168" fontId="9" fillId="11" borderId="115" xfId="7" applyFont="1" applyFill="1" applyBorder="1"/>
    <xf numFmtId="167" fontId="46" fillId="12" borderId="112" xfId="6" applyNumberFormat="1" applyFont="1" applyFill="1" applyBorder="1"/>
    <xf numFmtId="0" fontId="67" fillId="12" borderId="119" xfId="19" applyFont="1" applyFill="1" applyBorder="1"/>
    <xf numFmtId="37" fontId="67" fillId="12" borderId="80" xfId="19" applyNumberFormat="1" applyFont="1" applyFill="1" applyBorder="1"/>
    <xf numFmtId="37" fontId="68" fillId="12" borderId="112" xfId="19" applyNumberFormat="1" applyFont="1" applyFill="1" applyBorder="1" applyAlignment="1">
      <alignment vertical="center"/>
    </xf>
    <xf numFmtId="37" fontId="68" fillId="12" borderId="112" xfId="19" applyNumberFormat="1" applyFont="1" applyFill="1" applyBorder="1"/>
    <xf numFmtId="0" fontId="74" fillId="12" borderId="28" xfId="0" applyFont="1" applyFill="1" applyBorder="1"/>
    <xf numFmtId="169" fontId="74" fillId="12" borderId="29" xfId="0" applyNumberFormat="1" applyFont="1" applyFill="1" applyBorder="1"/>
    <xf numFmtId="169" fontId="74" fillId="12" borderId="30" xfId="0" applyNumberFormat="1" applyFont="1" applyFill="1" applyBorder="1"/>
    <xf numFmtId="0" fontId="88" fillId="12" borderId="29" xfId="0" applyFont="1" applyFill="1" applyBorder="1"/>
    <xf numFmtId="0" fontId="67" fillId="9" borderId="121" xfId="20" applyFont="1" applyFill="1" applyBorder="1" applyAlignment="1">
      <alignment horizontal="center" wrapText="1"/>
    </xf>
    <xf numFmtId="3" fontId="67" fillId="9" borderId="186" xfId="20" applyNumberFormat="1" applyFont="1" applyFill="1" applyBorder="1" applyAlignment="1">
      <alignment horizontal="center" vertical="center" wrapText="1"/>
    </xf>
    <xf numFmtId="14" fontId="67" fillId="9" borderId="94" xfId="20" applyNumberFormat="1" applyFont="1" applyFill="1" applyBorder="1" applyAlignment="1">
      <alignment horizontal="center"/>
    </xf>
    <xf numFmtId="3" fontId="67" fillId="9" borderId="121" xfId="20" applyNumberFormat="1" applyFont="1" applyFill="1" applyBorder="1" applyAlignment="1">
      <alignment horizontal="center" wrapText="1"/>
    </xf>
    <xf numFmtId="3" fontId="67" fillId="9" borderId="145" xfId="20" applyNumberFormat="1" applyFont="1" applyFill="1" applyBorder="1" applyAlignment="1">
      <alignment horizontal="center" wrapText="1"/>
    </xf>
    <xf numFmtId="3" fontId="67" fillId="9" borderId="152" xfId="20" applyNumberFormat="1" applyFont="1" applyFill="1" applyBorder="1" applyAlignment="1">
      <alignment horizontal="center"/>
    </xf>
    <xf numFmtId="14" fontId="67" fillId="9" borderId="105" xfId="20" applyNumberFormat="1" applyFont="1" applyFill="1" applyBorder="1" applyAlignment="1">
      <alignment horizontal="center"/>
    </xf>
    <xf numFmtId="0" fontId="47" fillId="0" borderId="185" xfId="0" applyFont="1" applyBorder="1" applyAlignment="1">
      <alignment wrapText="1"/>
    </xf>
    <xf numFmtId="3" fontId="47" fillId="0" borderId="148" xfId="0" applyNumberFormat="1" applyFont="1" applyFill="1" applyBorder="1"/>
    <xf numFmtId="9" fontId="47" fillId="0" borderId="80" xfId="0" applyNumberFormat="1" applyFont="1" applyBorder="1"/>
    <xf numFmtId="0" fontId="87" fillId="9" borderId="0" xfId="20" applyFont="1" applyFill="1" applyBorder="1" applyAlignment="1">
      <alignment horizontal="center"/>
    </xf>
    <xf numFmtId="0" fontId="45" fillId="0" borderId="119" xfId="0" applyFont="1" applyFill="1" applyBorder="1" applyAlignment="1">
      <alignment horizontal="justify" vertical="center"/>
    </xf>
    <xf numFmtId="0" fontId="45" fillId="0" borderId="112" xfId="0" applyFont="1" applyFill="1" applyBorder="1" applyAlignment="1">
      <alignment horizontal="justify" vertical="center"/>
    </xf>
    <xf numFmtId="16" fontId="0" fillId="0" borderId="0" xfId="0" applyNumberFormat="1"/>
    <xf numFmtId="0" fontId="0" fillId="0" borderId="80" xfId="0" applyBorder="1" applyAlignment="1">
      <alignment horizontal="center"/>
    </xf>
    <xf numFmtId="14" fontId="0" fillId="0" borderId="80" xfId="0" applyNumberFormat="1" applyBorder="1" applyAlignment="1">
      <alignment horizontal="center"/>
    </xf>
    <xf numFmtId="4" fontId="0" fillId="0" borderId="80" xfId="0" applyNumberFormat="1" applyBorder="1" applyAlignment="1">
      <alignment horizontal="center"/>
    </xf>
    <xf numFmtId="0" fontId="0" fillId="12" borderId="80" xfId="0" applyFill="1" applyBorder="1" applyAlignment="1">
      <alignment horizontal="center"/>
    </xf>
    <xf numFmtId="40" fontId="68" fillId="9" borderId="80" xfId="0" applyNumberFormat="1" applyFont="1" applyFill="1" applyBorder="1" applyAlignment="1">
      <alignment horizontal="right"/>
    </xf>
    <xf numFmtId="40" fontId="67" fillId="9" borderId="80" xfId="0" applyNumberFormat="1" applyFont="1" applyFill="1" applyBorder="1" applyAlignment="1">
      <alignment horizontal="right"/>
    </xf>
    <xf numFmtId="40" fontId="68" fillId="9" borderId="80" xfId="0" applyNumberFormat="1" applyFont="1" applyFill="1" applyBorder="1" applyAlignment="1">
      <alignment horizontal="center"/>
    </xf>
    <xf numFmtId="0" fontId="87" fillId="0" borderId="0" xfId="20" applyFont="1" applyFill="1" applyBorder="1" applyAlignment="1"/>
    <xf numFmtId="0" fontId="68" fillId="0" borderId="0" xfId="20" applyFont="1" applyFill="1"/>
    <xf numFmtId="0" fontId="68" fillId="0" borderId="119" xfId="23" applyFont="1" applyFill="1" applyBorder="1" applyAlignment="1">
      <alignment wrapText="1"/>
    </xf>
    <xf numFmtId="0" fontId="88" fillId="0" borderId="0" xfId="0" applyFont="1" applyFill="1" applyAlignment="1">
      <alignment horizontal="left" vertical="center"/>
    </xf>
    <xf numFmtId="16" fontId="47" fillId="0" borderId="0" xfId="0" applyNumberFormat="1" applyFont="1"/>
    <xf numFmtId="168" fontId="68" fillId="0" borderId="0" xfId="22" applyNumberFormat="1" applyFont="1"/>
    <xf numFmtId="3" fontId="47" fillId="9" borderId="112" xfId="0" applyNumberFormat="1" applyFont="1" applyFill="1" applyBorder="1"/>
    <xf numFmtId="0" fontId="47" fillId="0" borderId="119" xfId="0" applyFont="1" applyBorder="1" applyAlignment="1">
      <alignment wrapText="1"/>
    </xf>
    <xf numFmtId="167" fontId="47" fillId="0" borderId="112" xfId="6" applyNumberFormat="1" applyFont="1" applyFill="1" applyBorder="1"/>
    <xf numFmtId="168" fontId="68" fillId="0" borderId="115" xfId="7" applyFont="1" applyFill="1" applyBorder="1"/>
    <xf numFmtId="0" fontId="9" fillId="9" borderId="0" xfId="0" applyFont="1" applyFill="1"/>
    <xf numFmtId="0" fontId="0" fillId="9" borderId="0" xfId="0" applyFill="1"/>
    <xf numFmtId="3" fontId="68" fillId="9" borderId="25" xfId="21" applyNumberFormat="1" applyFont="1" applyFill="1" applyBorder="1"/>
    <xf numFmtId="0" fontId="67" fillId="9" borderId="168" xfId="21" applyFont="1" applyFill="1" applyBorder="1"/>
    <xf numFmtId="3" fontId="68" fillId="9" borderId="123" xfId="21" applyNumberFormat="1" applyFont="1" applyFill="1" applyBorder="1"/>
    <xf numFmtId="168" fontId="7" fillId="0" borderId="80" xfId="120" applyBorder="1"/>
    <xf numFmtId="167" fontId="68" fillId="0" borderId="0" xfId="18" applyNumberFormat="1" applyFont="1"/>
    <xf numFmtId="0" fontId="47" fillId="0" borderId="175" xfId="0" applyFont="1" applyBorder="1" applyAlignment="1">
      <alignment horizontal="center"/>
    </xf>
    <xf numFmtId="3" fontId="47" fillId="0" borderId="168" xfId="0" applyNumberFormat="1" applyFont="1" applyBorder="1" applyAlignment="1"/>
    <xf numFmtId="3" fontId="47" fillId="0" borderId="122" xfId="0" applyNumberFormat="1" applyFont="1" applyBorder="1" applyAlignment="1"/>
    <xf numFmtId="0" fontId="47" fillId="11" borderId="80" xfId="0" applyFont="1" applyFill="1" applyBorder="1"/>
    <xf numFmtId="0" fontId="47" fillId="12" borderId="80" xfId="0" applyFont="1" applyFill="1" applyBorder="1"/>
    <xf numFmtId="0" fontId="47" fillId="11" borderId="124" xfId="0" applyFont="1" applyFill="1" applyBorder="1" applyAlignment="1"/>
    <xf numFmtId="0" fontId="47" fillId="11" borderId="121" xfId="0" applyFont="1" applyFill="1" applyBorder="1" applyAlignment="1"/>
    <xf numFmtId="0" fontId="47" fillId="11" borderId="119" xfId="0" applyFont="1" applyFill="1" applyBorder="1"/>
    <xf numFmtId="0" fontId="47" fillId="11" borderId="112" xfId="0" applyFont="1" applyFill="1" applyBorder="1"/>
    <xf numFmtId="0" fontId="47" fillId="12" borderId="112" xfId="0" applyFont="1" applyFill="1" applyBorder="1"/>
    <xf numFmtId="3" fontId="67" fillId="9" borderId="169" xfId="20" applyNumberFormat="1" applyFont="1" applyFill="1" applyBorder="1" applyAlignment="1">
      <alignment horizontal="center"/>
    </xf>
    <xf numFmtId="0" fontId="72" fillId="9" borderId="180" xfId="20" applyFont="1" applyFill="1" applyBorder="1" applyAlignment="1">
      <alignment horizontal="center"/>
    </xf>
    <xf numFmtId="0" fontId="68" fillId="9" borderId="25" xfId="20" applyFont="1" applyFill="1" applyBorder="1"/>
    <xf numFmtId="4" fontId="68" fillId="9" borderId="25" xfId="20" applyNumberFormat="1" applyFont="1" applyFill="1" applyBorder="1"/>
    <xf numFmtId="3" fontId="68" fillId="9" borderId="25" xfId="20" applyNumberFormat="1" applyFont="1" applyFill="1" applyBorder="1"/>
    <xf numFmtId="3" fontId="68" fillId="9" borderId="123" xfId="20" applyNumberFormat="1" applyFont="1" applyFill="1" applyBorder="1"/>
    <xf numFmtId="0" fontId="67" fillId="0" borderId="111" xfId="19" applyFont="1" applyFill="1" applyBorder="1"/>
    <xf numFmtId="0" fontId="67" fillId="0" borderId="111" xfId="18" applyFont="1" applyBorder="1"/>
    <xf numFmtId="0" fontId="47" fillId="9" borderId="119" xfId="0" applyFont="1" applyFill="1" applyBorder="1" applyAlignment="1">
      <alignment wrapText="1"/>
    </xf>
    <xf numFmtId="14" fontId="67" fillId="9" borderId="137" xfId="21" applyNumberFormat="1" applyFont="1" applyFill="1" applyBorder="1" applyAlignment="1">
      <alignment horizontal="center"/>
    </xf>
    <xf numFmtId="168" fontId="67" fillId="9" borderId="137" xfId="21" applyNumberFormat="1" applyFont="1" applyFill="1" applyBorder="1"/>
    <xf numFmtId="168" fontId="67" fillId="9" borderId="133" xfId="21" applyNumberFormat="1" applyFont="1" applyFill="1" applyBorder="1"/>
    <xf numFmtId="3" fontId="67" fillId="9" borderId="137" xfId="21" applyNumberFormat="1" applyFont="1" applyFill="1" applyBorder="1"/>
    <xf numFmtId="3" fontId="68" fillId="9" borderId="137" xfId="21" applyNumberFormat="1" applyFont="1" applyFill="1" applyBorder="1"/>
    <xf numFmtId="3" fontId="68" fillId="9" borderId="133" xfId="21" applyNumberFormat="1" applyFont="1" applyFill="1" applyBorder="1"/>
    <xf numFmtId="3" fontId="68" fillId="0" borderId="137" xfId="21" applyNumberFormat="1" applyFont="1" applyFill="1" applyBorder="1"/>
    <xf numFmtId="3" fontId="68" fillId="9" borderId="87" xfId="21" applyNumberFormat="1" applyFont="1" applyFill="1" applyBorder="1"/>
    <xf numFmtId="3" fontId="68" fillId="9" borderId="87" xfId="6" applyNumberFormat="1" applyFont="1" applyFill="1" applyBorder="1" applyAlignment="1">
      <alignment horizontal="right"/>
    </xf>
    <xf numFmtId="172" fontId="68" fillId="9" borderId="137" xfId="6" applyFont="1" applyFill="1" applyBorder="1"/>
    <xf numFmtId="167" fontId="68" fillId="9" borderId="137" xfId="6" applyNumberFormat="1" applyFont="1" applyFill="1" applyBorder="1"/>
    <xf numFmtId="3" fontId="72" fillId="9" borderId="87" xfId="21" applyNumberFormat="1" applyFont="1" applyFill="1" applyBorder="1"/>
    <xf numFmtId="172" fontId="67" fillId="9" borderId="87" xfId="6" applyFont="1" applyFill="1" applyBorder="1"/>
    <xf numFmtId="172" fontId="68" fillId="9" borderId="188" xfId="6" applyFont="1" applyFill="1" applyBorder="1"/>
    <xf numFmtId="172" fontId="68" fillId="9" borderId="133" xfId="6" applyFont="1" applyFill="1" applyBorder="1"/>
    <xf numFmtId="3" fontId="67" fillId="9" borderId="87" xfId="21" applyNumberFormat="1" applyFont="1" applyFill="1" applyBorder="1"/>
    <xf numFmtId="167" fontId="68" fillId="9" borderId="87" xfId="6" applyNumberFormat="1" applyFont="1" applyFill="1" applyBorder="1"/>
    <xf numFmtId="172" fontId="68" fillId="9" borderId="87" xfId="6" applyFont="1" applyFill="1" applyBorder="1"/>
    <xf numFmtId="0" fontId="67" fillId="9" borderId="87" xfId="21" applyFont="1" applyFill="1" applyBorder="1"/>
    <xf numFmtId="14" fontId="67" fillId="9" borderId="133" xfId="21" applyNumberFormat="1" applyFont="1" applyFill="1" applyBorder="1" applyAlignment="1">
      <alignment horizontal="center"/>
    </xf>
    <xf numFmtId="3" fontId="46" fillId="11" borderId="80" xfId="0" applyNumberFormat="1" applyFont="1" applyFill="1" applyBorder="1"/>
    <xf numFmtId="3" fontId="47" fillId="11" borderId="112" xfId="0" applyNumberFormat="1" applyFont="1" applyFill="1" applyBorder="1"/>
    <xf numFmtId="0" fontId="68" fillId="11" borderId="121" xfId="19" applyFont="1" applyFill="1" applyBorder="1" applyAlignment="1">
      <alignment horizontal="center" vertical="center" wrapText="1"/>
    </xf>
    <xf numFmtId="0" fontId="68" fillId="11" borderId="145" xfId="19" applyFont="1" applyFill="1" applyBorder="1" applyAlignment="1">
      <alignment horizontal="center" vertical="center" wrapText="1"/>
    </xf>
    <xf numFmtId="0" fontId="0" fillId="0" borderId="0" xfId="0" applyAlignment="1"/>
    <xf numFmtId="0" fontId="9" fillId="0" borderId="0" xfId="0" applyFont="1" applyFill="1"/>
    <xf numFmtId="0" fontId="0" fillId="0" borderId="0" xfId="0" applyFont="1" applyFill="1"/>
    <xf numFmtId="0" fontId="88" fillId="0" borderId="0" xfId="0" applyFont="1" applyFill="1" applyAlignment="1">
      <alignment vertical="center"/>
    </xf>
    <xf numFmtId="0" fontId="45" fillId="0" borderId="50" xfId="0" applyFont="1" applyFill="1" applyBorder="1" applyAlignment="1">
      <alignment horizontal="center" vertical="center"/>
    </xf>
    <xf numFmtId="0" fontId="45" fillId="0" borderId="109" xfId="0" applyFont="1" applyFill="1" applyBorder="1" applyAlignment="1">
      <alignment horizontal="center" vertical="center"/>
    </xf>
    <xf numFmtId="0" fontId="97" fillId="0" borderId="0" xfId="0" applyFont="1" applyAlignment="1">
      <alignment vertical="center"/>
    </xf>
    <xf numFmtId="3" fontId="47" fillId="9" borderId="0" xfId="0" applyNumberFormat="1" applyFont="1" applyFill="1"/>
    <xf numFmtId="0" fontId="47" fillId="9" borderId="0" xfId="0" applyFont="1" applyFill="1" applyBorder="1"/>
    <xf numFmtId="3" fontId="47" fillId="9" borderId="0" xfId="0" applyNumberFormat="1" applyFont="1" applyFill="1" applyBorder="1"/>
    <xf numFmtId="3" fontId="46" fillId="9" borderId="0" xfId="0" applyNumberFormat="1" applyFont="1" applyFill="1" applyBorder="1"/>
    <xf numFmtId="0" fontId="47" fillId="0" borderId="83" xfId="0" applyFont="1" applyBorder="1"/>
    <xf numFmtId="0" fontId="47" fillId="0" borderId="98" xfId="0" applyFont="1" applyBorder="1" applyAlignment="1">
      <alignment horizontal="center"/>
    </xf>
    <xf numFmtId="0" fontId="20" fillId="0" borderId="0" xfId="12" applyFont="1" applyFill="1" applyBorder="1" applyAlignment="1">
      <alignment horizontal="center"/>
    </xf>
    <xf numFmtId="0" fontId="9" fillId="0" borderId="0" xfId="0" applyFont="1" applyBorder="1" applyAlignment="1">
      <alignment horizontal="center"/>
    </xf>
    <xf numFmtId="0" fontId="9" fillId="0" borderId="0" xfId="0" applyFont="1" applyAlignment="1">
      <alignment horizontal="center" vertical="center"/>
    </xf>
    <xf numFmtId="0" fontId="45" fillId="0" borderId="147" xfId="0" applyFont="1" applyBorder="1" applyAlignment="1">
      <alignment vertical="center" wrapText="1"/>
    </xf>
    <xf numFmtId="0" fontId="45" fillId="0" borderId="149" xfId="0" applyFont="1" applyBorder="1" applyAlignment="1">
      <alignment vertical="center" wrapText="1"/>
    </xf>
    <xf numFmtId="0" fontId="42" fillId="0" borderId="0" xfId="0" applyFont="1" applyAlignment="1">
      <alignment horizontal="center"/>
    </xf>
    <xf numFmtId="0" fontId="71" fillId="0" borderId="0" xfId="0" applyFont="1" applyAlignment="1">
      <alignment horizontal="center" vertical="center"/>
    </xf>
    <xf numFmtId="0" fontId="91" fillId="0" borderId="0" xfId="0" applyFont="1" applyAlignment="1">
      <alignment horizontal="center" vertical="center"/>
    </xf>
    <xf numFmtId="0" fontId="70" fillId="9" borderId="0" xfId="21" applyFont="1" applyFill="1" applyBorder="1" applyAlignment="1">
      <alignment horizontal="center"/>
    </xf>
    <xf numFmtId="0" fontId="90" fillId="9" borderId="0" xfId="21" applyFont="1" applyFill="1" applyBorder="1" applyAlignment="1">
      <alignment horizontal="center"/>
    </xf>
    <xf numFmtId="0" fontId="71" fillId="9" borderId="0" xfId="21" applyFont="1" applyFill="1" applyBorder="1" applyAlignment="1">
      <alignment horizontal="center"/>
    </xf>
    <xf numFmtId="0" fontId="67" fillId="9" borderId="126" xfId="21" applyFont="1" applyFill="1" applyBorder="1" applyAlignment="1">
      <alignment horizontal="center" vertical="center"/>
    </xf>
    <xf numFmtId="0" fontId="67" fillId="9" borderId="101" xfId="21" applyFont="1" applyFill="1" applyBorder="1" applyAlignment="1">
      <alignment horizontal="center" vertical="center"/>
    </xf>
    <xf numFmtId="0" fontId="67" fillId="9" borderId="188" xfId="21" applyFont="1" applyFill="1" applyBorder="1" applyAlignment="1">
      <alignment horizontal="center" vertical="center"/>
    </xf>
    <xf numFmtId="0" fontId="67" fillId="9" borderId="102" xfId="21" applyFont="1" applyFill="1" applyBorder="1" applyAlignment="1">
      <alignment horizontal="center" vertical="center"/>
    </xf>
    <xf numFmtId="0" fontId="67" fillId="9" borderId="0" xfId="21" applyFont="1" applyFill="1" applyBorder="1" applyAlignment="1">
      <alignment horizontal="center"/>
    </xf>
    <xf numFmtId="0" fontId="70" fillId="0" borderId="0" xfId="21" applyFont="1" applyBorder="1" applyAlignment="1">
      <alignment horizontal="center"/>
    </xf>
    <xf numFmtId="0" fontId="67" fillId="0" borderId="147" xfId="21" applyFont="1" applyFill="1" applyBorder="1" applyAlignment="1">
      <alignment horizontal="center" vertical="center"/>
    </xf>
    <xf numFmtId="0" fontId="67" fillId="0" borderId="149" xfId="21" applyFont="1" applyFill="1" applyBorder="1" applyAlignment="1">
      <alignment horizontal="center" vertical="center"/>
    </xf>
    <xf numFmtId="0" fontId="95" fillId="0" borderId="0" xfId="22" applyFont="1" applyBorder="1" applyAlignment="1">
      <alignment horizontal="center" vertical="center"/>
    </xf>
    <xf numFmtId="0" fontId="74" fillId="0" borderId="0" xfId="22" applyFont="1" applyBorder="1" applyAlignment="1">
      <alignment horizontal="center" vertical="center"/>
    </xf>
    <xf numFmtId="0" fontId="67" fillId="0" borderId="0" xfId="23" applyFont="1" applyBorder="1" applyAlignment="1">
      <alignment horizontal="center" vertical="center"/>
    </xf>
    <xf numFmtId="0" fontId="79" fillId="0" borderId="0" xfId="16" applyFont="1" applyBorder="1" applyAlignment="1">
      <alignment horizontal="center" vertical="center"/>
    </xf>
    <xf numFmtId="0" fontId="80" fillId="0" borderId="111" xfId="16" applyFont="1" applyBorder="1" applyAlignment="1">
      <alignment horizontal="left" vertical="center" wrapText="1"/>
    </xf>
    <xf numFmtId="0" fontId="80" fillId="0" borderId="92" xfId="16" applyFont="1" applyBorder="1" applyAlignment="1">
      <alignment horizontal="left" vertical="center" wrapText="1"/>
    </xf>
    <xf numFmtId="0" fontId="80" fillId="0" borderId="98" xfId="16" applyFont="1" applyBorder="1" applyAlignment="1">
      <alignment horizontal="left" vertical="center" wrapText="1"/>
    </xf>
    <xf numFmtId="0" fontId="67" fillId="9" borderId="150" xfId="23" applyFont="1" applyFill="1" applyBorder="1" applyAlignment="1">
      <alignment horizontal="center" vertical="center"/>
    </xf>
    <xf numFmtId="0" fontId="67" fillId="9" borderId="177" xfId="23" applyFont="1" applyFill="1" applyBorder="1" applyAlignment="1">
      <alignment horizontal="center" vertical="center"/>
    </xf>
    <xf numFmtId="0" fontId="67" fillId="9" borderId="61" xfId="23" applyFont="1" applyFill="1" applyBorder="1" applyAlignment="1">
      <alignment horizontal="center" vertical="center"/>
    </xf>
    <xf numFmtId="0" fontId="67" fillId="9" borderId="107" xfId="23" applyFont="1" applyFill="1" applyBorder="1" applyAlignment="1">
      <alignment horizontal="center" vertical="center"/>
    </xf>
    <xf numFmtId="0" fontId="67" fillId="9" borderId="79" xfId="23" applyFont="1" applyFill="1" applyBorder="1" applyAlignment="1">
      <alignment horizontal="center" vertical="center"/>
    </xf>
    <xf numFmtId="0" fontId="67" fillId="9" borderId="171" xfId="23" applyFont="1" applyFill="1" applyBorder="1" applyAlignment="1">
      <alignment horizontal="center" vertical="center"/>
    </xf>
    <xf numFmtId="0" fontId="67" fillId="9" borderId="0" xfId="23" applyFont="1" applyFill="1" applyBorder="1" applyAlignment="1">
      <alignment horizontal="center"/>
    </xf>
    <xf numFmtId="0" fontId="67" fillId="9" borderId="103" xfId="23" applyFont="1" applyFill="1" applyBorder="1" applyAlignment="1">
      <alignment horizontal="center" vertical="center"/>
    </xf>
    <xf numFmtId="0" fontId="67" fillId="9" borderId="110" xfId="23" applyFont="1" applyFill="1" applyBorder="1" applyAlignment="1">
      <alignment horizontal="center" vertical="center"/>
    </xf>
    <xf numFmtId="0" fontId="67" fillId="9" borderId="126" xfId="23" applyFont="1" applyFill="1" applyBorder="1" applyAlignment="1">
      <alignment horizontal="center" vertical="center"/>
    </xf>
    <xf numFmtId="0" fontId="71" fillId="9" borderId="0" xfId="23" applyFont="1" applyFill="1" applyBorder="1" applyAlignment="1">
      <alignment horizontal="center"/>
    </xf>
    <xf numFmtId="0" fontId="84" fillId="9" borderId="0" xfId="23" applyFont="1" applyFill="1" applyBorder="1" applyAlignment="1">
      <alignment horizontal="center"/>
    </xf>
    <xf numFmtId="0" fontId="67" fillId="9" borderId="9" xfId="23" applyFont="1" applyFill="1" applyBorder="1" applyAlignment="1">
      <alignment horizontal="center" vertical="center"/>
    </xf>
    <xf numFmtId="0" fontId="67" fillId="9" borderId="144" xfId="23" applyFont="1" applyFill="1" applyBorder="1" applyAlignment="1">
      <alignment horizontal="center" vertical="center"/>
    </xf>
    <xf numFmtId="0" fontId="67" fillId="9" borderId="153" xfId="23" applyFont="1" applyFill="1" applyBorder="1" applyAlignment="1">
      <alignment horizontal="center" vertical="center"/>
    </xf>
    <xf numFmtId="0" fontId="67" fillId="9" borderId="177" xfId="23" applyFont="1" applyFill="1" applyBorder="1" applyAlignment="1">
      <alignment horizontal="center" vertical="center" wrapText="1"/>
    </xf>
    <xf numFmtId="0" fontId="67" fillId="9" borderId="182" xfId="23" applyFont="1" applyFill="1" applyBorder="1" applyAlignment="1">
      <alignment horizontal="center" vertical="center"/>
    </xf>
    <xf numFmtId="0" fontId="67" fillId="9" borderId="100" xfId="23" applyFont="1" applyFill="1" applyBorder="1" applyAlignment="1">
      <alignment horizontal="center" vertical="center"/>
    </xf>
    <xf numFmtId="0" fontId="67" fillId="9" borderId="22" xfId="23" applyFont="1" applyFill="1" applyBorder="1" applyAlignment="1">
      <alignment horizontal="center" vertical="center"/>
    </xf>
    <xf numFmtId="0" fontId="67" fillId="9" borderId="181" xfId="23" applyFont="1" applyFill="1" applyBorder="1" applyAlignment="1">
      <alignment horizontal="center" vertical="center"/>
    </xf>
    <xf numFmtId="37" fontId="13" fillId="0" borderId="0" xfId="24" applyFont="1" applyBorder="1" applyAlignment="1">
      <alignment horizontal="center"/>
    </xf>
    <xf numFmtId="37" fontId="14" fillId="0" borderId="0" xfId="24" applyFont="1" applyBorder="1" applyAlignment="1">
      <alignment horizontal="center"/>
    </xf>
    <xf numFmtId="37" fontId="15" fillId="0" borderId="0" xfId="24" applyFont="1" applyBorder="1" applyAlignment="1">
      <alignment horizontal="center"/>
    </xf>
    <xf numFmtId="37" fontId="0" fillId="0" borderId="0" xfId="24" applyFont="1" applyBorder="1" applyAlignment="1">
      <alignment horizontal="center"/>
    </xf>
    <xf numFmtId="37" fontId="7" fillId="0" borderId="0" xfId="24" applyFont="1" applyAlignment="1">
      <alignment horizontal="center"/>
    </xf>
    <xf numFmtId="0" fontId="88" fillId="0" borderId="0" xfId="0" applyFont="1" applyAlignment="1">
      <alignment horizontal="left" vertical="center" wrapText="1"/>
    </xf>
    <xf numFmtId="0" fontId="71" fillId="9" borderId="0" xfId="20" applyFont="1" applyFill="1" applyBorder="1" applyAlignment="1">
      <alignment horizontal="center"/>
    </xf>
    <xf numFmtId="0" fontId="87" fillId="9" borderId="0" xfId="20" applyFont="1" applyFill="1" applyBorder="1" applyAlignment="1">
      <alignment horizontal="center"/>
    </xf>
    <xf numFmtId="0" fontId="68" fillId="9" borderId="0" xfId="20" applyFont="1" applyFill="1" applyBorder="1" applyAlignment="1">
      <alignment horizontal="center"/>
    </xf>
    <xf numFmtId="3" fontId="68" fillId="9" borderId="0" xfId="20" applyNumberFormat="1" applyFont="1" applyFill="1" applyAlignment="1">
      <alignment horizontal="center"/>
    </xf>
    <xf numFmtId="0" fontId="67" fillId="9" borderId="121" xfId="20" applyFont="1" applyFill="1" applyBorder="1" applyAlignment="1">
      <alignment horizontal="center" vertical="center" wrapText="1"/>
    </xf>
    <xf numFmtId="0" fontId="67" fillId="9" borderId="80" xfId="20" applyFont="1" applyFill="1" applyBorder="1" applyAlignment="1">
      <alignment horizontal="center" vertical="center" wrapText="1"/>
    </xf>
    <xf numFmtId="0" fontId="67" fillId="9" borderId="115" xfId="20" applyFont="1" applyFill="1" applyBorder="1" applyAlignment="1">
      <alignment horizontal="center" vertical="center" wrapText="1"/>
    </xf>
    <xf numFmtId="0" fontId="67" fillId="9" borderId="80" xfId="20" applyFont="1" applyFill="1" applyBorder="1" applyAlignment="1">
      <alignment horizontal="center" vertical="center"/>
    </xf>
    <xf numFmtId="0" fontId="67" fillId="9" borderId="115" xfId="20" applyFont="1" applyFill="1" applyBorder="1" applyAlignment="1">
      <alignment horizontal="center" vertical="center"/>
    </xf>
    <xf numFmtId="0" fontId="67" fillId="9" borderId="179" xfId="20" applyFont="1" applyFill="1" applyBorder="1" applyAlignment="1">
      <alignment horizontal="center" vertical="center"/>
    </xf>
    <xf numFmtId="0" fontId="67" fillId="9" borderId="129" xfId="20" applyFont="1" applyFill="1" applyBorder="1" applyAlignment="1">
      <alignment horizontal="center" vertical="center"/>
    </xf>
    <xf numFmtId="0" fontId="67" fillId="9" borderId="187" xfId="20" applyFont="1" applyFill="1" applyBorder="1" applyAlignment="1">
      <alignment horizontal="center" vertical="center"/>
    </xf>
    <xf numFmtId="3" fontId="67" fillId="9" borderId="168" xfId="20" applyNumberFormat="1" applyFont="1" applyFill="1" applyBorder="1" applyAlignment="1">
      <alignment horizontal="center"/>
    </xf>
    <xf numFmtId="3" fontId="67" fillId="9" borderId="94" xfId="20" applyNumberFormat="1" applyFont="1" applyFill="1" applyBorder="1" applyAlignment="1">
      <alignment horizontal="center"/>
    </xf>
    <xf numFmtId="0" fontId="72" fillId="9" borderId="0" xfId="20" applyFont="1" applyFill="1" applyBorder="1" applyAlignment="1">
      <alignment horizontal="center"/>
    </xf>
    <xf numFmtId="0" fontId="46" fillId="12" borderId="80" xfId="0" applyFont="1" applyFill="1" applyBorder="1" applyAlignment="1">
      <alignment horizontal="center"/>
    </xf>
    <xf numFmtId="0" fontId="88" fillId="0" borderId="0" xfId="0" applyFont="1" applyAlignment="1">
      <alignment horizontal="left" vertical="center"/>
    </xf>
    <xf numFmtId="0" fontId="67" fillId="0" borderId="0" xfId="18" applyFont="1" applyBorder="1" applyAlignment="1">
      <alignment horizontal="center"/>
    </xf>
    <xf numFmtId="0" fontId="67" fillId="0" borderId="61" xfId="18" applyFont="1" applyFill="1" applyBorder="1" applyAlignment="1">
      <alignment horizontal="center"/>
    </xf>
    <xf numFmtId="0" fontId="67" fillId="0" borderId="107" xfId="18" applyFont="1" applyFill="1" applyBorder="1" applyAlignment="1">
      <alignment horizontal="center"/>
    </xf>
    <xf numFmtId="0" fontId="67" fillId="0" borderId="147" xfId="18" applyFont="1" applyFill="1" applyBorder="1" applyAlignment="1">
      <alignment horizontal="center" vertical="center" wrapText="1"/>
    </xf>
    <xf numFmtId="0" fontId="67" fillId="0" borderId="148" xfId="18" applyFont="1" applyFill="1" applyBorder="1" applyAlignment="1">
      <alignment horizontal="center" vertical="center" wrapText="1"/>
    </xf>
    <xf numFmtId="0" fontId="67" fillId="0" borderId="149" xfId="18" applyFont="1" applyFill="1" applyBorder="1" applyAlignment="1">
      <alignment horizontal="center" vertical="center" wrapText="1"/>
    </xf>
    <xf numFmtId="0" fontId="67" fillId="0" borderId="147" xfId="18" applyFont="1" applyFill="1" applyBorder="1" applyAlignment="1">
      <alignment horizontal="center" vertical="center"/>
    </xf>
    <xf numFmtId="0" fontId="67" fillId="0" borderId="148" xfId="18" applyFont="1" applyFill="1" applyBorder="1" applyAlignment="1">
      <alignment horizontal="center" vertical="center"/>
    </xf>
    <xf numFmtId="0" fontId="67" fillId="0" borderId="149" xfId="18" applyFont="1" applyFill="1" applyBorder="1" applyAlignment="1">
      <alignment horizontal="center" vertical="center"/>
    </xf>
    <xf numFmtId="0" fontId="67" fillId="0" borderId="107" xfId="18" applyFont="1" applyFill="1" applyBorder="1" applyAlignment="1">
      <alignment horizontal="center" vertical="center"/>
    </xf>
    <xf numFmtId="0" fontId="67" fillId="0" borderId="108" xfId="18" applyFont="1" applyFill="1" applyBorder="1" applyAlignment="1">
      <alignment horizontal="center" vertical="center"/>
    </xf>
    <xf numFmtId="0" fontId="67" fillId="0" borderId="109" xfId="18" applyFont="1" applyFill="1" applyBorder="1" applyAlignment="1">
      <alignment horizontal="center" vertical="center"/>
    </xf>
    <xf numFmtId="0" fontId="67" fillId="0" borderId="28" xfId="18" applyFont="1" applyBorder="1" applyAlignment="1">
      <alignment horizontal="center"/>
    </xf>
    <xf numFmtId="0" fontId="67" fillId="0" borderId="30" xfId="18" applyFont="1" applyBorder="1" applyAlignment="1">
      <alignment horizontal="center"/>
    </xf>
    <xf numFmtId="0" fontId="67" fillId="0" borderId="50" xfId="18" applyFont="1" applyBorder="1" applyAlignment="1">
      <alignment horizontal="center"/>
    </xf>
    <xf numFmtId="0" fontId="71" fillId="0" borderId="0" xfId="19" applyFont="1" applyFill="1" applyBorder="1" applyAlignment="1">
      <alignment horizontal="center"/>
    </xf>
    <xf numFmtId="0" fontId="72" fillId="0" borderId="0" xfId="19" applyFont="1" applyFill="1" applyBorder="1" applyAlignment="1">
      <alignment horizontal="center"/>
    </xf>
    <xf numFmtId="0" fontId="67" fillId="0" borderId="0" xfId="19" applyFont="1" applyFill="1" applyBorder="1" applyAlignment="1">
      <alignment horizontal="center"/>
    </xf>
    <xf numFmtId="0" fontId="67" fillId="0" borderId="0" xfId="19" applyFont="1" applyFill="1" applyBorder="1" applyAlignment="1">
      <alignment horizontal="left"/>
    </xf>
    <xf numFmtId="0" fontId="67" fillId="0" borderId="103" xfId="19" applyFont="1" applyFill="1" applyBorder="1" applyAlignment="1">
      <alignment horizontal="center" vertical="center" wrapText="1"/>
    </xf>
    <xf numFmtId="0" fontId="67" fillId="0" borderId="110" xfId="19" applyFont="1" applyFill="1" applyBorder="1" applyAlignment="1">
      <alignment horizontal="center" vertical="center" wrapText="1"/>
    </xf>
    <xf numFmtId="0" fontId="67" fillId="0" borderId="130" xfId="19" applyFont="1" applyFill="1" applyBorder="1" applyAlignment="1">
      <alignment horizontal="center" vertical="center" wrapText="1"/>
    </xf>
    <xf numFmtId="0" fontId="67" fillId="0" borderId="137" xfId="19" applyFont="1" applyFill="1" applyBorder="1" applyAlignment="1">
      <alignment horizontal="center" vertical="center" wrapText="1"/>
    </xf>
    <xf numFmtId="0" fontId="67" fillId="0" borderId="131" xfId="19" applyFont="1" applyFill="1" applyBorder="1" applyAlignment="1">
      <alignment horizontal="center" vertical="center" wrapText="1"/>
    </xf>
    <xf numFmtId="0" fontId="67" fillId="0" borderId="133" xfId="19" applyFont="1" applyFill="1" applyBorder="1" applyAlignment="1">
      <alignment horizontal="center" vertical="center" wrapText="1"/>
    </xf>
    <xf numFmtId="0" fontId="67" fillId="0" borderId="0" xfId="19" applyFont="1" applyFill="1" applyAlignment="1">
      <alignment horizontal="center"/>
    </xf>
    <xf numFmtId="0" fontId="46" fillId="0" borderId="28" xfId="0" applyFont="1" applyFill="1" applyBorder="1" applyAlignment="1">
      <alignment horizontal="center" vertical="center"/>
    </xf>
    <xf numFmtId="0" fontId="46" fillId="0" borderId="30" xfId="0" applyFont="1" applyFill="1" applyBorder="1" applyAlignment="1">
      <alignment horizontal="center" vertical="center"/>
    </xf>
    <xf numFmtId="0" fontId="46" fillId="0" borderId="151" xfId="0" applyFont="1" applyFill="1" applyBorder="1" applyAlignment="1">
      <alignment horizontal="center" vertical="center"/>
    </xf>
    <xf numFmtId="0" fontId="46" fillId="0" borderId="28" xfId="0" applyFont="1" applyBorder="1" applyAlignment="1">
      <alignment horizontal="center" vertical="center"/>
    </xf>
    <xf numFmtId="0" fontId="46" fillId="0" borderId="30" xfId="0" applyFont="1" applyBorder="1" applyAlignment="1">
      <alignment horizontal="center" vertical="center"/>
    </xf>
    <xf numFmtId="0" fontId="46" fillId="0" borderId="151" xfId="0" applyFont="1" applyBorder="1" applyAlignment="1">
      <alignment horizontal="center" vertical="center"/>
    </xf>
    <xf numFmtId="0" fontId="46" fillId="0" borderId="124" xfId="0" applyFont="1" applyBorder="1" applyAlignment="1">
      <alignment horizontal="center"/>
    </xf>
    <xf numFmtId="0" fontId="46" fillId="0" borderId="121" xfId="0" applyFont="1" applyBorder="1" applyAlignment="1">
      <alignment horizontal="center"/>
    </xf>
    <xf numFmtId="0" fontId="46" fillId="0" borderId="145" xfId="0" applyFont="1" applyBorder="1" applyAlignment="1">
      <alignment horizontal="center"/>
    </xf>
    <xf numFmtId="0" fontId="47" fillId="0" borderId="111" xfId="0" applyFont="1" applyBorder="1" applyAlignment="1">
      <alignment horizontal="center"/>
    </xf>
    <xf numFmtId="0" fontId="47" fillId="0" borderId="92" xfId="0" applyFont="1" applyBorder="1" applyAlignment="1">
      <alignment horizontal="center"/>
    </xf>
    <xf numFmtId="0" fontId="47" fillId="0" borderId="139" xfId="0" applyFont="1" applyBorder="1" applyAlignment="1">
      <alignment horizontal="center"/>
    </xf>
    <xf numFmtId="0" fontId="71" fillId="9" borderId="0" xfId="0" applyFont="1" applyFill="1" applyBorder="1" applyAlignment="1">
      <alignment horizontal="center" vertical="center"/>
    </xf>
    <xf numFmtId="0" fontId="84" fillId="9" borderId="0" xfId="0" applyFont="1" applyFill="1" applyBorder="1" applyAlignment="1">
      <alignment horizontal="center" vertical="center"/>
    </xf>
    <xf numFmtId="0" fontId="67" fillId="9" borderId="0" xfId="0" applyFont="1" applyFill="1" applyBorder="1" applyAlignment="1">
      <alignment horizontal="center" vertical="center"/>
    </xf>
    <xf numFmtId="0" fontId="74" fillId="12" borderId="103" xfId="0" applyFont="1" applyFill="1" applyBorder="1" applyAlignment="1">
      <alignment horizontal="center" vertical="center"/>
    </xf>
    <xf numFmtId="0" fontId="74" fillId="12" borderId="110" xfId="0" applyFont="1" applyFill="1" applyBorder="1" applyAlignment="1">
      <alignment horizontal="center" vertical="center"/>
    </xf>
    <xf numFmtId="0" fontId="74" fillId="12" borderId="104" xfId="0" applyFont="1" applyFill="1" applyBorder="1" applyAlignment="1">
      <alignment horizontal="center" vertical="center"/>
    </xf>
    <xf numFmtId="0" fontId="74" fillId="12" borderId="99" xfId="0" applyFont="1" applyFill="1" applyBorder="1" applyAlignment="1">
      <alignment horizontal="center"/>
    </xf>
    <xf numFmtId="0" fontId="74" fillId="12" borderId="106" xfId="0" applyFont="1" applyFill="1" applyBorder="1" applyAlignment="1">
      <alignment horizontal="center"/>
    </xf>
    <xf numFmtId="0" fontId="74" fillId="12" borderId="61" xfId="0" applyFont="1" applyFill="1" applyBorder="1" applyAlignment="1">
      <alignment horizontal="center"/>
    </xf>
    <xf numFmtId="0" fontId="74" fillId="12" borderId="183" xfId="0" applyFont="1" applyFill="1" applyBorder="1" applyAlignment="1">
      <alignment horizontal="center" vertical="center" wrapText="1"/>
    </xf>
    <xf numFmtId="0" fontId="74" fillId="12" borderId="113" xfId="0" applyFont="1" applyFill="1" applyBorder="1" applyAlignment="1">
      <alignment horizontal="center" vertical="center" wrapText="1"/>
    </xf>
    <xf numFmtId="0" fontId="74" fillId="12" borderId="184" xfId="0" applyFont="1" applyFill="1" applyBorder="1" applyAlignment="1">
      <alignment horizontal="center" vertical="center"/>
    </xf>
    <xf numFmtId="0" fontId="74" fillId="12" borderId="157" xfId="0" applyFont="1" applyFill="1" applyBorder="1" applyAlignment="1">
      <alignment horizontal="center" vertical="center"/>
    </xf>
    <xf numFmtId="0" fontId="74" fillId="12" borderId="184" xfId="0" applyFont="1" applyFill="1" applyBorder="1" applyAlignment="1">
      <alignment horizontal="center" vertical="center" wrapText="1"/>
    </xf>
    <xf numFmtId="0" fontId="74" fillId="12" borderId="157" xfId="0" applyFont="1" applyFill="1" applyBorder="1" applyAlignment="1">
      <alignment horizontal="center" vertical="center" wrapText="1"/>
    </xf>
    <xf numFmtId="0" fontId="74" fillId="12" borderId="178" xfId="0" applyFont="1" applyFill="1" applyBorder="1" applyAlignment="1">
      <alignment horizontal="center" vertical="center"/>
    </xf>
    <xf numFmtId="0" fontId="74" fillId="12" borderId="114" xfId="0" applyFont="1" applyFill="1" applyBorder="1" applyAlignment="1">
      <alignment horizontal="center" vertical="center"/>
    </xf>
    <xf numFmtId="0" fontId="74" fillId="12" borderId="178" xfId="0" applyFont="1" applyFill="1" applyBorder="1" applyAlignment="1">
      <alignment horizontal="center" vertical="center" wrapText="1"/>
    </xf>
    <xf numFmtId="0" fontId="74" fillId="12" borderId="114" xfId="0" applyFont="1" applyFill="1" applyBorder="1" applyAlignment="1">
      <alignment horizontal="center" vertical="center" wrapText="1"/>
    </xf>
    <xf numFmtId="0" fontId="74" fillId="12" borderId="28" xfId="0" applyFont="1" applyFill="1" applyBorder="1" applyAlignment="1">
      <alignment horizontal="center"/>
    </xf>
    <xf numFmtId="0" fontId="74" fillId="12" borderId="30" xfId="0" applyFont="1" applyFill="1" applyBorder="1" applyAlignment="1">
      <alignment horizontal="center"/>
    </xf>
    <xf numFmtId="0" fontId="74" fillId="12" borderId="50" xfId="0" applyFont="1" applyFill="1" applyBorder="1" applyAlignment="1">
      <alignment horizontal="center"/>
    </xf>
    <xf numFmtId="0" fontId="9" fillId="0" borderId="0" xfId="0" applyFont="1" applyBorder="1" applyAlignment="1">
      <alignment horizontal="center" vertical="center"/>
    </xf>
    <xf numFmtId="0" fontId="74" fillId="12" borderId="147" xfId="0" applyFont="1" applyFill="1" applyBorder="1" applyAlignment="1">
      <alignment horizontal="center" vertical="center" wrapText="1"/>
    </xf>
    <xf numFmtId="0" fontId="74" fillId="12" borderId="149" xfId="0" applyFont="1" applyFill="1" applyBorder="1" applyAlignment="1">
      <alignment horizontal="center" vertical="center" wrapText="1"/>
    </xf>
    <xf numFmtId="0" fontId="47" fillId="11" borderId="121" xfId="0" applyFont="1" applyFill="1" applyBorder="1" applyAlignment="1">
      <alignment horizontal="center" wrapText="1"/>
    </xf>
    <xf numFmtId="0" fontId="47" fillId="11" borderId="145" xfId="0" applyFont="1" applyFill="1" applyBorder="1" applyAlignment="1">
      <alignment horizontal="center" wrapText="1"/>
    </xf>
    <xf numFmtId="0" fontId="47" fillId="0" borderId="83" xfId="0" applyFont="1" applyBorder="1" applyAlignment="1">
      <alignment horizontal="center"/>
    </xf>
    <xf numFmtId="0" fontId="47" fillId="0" borderId="80" xfId="0" applyFont="1" applyBorder="1" applyAlignment="1">
      <alignment horizontal="center" vertical="center" wrapText="1"/>
    </xf>
    <xf numFmtId="0" fontId="47" fillId="0" borderId="80" xfId="0" applyFont="1" applyBorder="1" applyAlignment="1">
      <alignment horizontal="center"/>
    </xf>
    <xf numFmtId="0" fontId="47" fillId="11" borderId="121" xfId="0" applyFont="1" applyFill="1" applyBorder="1" applyAlignment="1">
      <alignment horizontal="center" vertical="center" wrapText="1"/>
    </xf>
    <xf numFmtId="0" fontId="47" fillId="0" borderId="80" xfId="0" applyFont="1" applyFill="1" applyBorder="1" applyAlignment="1">
      <alignment horizontal="center"/>
    </xf>
    <xf numFmtId="0" fontId="46" fillId="0" borderId="174" xfId="0" applyFont="1" applyBorder="1" applyAlignment="1">
      <alignment horizontal="center"/>
    </xf>
    <xf numFmtId="0" fontId="46" fillId="0" borderId="189" xfId="0" applyFont="1" applyBorder="1" applyAlignment="1">
      <alignment horizontal="center"/>
    </xf>
    <xf numFmtId="0" fontId="47" fillId="0" borderId="98" xfId="0" applyFont="1" applyBorder="1" applyAlignment="1">
      <alignment horizontal="center"/>
    </xf>
    <xf numFmtId="0" fontId="91" fillId="0" borderId="0" xfId="0" applyFont="1" applyAlignment="1">
      <alignment horizontal="left" vertical="center"/>
    </xf>
    <xf numFmtId="0" fontId="16" fillId="0" borderId="0" xfId="0" applyFont="1" applyFill="1" applyBorder="1" applyAlignment="1">
      <alignment horizontal="center"/>
    </xf>
    <xf numFmtId="0" fontId="17" fillId="0" borderId="0" xfId="0" applyFont="1" applyFill="1" applyBorder="1" applyAlignment="1">
      <alignment horizontal="center"/>
    </xf>
    <xf numFmtId="0" fontId="16" fillId="0" borderId="3" xfId="0" applyFont="1" applyFill="1" applyBorder="1" applyAlignment="1">
      <alignment horizontal="center"/>
    </xf>
    <xf numFmtId="0" fontId="16" fillId="0" borderId="14" xfId="0" applyFont="1" applyFill="1" applyBorder="1" applyAlignment="1">
      <alignment horizontal="center"/>
    </xf>
    <xf numFmtId="0" fontId="20" fillId="0" borderId="15" xfId="0" applyFont="1" applyFill="1" applyBorder="1" applyAlignment="1">
      <alignment horizontal="center"/>
    </xf>
    <xf numFmtId="3" fontId="16" fillId="0" borderId="13" xfId="0" applyNumberFormat="1" applyFont="1" applyFill="1" applyBorder="1" applyAlignment="1">
      <alignment horizontal="center" vertical="center" wrapText="1"/>
    </xf>
    <xf numFmtId="3" fontId="16" fillId="0" borderId="5" xfId="0" applyNumberFormat="1" applyFont="1" applyFill="1" applyBorder="1" applyAlignment="1">
      <alignment horizontal="center" vertical="center" wrapText="1"/>
    </xf>
    <xf numFmtId="3" fontId="16" fillId="0" borderId="15" xfId="0" applyNumberFormat="1" applyFont="1" applyFill="1" applyBorder="1" applyAlignment="1">
      <alignment horizontal="center" vertical="center" wrapText="1"/>
    </xf>
    <xf numFmtId="3" fontId="16" fillId="0" borderId="0" xfId="0" applyNumberFormat="1" applyFont="1" applyFill="1" applyBorder="1" applyAlignment="1">
      <alignment horizontal="center"/>
    </xf>
    <xf numFmtId="3" fontId="42" fillId="10" borderId="91" xfId="0" applyNumberFormat="1" applyFont="1" applyFill="1" applyBorder="1" applyAlignment="1">
      <alignment horizontal="center" vertical="center" wrapText="1"/>
    </xf>
    <xf numFmtId="3" fontId="42" fillId="10" borderId="0" xfId="0" applyNumberFormat="1" applyFont="1" applyFill="1" applyBorder="1" applyAlignment="1">
      <alignment horizontal="center" vertical="center" wrapText="1"/>
    </xf>
    <xf numFmtId="3" fontId="42" fillId="10" borderId="79" xfId="0" applyNumberFormat="1" applyFont="1" applyFill="1" applyBorder="1" applyAlignment="1">
      <alignment horizontal="center" vertical="center" wrapText="1"/>
    </xf>
    <xf numFmtId="3" fontId="42" fillId="10" borderId="93" xfId="0" applyNumberFormat="1" applyFont="1" applyFill="1" applyBorder="1" applyAlignment="1">
      <alignment horizontal="center" vertical="center" wrapText="1"/>
    </xf>
    <xf numFmtId="3" fontId="42" fillId="10" borderId="24" xfId="0" applyNumberFormat="1" applyFont="1" applyFill="1" applyBorder="1" applyAlignment="1">
      <alignment horizontal="center" vertical="center" wrapText="1"/>
    </xf>
    <xf numFmtId="3" fontId="42" fillId="10" borderId="25" xfId="0" applyNumberFormat="1" applyFont="1" applyFill="1" applyBorder="1" applyAlignment="1">
      <alignment horizontal="center" vertical="center" wrapText="1"/>
    </xf>
    <xf numFmtId="3" fontId="42" fillId="10" borderId="83" xfId="0" applyNumberFormat="1" applyFont="1" applyFill="1" applyBorder="1" applyAlignment="1">
      <alignment horizontal="center" vertical="center" wrapText="1"/>
    </xf>
    <xf numFmtId="3" fontId="42" fillId="10" borderId="85" xfId="0" applyNumberFormat="1" applyFont="1" applyFill="1" applyBorder="1" applyAlignment="1">
      <alignment horizontal="center" vertical="center" wrapText="1"/>
    </xf>
    <xf numFmtId="0" fontId="43" fillId="0" borderId="0" xfId="0" applyFont="1" applyFill="1" applyBorder="1" applyAlignment="1">
      <alignment horizontal="center" vertical="center"/>
    </xf>
    <xf numFmtId="0" fontId="44" fillId="0" borderId="0" xfId="0" applyFont="1" applyFill="1" applyBorder="1" applyAlignment="1">
      <alignment horizontal="center" vertical="center"/>
    </xf>
    <xf numFmtId="0" fontId="42" fillId="10" borderId="21" xfId="0" applyFont="1" applyFill="1" applyBorder="1" applyAlignment="1">
      <alignment horizontal="center" vertical="center"/>
    </xf>
    <xf numFmtId="0" fontId="42" fillId="10" borderId="87" xfId="0" applyFont="1" applyFill="1" applyBorder="1" applyAlignment="1">
      <alignment horizontal="center" vertical="center"/>
    </xf>
    <xf numFmtId="0" fontId="42" fillId="10" borderId="22" xfId="0" applyFont="1" applyFill="1" applyBorder="1" applyAlignment="1">
      <alignment horizontal="center" vertical="center"/>
    </xf>
    <xf numFmtId="3" fontId="42" fillId="10" borderId="23" xfId="0" applyNumberFormat="1" applyFont="1" applyFill="1" applyBorder="1" applyAlignment="1">
      <alignment horizontal="center" vertical="center" wrapText="1"/>
    </xf>
    <xf numFmtId="3" fontId="42" fillId="10" borderId="88" xfId="0" applyNumberFormat="1" applyFont="1" applyFill="1" applyBorder="1" applyAlignment="1">
      <alignment horizontal="center" vertical="center" wrapText="1"/>
    </xf>
    <xf numFmtId="3" fontId="42" fillId="10" borderId="10" xfId="0" applyNumberFormat="1" applyFont="1" applyFill="1" applyBorder="1" applyAlignment="1">
      <alignment horizontal="center" vertical="center" wrapText="1"/>
    </xf>
    <xf numFmtId="3" fontId="42" fillId="10" borderId="81" xfId="0" applyNumberFormat="1" applyFont="1" applyFill="1" applyBorder="1" applyAlignment="1">
      <alignment horizontal="center" vertical="center" wrapText="1"/>
    </xf>
    <xf numFmtId="3" fontId="42" fillId="10" borderId="78" xfId="0" applyNumberFormat="1" applyFont="1" applyFill="1" applyBorder="1" applyAlignment="1">
      <alignment horizontal="center" vertical="center" wrapText="1"/>
    </xf>
  </cellXfs>
  <cellStyles count="192">
    <cellStyle name="20% - Énfasis1" xfId="93" builtinId="30" customBuiltin="1"/>
    <cellStyle name="20% - Énfasis1 2" xfId="177"/>
    <cellStyle name="20% - Énfasis2" xfId="97" builtinId="34" customBuiltin="1"/>
    <cellStyle name="20% - Énfasis2 2" xfId="179"/>
    <cellStyle name="20% - Énfasis3" xfId="101" builtinId="38" customBuiltin="1"/>
    <cellStyle name="20% - Énfasis3 2" xfId="181"/>
    <cellStyle name="20% - Énfasis4" xfId="105" builtinId="42" customBuiltin="1"/>
    <cellStyle name="20% - Énfasis4 2" xfId="183"/>
    <cellStyle name="20% - Énfasis5" xfId="109" builtinId="46" customBuiltin="1"/>
    <cellStyle name="20% - Énfasis5 2" xfId="185"/>
    <cellStyle name="20% - Énfasis6" xfId="113" builtinId="50" customBuiltin="1"/>
    <cellStyle name="20% - Énfasis6 2" xfId="187"/>
    <cellStyle name="40% - Énfasis1" xfId="94" builtinId="31" customBuiltin="1"/>
    <cellStyle name="40% - Énfasis1 2" xfId="178"/>
    <cellStyle name="40% - Énfasis2" xfId="98" builtinId="35" customBuiltin="1"/>
    <cellStyle name="40% - Énfasis2 2" xfId="180"/>
    <cellStyle name="40% - Énfasis3" xfId="102" builtinId="39" customBuiltin="1"/>
    <cellStyle name="40% - Énfasis3 2" xfId="182"/>
    <cellStyle name="40% - Énfasis4" xfId="106" builtinId="43" customBuiltin="1"/>
    <cellStyle name="40% - Énfasis4 2" xfId="184"/>
    <cellStyle name="40% - Énfasis5" xfId="110" builtinId="47" customBuiltin="1"/>
    <cellStyle name="40% - Énfasis5 2" xfId="186"/>
    <cellStyle name="40% - Énfasis6" xfId="114" builtinId="51" customBuiltin="1"/>
    <cellStyle name="40% - Énfasis6 2" xfId="188"/>
    <cellStyle name="60% - Énfasis1" xfId="95" builtinId="32" customBuiltin="1"/>
    <cellStyle name="60% - Énfasis2" xfId="99" builtinId="36" customBuiltin="1"/>
    <cellStyle name="60% - Énfasis3" xfId="103" builtinId="40" customBuiltin="1"/>
    <cellStyle name="60% - Énfasis4" xfId="107" builtinId="44" customBuiltin="1"/>
    <cellStyle name="60% - Énfasis5" xfId="111" builtinId="48" customBuiltin="1"/>
    <cellStyle name="60% - Énfasis6" xfId="115" builtinId="52" customBuiltin="1"/>
    <cellStyle name="Buena" xfId="81" builtinId="26" customBuiltin="1"/>
    <cellStyle name="Cálculo" xfId="86" builtinId="22" customBuiltin="1"/>
    <cellStyle name="Celda de comprobación" xfId="88" builtinId="23" customBuiltin="1"/>
    <cellStyle name="Celda vinculada" xfId="87" builtinId="24" customBuiltin="1"/>
    <cellStyle name="Dia" xfId="1"/>
    <cellStyle name="Encabez1" xfId="2"/>
    <cellStyle name="Encabez2" xfId="3"/>
    <cellStyle name="Encabezado 1" xfId="77" builtinId="16" customBuiltin="1"/>
    <cellStyle name="Encabezado 4" xfId="80" builtinId="19" customBuiltin="1"/>
    <cellStyle name="Énfasis1" xfId="92" builtinId="29" customBuiltin="1"/>
    <cellStyle name="Énfasis2" xfId="96" builtinId="33" customBuiltin="1"/>
    <cellStyle name="Énfasis3" xfId="100" builtinId="37" customBuiltin="1"/>
    <cellStyle name="Énfasis4" xfId="104" builtinId="41" customBuiltin="1"/>
    <cellStyle name="Énfasis5" xfId="108" builtinId="45" customBuiltin="1"/>
    <cellStyle name="Énfasis6" xfId="112" builtinId="49" customBuiltin="1"/>
    <cellStyle name="Entrada" xfId="84" builtinId="20" customBuiltin="1"/>
    <cellStyle name="Fijo" xfId="4"/>
    <cellStyle name="Financiero" xfId="5"/>
    <cellStyle name="Incorrecto" xfId="82" builtinId="27" customBuiltin="1"/>
    <cellStyle name="Millares" xfId="6" builtinId="3"/>
    <cellStyle name="Millares [0]" xfId="7" builtinId="6"/>
    <cellStyle name="Millares [0] 2" xfId="75"/>
    <cellStyle name="Millares [0] 2 2" xfId="176"/>
    <cellStyle name="Millares [0] 3" xfId="117"/>
    <cellStyle name="Millares [0] 3 2" xfId="190"/>
    <cellStyle name="Millares [0] 4" xfId="120"/>
    <cellStyle name="Millares 2" xfId="8"/>
    <cellStyle name="Millares 3" xfId="9"/>
    <cellStyle name="Millares 3 2" xfId="121"/>
    <cellStyle name="Millares 4" xfId="119"/>
    <cellStyle name="Millares 5" xfId="126"/>
    <cellStyle name="Millares_Flujo de Efectivo Set´05" xfId="10"/>
    <cellStyle name="Monetario" xfId="11"/>
    <cellStyle name="Neutral" xfId="83" builtinId="28" customBuiltin="1"/>
    <cellStyle name="Normal" xfId="0" builtinId="0"/>
    <cellStyle name="Normal 10" xfId="33"/>
    <cellStyle name="Normal 10 2" xfId="134"/>
    <cellStyle name="Normal 11" xfId="34"/>
    <cellStyle name="Normal 11 2" xfId="135"/>
    <cellStyle name="Normal 12" xfId="35"/>
    <cellStyle name="Normal 12 2" xfId="136"/>
    <cellStyle name="Normal 13" xfId="36"/>
    <cellStyle name="Normal 13 2" xfId="137"/>
    <cellStyle name="Normal 14" xfId="38"/>
    <cellStyle name="Normal 14 2" xfId="139"/>
    <cellStyle name="Normal 15" xfId="37"/>
    <cellStyle name="Normal 15 2" xfId="138"/>
    <cellStyle name="Normal 16" xfId="41"/>
    <cellStyle name="Normal 16 2" xfId="142"/>
    <cellStyle name="Normal 17" xfId="43"/>
    <cellStyle name="Normal 17 2" xfId="144"/>
    <cellStyle name="Normal 18" xfId="45"/>
    <cellStyle name="Normal 18 2" xfId="146"/>
    <cellStyle name="Normal 19" xfId="48"/>
    <cellStyle name="Normal 19 2" xfId="149"/>
    <cellStyle name="Normal 2" xfId="12"/>
    <cellStyle name="Normal 2 12" xfId="13"/>
    <cellStyle name="Normal 2 12 2" xfId="122"/>
    <cellStyle name="Normal 2 2" xfId="14"/>
    <cellStyle name="Normal 20" xfId="51"/>
    <cellStyle name="Normal 20 2" xfId="152"/>
    <cellStyle name="Normal 21" xfId="53"/>
    <cellStyle name="Normal 21 2" xfId="154"/>
    <cellStyle name="Normal 22" xfId="57"/>
    <cellStyle name="Normal 22 2" xfId="158"/>
    <cellStyle name="Normal 23" xfId="58"/>
    <cellStyle name="Normal 23 2" xfId="159"/>
    <cellStyle name="Normal 24" xfId="62"/>
    <cellStyle name="Normal 24 2" xfId="163"/>
    <cellStyle name="Normal 25" xfId="39"/>
    <cellStyle name="Normal 25 2" xfId="140"/>
    <cellStyle name="Normal 26" xfId="40"/>
    <cellStyle name="Normal 26 2" xfId="141"/>
    <cellStyle name="Normal 27" xfId="42"/>
    <cellStyle name="Normal 27 2" xfId="143"/>
    <cellStyle name="Normal 28" xfId="44"/>
    <cellStyle name="Normal 28 2" xfId="145"/>
    <cellStyle name="Normal 29" xfId="46"/>
    <cellStyle name="Normal 29 2" xfId="147"/>
    <cellStyle name="Normal 3" xfId="15"/>
    <cellStyle name="Normal 3 2" xfId="123"/>
    <cellStyle name="Normal 30" xfId="47"/>
    <cellStyle name="Normal 30 2" xfId="148"/>
    <cellStyle name="Normal 31" xfId="49"/>
    <cellStyle name="Normal 31 2" xfId="150"/>
    <cellStyle name="Normal 32" xfId="63"/>
    <cellStyle name="Normal 32 2" xfId="164"/>
    <cellStyle name="Normal 33" xfId="50"/>
    <cellStyle name="Normal 33 2" xfId="151"/>
    <cellStyle name="Normal 34" xfId="52"/>
    <cellStyle name="Normal 34 2" xfId="153"/>
    <cellStyle name="Normal 35" xfId="54"/>
    <cellStyle name="Normal 35 2" xfId="155"/>
    <cellStyle name="Normal 36" xfId="64"/>
    <cellStyle name="Normal 36 2" xfId="165"/>
    <cellStyle name="Normal 37" xfId="65"/>
    <cellStyle name="Normal 37 2" xfId="166"/>
    <cellStyle name="Normal 38" xfId="55"/>
    <cellStyle name="Normal 38 2" xfId="156"/>
    <cellStyle name="Normal 39" xfId="56"/>
    <cellStyle name="Normal 39 2" xfId="157"/>
    <cellStyle name="Normal 4" xfId="16"/>
    <cellStyle name="Normal 4 2" xfId="17"/>
    <cellStyle name="Normal 4 2 2" xfId="125"/>
    <cellStyle name="Normal 4 3" xfId="124"/>
    <cellStyle name="Normal 40" xfId="66"/>
    <cellStyle name="Normal 40 2" xfId="167"/>
    <cellStyle name="Normal 41" xfId="67"/>
    <cellStyle name="Normal 41 2" xfId="168"/>
    <cellStyle name="Normal 42" xfId="59"/>
    <cellStyle name="Normal 42 2" xfId="160"/>
    <cellStyle name="Normal 43" xfId="60"/>
    <cellStyle name="Normal 43 2" xfId="161"/>
    <cellStyle name="Normal 44" xfId="61"/>
    <cellStyle name="Normal 44 2" xfId="162"/>
    <cellStyle name="Normal 45" xfId="68"/>
    <cellStyle name="Normal 45 2" xfId="169"/>
    <cellStyle name="Normal 46" xfId="69"/>
    <cellStyle name="Normal 46 2" xfId="170"/>
    <cellStyle name="Normal 47" xfId="70"/>
    <cellStyle name="Normal 47 2" xfId="171"/>
    <cellStyle name="Normal 48" xfId="71"/>
    <cellStyle name="Normal 48 2" xfId="172"/>
    <cellStyle name="Normal 49" xfId="72"/>
    <cellStyle name="Normal 49 2" xfId="173"/>
    <cellStyle name="Normal 5" xfId="28"/>
    <cellStyle name="Normal 5 2" xfId="129"/>
    <cellStyle name="Normal 50" xfId="73"/>
    <cellStyle name="Normal 50 2" xfId="174"/>
    <cellStyle name="Normal 51" xfId="74"/>
    <cellStyle name="Normal 51 2" xfId="175"/>
    <cellStyle name="Normal 52" xfId="116"/>
    <cellStyle name="Normal 52 2" xfId="189"/>
    <cellStyle name="Normal 6" xfId="30"/>
    <cellStyle name="Normal 6 2" xfId="131"/>
    <cellStyle name="Normal 7" xfId="31"/>
    <cellStyle name="Normal 7 2" xfId="132"/>
    <cellStyle name="Normal 8" xfId="29"/>
    <cellStyle name="Normal 8 2" xfId="130"/>
    <cellStyle name="Normal 9" xfId="32"/>
    <cellStyle name="Normal 9 2" xfId="133"/>
    <cellStyle name="Normal_ANEXOC" xfId="18"/>
    <cellStyle name="Normal_ANEXOD" xfId="19"/>
    <cellStyle name="Normal_ANEXOG" xfId="20"/>
    <cellStyle name="Normal_Balance a Dic´05" xfId="21"/>
    <cellStyle name="Normal_Estado de Resultado a Dic´05" xfId="22"/>
    <cellStyle name="Normal_Evolucion del Patrimonio" xfId="23"/>
    <cellStyle name="Normal_Flujo de Efectivo Set´05" xfId="24"/>
    <cellStyle name="Notas 2" xfId="118"/>
    <cellStyle name="Notas 2 2" xfId="191"/>
    <cellStyle name="Porcentaje" xfId="25" builtinId="5"/>
    <cellStyle name="Porcentual 2" xfId="26"/>
    <cellStyle name="Porcentual 2 2" xfId="127"/>
    <cellStyle name="Porcentual 3" xfId="27"/>
    <cellStyle name="Porcentual 3 2" xfId="128"/>
    <cellStyle name="Salida" xfId="85" builtinId="21" customBuiltin="1"/>
    <cellStyle name="Texto de advertencia" xfId="89" builtinId="11" customBuiltin="1"/>
    <cellStyle name="Texto explicativo" xfId="90" builtinId="53" customBuiltin="1"/>
    <cellStyle name="Título" xfId="76" builtinId="15" customBuiltin="1"/>
    <cellStyle name="Título 2" xfId="78" builtinId="17" customBuiltin="1"/>
    <cellStyle name="Título 3" xfId="79" builtinId="18" customBuiltin="1"/>
    <cellStyle name="Total" xfId="91" builtinId="25" customBuiltin="1"/>
  </cellStyles>
  <dxfs count="0"/>
  <tableStyles count="0" defaultTableStyle="TableStyleMedium9" defaultPivotStyle="PivotStyleLight16"/>
  <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6.png"/></Relationships>
</file>

<file path=xl/drawings/_rels/drawing24.xml.rels><?xml version="1.0" encoding="UTF-8" standalone="yes"?>
<Relationships xmlns="http://schemas.openxmlformats.org/package/2006/relationships"><Relationship Id="rId1" Type="http://schemas.openxmlformats.org/officeDocument/2006/relationships/image" Target="../media/image7.png"/></Relationships>
</file>

<file path=xl/drawings/_rels/drawing25.xml.rels><?xml version="1.0" encoding="UTF-8" standalone="yes"?>
<Relationships xmlns="http://schemas.openxmlformats.org/package/2006/relationships"><Relationship Id="rId1" Type="http://schemas.openxmlformats.org/officeDocument/2006/relationships/image" Target="../media/image8.png"/></Relationships>
</file>

<file path=xl/drawings/_rels/drawing26.xml.rels><?xml version="1.0" encoding="UTF-8" standalone="yes"?>
<Relationships xmlns="http://schemas.openxmlformats.org/package/2006/relationships"><Relationship Id="rId1" Type="http://schemas.openxmlformats.org/officeDocument/2006/relationships/image" Target="../media/image9.png"/></Relationships>
</file>

<file path=xl/drawings/_rels/drawing27.xml.rels><?xml version="1.0" encoding="UTF-8" standalone="yes"?>
<Relationships xmlns="http://schemas.openxmlformats.org/package/2006/relationships"><Relationship Id="rId1" Type="http://schemas.openxmlformats.org/officeDocument/2006/relationships/image" Target="../media/image9.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2.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9.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7.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7.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115050" cy="579755"/>
        </a:xfrm>
        <a:prstGeom prst="rect">
          <a:avLst/>
        </a:prstGeom>
        <a:noFill/>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857249</xdr:colOff>
      <xdr:row>3</xdr:row>
      <xdr:rowOff>171450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7351374" cy="647700"/>
        </a:xfrm>
        <a:prstGeom prst="rect">
          <a:avLst/>
        </a:prstGeom>
        <a:noFill/>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0</xdr:colOff>
      <xdr:row>3</xdr:row>
      <xdr:rowOff>93980</xdr:rowOff>
    </xdr:to>
    <xdr:pic>
      <xdr:nvPicPr>
        <xdr:cNvPr id="3" name="Imagen 2"/>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96000" cy="579755"/>
        </a:xfrm>
        <a:prstGeom prst="rect">
          <a:avLst/>
        </a:prstGeom>
        <a:noFill/>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1356013</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905500" cy="579755"/>
        </a:xfrm>
        <a:prstGeom prst="rect">
          <a:avLst/>
        </a:prstGeom>
        <a:noFill/>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xdr:colOff>
      <xdr:row>0</xdr:row>
      <xdr:rowOff>0</xdr:rowOff>
    </xdr:from>
    <xdr:to>
      <xdr:col>8</xdr:col>
      <xdr:colOff>961756</xdr:colOff>
      <xdr:row>2</xdr:row>
      <xdr:rowOff>188986</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0866" y="0"/>
          <a:ext cx="13188461" cy="579755"/>
        </a:xfrm>
        <a:prstGeom prst="rect">
          <a:avLst/>
        </a:prstGeom>
        <a:noFill/>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5</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0"/>
          <a:ext cx="7591424" cy="579755"/>
        </a:xfrm>
        <a:prstGeom prst="rect">
          <a:avLst/>
        </a:prstGeom>
        <a:noFill/>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1095375</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010275" cy="579755"/>
        </a:xfrm>
        <a:prstGeom prst="rect">
          <a:avLst/>
        </a:prstGeom>
        <a:noFill/>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1498600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2623800" cy="579755"/>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652000" cy="579755"/>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457200</xdr:colOff>
      <xdr:row>3</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353050" cy="579755"/>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990600</xdr:colOff>
      <xdr:row>4</xdr:row>
      <xdr:rowOff>8255</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700" y="190500"/>
          <a:ext cx="15074900" cy="579755"/>
        </a:xfrm>
        <a:prstGeom prst="rect">
          <a:avLst/>
        </a:prstGeom>
        <a:noFill/>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2905125</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695950" cy="579755"/>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3</xdr:row>
      <xdr:rowOff>93980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876942</xdr:colOff>
      <xdr:row>3</xdr:row>
      <xdr:rowOff>98154</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00650" cy="579755"/>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876300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695575" cy="579755"/>
        </a:xfrm>
        <a:prstGeom prst="rect">
          <a:avLst/>
        </a:prstGeom>
        <a:noFill/>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800350" cy="579755"/>
        </a:xfrm>
        <a:prstGeom prst="rect">
          <a:avLst/>
        </a:prstGeom>
        <a:noFill/>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485774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410074" cy="579755"/>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1143000</xdr:colOff>
      <xdr:row>3</xdr:row>
      <xdr:rowOff>93980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305300" cy="579755"/>
        </a:xfrm>
        <a:prstGeom prst="rect">
          <a:avLst/>
        </a:prstGeom>
        <a:noFill/>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19049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14874" cy="579755"/>
        </a:xfrm>
        <a:prstGeom prst="rect">
          <a:avLst/>
        </a:prstGeom>
        <a:noFill/>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742949</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753224" cy="579755"/>
        </a:xfrm>
        <a:prstGeom prst="rect">
          <a:avLst/>
        </a:prstGeom>
        <a:noFill/>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9525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819525" cy="579755"/>
        </a:xfrm>
        <a:prstGeom prst="rect">
          <a:avLst/>
        </a:prstGeom>
        <a:noFill/>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714375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62400" cy="57975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19050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857750" cy="579755"/>
        </a:xfrm>
        <a:prstGeom prst="rect">
          <a:avLst/>
        </a:prstGeom>
        <a:noFill/>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9524</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238874" cy="579755"/>
        </a:xfrm>
        <a:prstGeom prst="rect">
          <a:avLst/>
        </a:prstGeom>
        <a:noFill/>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9525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572000" cy="579755"/>
        </a:xfrm>
        <a:prstGeom prst="rect">
          <a:avLst/>
        </a:prstGeom>
        <a:noFill/>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624986</xdr:colOff>
      <xdr:row>4</xdr:row>
      <xdr:rowOff>19050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343524" cy="666750"/>
        </a:xfrm>
        <a:prstGeom prst="rect">
          <a:avLst/>
        </a:prstGeom>
        <a:noFill/>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152400</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600575" cy="579755"/>
        </a:xfrm>
        <a:prstGeom prst="rect">
          <a:avLst/>
        </a:prstGeom>
        <a:noFill/>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3</xdr:row>
      <xdr:rowOff>142875</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5953125" cy="628650"/>
        </a:xfrm>
        <a:prstGeom prst="rect">
          <a:avLst/>
        </a:prstGeom>
        <a:noFill/>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1238250</xdr:colOff>
      <xdr:row>3</xdr:row>
      <xdr:rowOff>96178</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996962" cy="579755"/>
        </a:xfrm>
        <a:prstGeom prst="rect">
          <a:avLst/>
        </a:prstGeom>
        <a:noFill/>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705350" cy="579755"/>
        </a:xfrm>
        <a:prstGeom prst="rect">
          <a:avLst/>
        </a:prstGeom>
        <a:noFill/>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828675</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4048125" cy="579755"/>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2</xdr:col>
      <xdr:colOff>1038226</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 y="0"/>
          <a:ext cx="3810000" cy="579755"/>
        </a:xfrm>
        <a:prstGeom prst="rect">
          <a:avLst/>
        </a:prstGeom>
        <a:noFill/>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239437</xdr:colOff>
      <xdr:row>3</xdr:row>
      <xdr:rowOff>93980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0410824" cy="579755"/>
        </a:xfrm>
        <a:prstGeom prst="rect">
          <a:avLst/>
        </a:prstGeom>
        <a:noFill/>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570140</xdr:colOff>
      <xdr:row>4</xdr:row>
      <xdr:rowOff>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495065" cy="6477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180975</xdr:colOff>
      <xdr:row>4</xdr:row>
      <xdr:rowOff>0</xdr:rowOff>
    </xdr:to>
    <xdr:pic>
      <xdr:nvPicPr>
        <xdr:cNvPr id="3" name="Imagen 2"/>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990975" cy="647700"/>
        </a:xfrm>
        <a:prstGeom prst="rect">
          <a:avLst/>
        </a:prstGeom>
        <a:noFill/>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742950</xdr:colOff>
      <xdr:row>4</xdr:row>
      <xdr:rowOff>0</xdr:rowOff>
    </xdr:to>
    <xdr:pic>
      <xdr:nvPicPr>
        <xdr:cNvPr id="2" name="Imagen 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3790950" cy="6477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156881</xdr:colOff>
      <xdr:row>0</xdr:row>
      <xdr:rowOff>0</xdr:rowOff>
    </xdr:from>
    <xdr:to>
      <xdr:col>8</xdr:col>
      <xdr:colOff>0</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6881" y="0"/>
          <a:ext cx="14253883" cy="647700"/>
        </a:xfrm>
        <a:prstGeom prst="rect">
          <a:avLst/>
        </a:prstGeom>
        <a:noFill/>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4</xdr:col>
      <xdr:colOff>0</xdr:colOff>
      <xdr:row>3</xdr:row>
      <xdr:rowOff>19050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0"/>
          <a:ext cx="9010650" cy="647700"/>
        </a:xfrm>
        <a:prstGeom prst="rect">
          <a:avLst/>
        </a:prstGeom>
        <a:noFill/>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7</xdr:col>
      <xdr:colOff>22412</xdr:colOff>
      <xdr:row>3</xdr:row>
      <xdr:rowOff>76200</xdr:rowOff>
    </xdr:to>
    <xdr:pic>
      <xdr:nvPicPr>
        <xdr:cNvPr id="2" name="Imagen 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353" y="0"/>
          <a:ext cx="9693088" cy="6477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CONTROLLER/Desktop/El%20Metal%20Dorado%20S.A/Auditorias%20Ejercico%202012/El%20Metal%20Dorado/El%20Metal%20Dorado%20S.A.%202011/Borrador%20de%20Informes%20El%20Metal%20CNV%202011/Borrador%20final%20EEFF%202011%20CNV%20Metal%20Dorad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2)"/>
      <sheetName val="Resultado"/>
      <sheetName val="ACTIVO"/>
      <sheetName val="PASIVO"/>
      <sheetName val="EGRESOS"/>
      <sheetName val="INGRESOS"/>
      <sheetName val="ENCAB"/>
      <sheetName val="BALANCE"/>
      <sheetName val="RESULTAD"/>
      <sheetName val="EVOLUC"/>
      <sheetName val="Flujo de Efectivo"/>
      <sheetName val="Flujocaja"/>
      <sheetName val="BIENUSO A"/>
      <sheetName val="BIENUSO"/>
      <sheetName val="ACTINTA B"/>
      <sheetName val="INVACDE C"/>
      <sheetName val="OTRAINV D"/>
      <sheetName val="PREVIS E "/>
      <sheetName val="COSTOMAC F"/>
      <sheetName val="ACTEXT G"/>
      <sheetName val="Costos y Gastos H"/>
      <sheetName val="CostosyGastos"/>
      <sheetName val="DATOSES I"/>
      <sheetName val="INDICES J"/>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lnDef>
      <a:spPr>
        <a:ln w="12700">
          <a:solidFill>
            <a:srgbClr val="FF0000"/>
          </a:solidFill>
          <a:headEnd type="arrow"/>
          <a:tailEnd type="arrow"/>
        </a:ln>
      </a:spPr>
      <a:bodyPr/>
      <a:lstStyle/>
      <a:style>
        <a:lnRef idx="1">
          <a:schemeClr val="accent1"/>
        </a:lnRef>
        <a:fillRef idx="0">
          <a:schemeClr val="accent1"/>
        </a:fillRef>
        <a:effectRef idx="0">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5.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7.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Q164"/>
  <sheetViews>
    <sheetView showGridLines="0" view="pageBreakPreview" zoomScale="80" zoomScaleNormal="75" zoomScaleSheetLayoutView="80" workbookViewId="0"/>
  </sheetViews>
  <sheetFormatPr baseColWidth="10" defaultColWidth="11.42578125" defaultRowHeight="14.25"/>
  <cols>
    <col min="1" max="1" width="1.85546875" style="239" customWidth="1"/>
    <col min="2" max="2" width="0.7109375" style="148" customWidth="1"/>
    <col min="3" max="3" width="25.140625" style="237" customWidth="1"/>
    <col min="4" max="4" width="53.85546875" style="238" bestFit="1" customWidth="1"/>
    <col min="5" max="5" width="22.85546875" style="148" hidden="1" customWidth="1"/>
    <col min="6" max="6" width="7.85546875" style="148" hidden="1" customWidth="1"/>
    <col min="7" max="7" width="22.85546875" style="148" bestFit="1" customWidth="1"/>
    <col min="8" max="8" width="8.5703125" style="148" customWidth="1"/>
    <col min="9" max="9" width="23.28515625" style="148" customWidth="1"/>
    <col min="10" max="10" width="9.85546875" style="148" hidden="1" customWidth="1"/>
    <col min="11" max="11" width="6" style="148" bestFit="1" customWidth="1"/>
    <col min="12" max="12" width="25.28515625" style="148" bestFit="1" customWidth="1"/>
    <col min="13" max="13" width="14.28515625" style="148" bestFit="1" customWidth="1"/>
    <col min="14" max="14" width="0.85546875" style="148" customWidth="1"/>
    <col min="15" max="15" width="1.7109375" style="239" customWidth="1"/>
    <col min="16" max="16" width="11.42578125" style="148"/>
    <col min="17" max="17" width="17.28515625" style="240" bestFit="1" customWidth="1"/>
    <col min="18" max="16384" width="11.42578125" style="148"/>
  </cols>
  <sheetData>
    <row r="1" spans="1:17" s="134" customFormat="1" ht="15">
      <c r="A1" s="130"/>
      <c r="B1" s="131"/>
      <c r="C1" s="132"/>
      <c r="D1" s="132"/>
      <c r="E1" s="132"/>
      <c r="F1" s="132"/>
      <c r="G1" s="132"/>
      <c r="H1" s="132"/>
      <c r="I1" s="132"/>
      <c r="J1" s="132"/>
      <c r="K1" s="132"/>
      <c r="L1" s="132"/>
      <c r="M1" s="133" t="s">
        <v>392</v>
      </c>
      <c r="O1" s="130"/>
      <c r="Q1" s="135"/>
    </row>
    <row r="2" spans="1:17" s="134" customFormat="1" ht="4.5" customHeight="1">
      <c r="A2" s="130"/>
      <c r="B2" s="131"/>
      <c r="O2" s="130"/>
      <c r="Q2" s="135"/>
    </row>
    <row r="3" spans="1:17" s="134" customFormat="1" ht="3.75" customHeight="1">
      <c r="A3" s="130"/>
      <c r="B3" s="131"/>
      <c r="C3" s="132"/>
      <c r="D3" s="132"/>
      <c r="E3" s="132"/>
      <c r="F3" s="132"/>
      <c r="G3" s="132"/>
      <c r="H3" s="132"/>
      <c r="I3" s="132"/>
      <c r="J3" s="132"/>
      <c r="K3" s="132"/>
      <c r="L3" s="132"/>
      <c r="M3" s="132"/>
      <c r="O3" s="130"/>
      <c r="Q3" s="135"/>
    </row>
    <row r="4" spans="1:17" s="134" customFormat="1" ht="15">
      <c r="A4" s="130"/>
      <c r="B4" s="131"/>
      <c r="C4" s="136"/>
      <c r="D4" s="137"/>
      <c r="E4" s="138"/>
      <c r="F4" s="138"/>
      <c r="G4" s="138"/>
      <c r="H4" s="138"/>
      <c r="I4" s="138"/>
      <c r="J4" s="138"/>
      <c r="K4" s="138"/>
      <c r="L4" s="137"/>
      <c r="M4" s="139"/>
      <c r="O4" s="130"/>
      <c r="Q4" s="135"/>
    </row>
    <row r="5" spans="1:17" s="134" customFormat="1" ht="12.75" customHeight="1">
      <c r="A5" s="130"/>
      <c r="B5" s="131"/>
      <c r="C5" s="140" t="s">
        <v>393</v>
      </c>
      <c r="D5" s="137"/>
      <c r="E5" s="138"/>
      <c r="F5" s="138"/>
      <c r="G5" s="141"/>
      <c r="H5" s="138"/>
      <c r="I5" s="138"/>
      <c r="J5" s="138"/>
      <c r="K5" s="138"/>
      <c r="L5" s="137"/>
      <c r="M5" s="139"/>
      <c r="O5" s="130"/>
      <c r="Q5" s="135"/>
    </row>
    <row r="6" spans="1:17" s="134" customFormat="1" ht="12.75" customHeight="1">
      <c r="A6" s="130"/>
      <c r="B6" s="131"/>
      <c r="C6" s="136"/>
      <c r="D6" s="137"/>
      <c r="E6" s="138"/>
      <c r="F6" s="138"/>
      <c r="G6" s="138"/>
      <c r="H6" s="138"/>
      <c r="I6" s="138"/>
      <c r="J6" s="138"/>
      <c r="K6" s="138"/>
      <c r="L6" s="137"/>
      <c r="M6" s="139"/>
      <c r="O6" s="130"/>
      <c r="Q6" s="135"/>
    </row>
    <row r="7" spans="1:17" s="134" customFormat="1" ht="12.75" customHeight="1" thickBot="1">
      <c r="A7" s="130"/>
      <c r="B7" s="131"/>
      <c r="C7" s="142"/>
      <c r="D7" s="143"/>
      <c r="E7" s="144"/>
      <c r="F7" s="144"/>
      <c r="G7" s="144"/>
      <c r="H7" s="144"/>
      <c r="I7" s="144"/>
      <c r="J7" s="144"/>
      <c r="K7" s="144"/>
      <c r="L7" s="143"/>
      <c r="M7" s="145"/>
      <c r="O7" s="130"/>
      <c r="Q7" s="135"/>
    </row>
    <row r="8" spans="1:17" s="134" customFormat="1" ht="12.75" customHeight="1">
      <c r="A8" s="130"/>
      <c r="B8" s="131"/>
      <c r="C8" s="136"/>
      <c r="D8" s="137"/>
      <c r="E8" s="138"/>
      <c r="F8" s="138"/>
      <c r="G8" s="138"/>
      <c r="H8" s="138"/>
      <c r="I8" s="138"/>
      <c r="J8" s="138"/>
      <c r="K8" s="138"/>
      <c r="L8" s="137"/>
      <c r="M8" s="139"/>
      <c r="O8" s="130"/>
      <c r="Q8" s="135"/>
    </row>
    <row r="9" spans="1:17" s="134" customFormat="1" ht="15">
      <c r="A9" s="130"/>
      <c r="B9" s="131"/>
      <c r="C9" s="146" t="s">
        <v>394</v>
      </c>
      <c r="D9" s="147" t="s">
        <v>395</v>
      </c>
      <c r="E9" s="148"/>
      <c r="F9" s="148"/>
      <c r="G9" s="148"/>
      <c r="H9" s="148"/>
      <c r="I9" s="148"/>
      <c r="J9" s="148"/>
      <c r="K9" s="148"/>
      <c r="L9" s="149" t="s">
        <v>396</v>
      </c>
      <c r="M9" s="150" t="s">
        <v>397</v>
      </c>
      <c r="O9" s="130"/>
      <c r="Q9" s="135"/>
    </row>
    <row r="10" spans="1:17" s="134" customFormat="1" ht="15">
      <c r="A10" s="130"/>
      <c r="B10" s="131"/>
      <c r="C10" s="146" t="s">
        <v>398</v>
      </c>
      <c r="D10" s="151" t="s">
        <v>399</v>
      </c>
      <c r="E10" s="148"/>
      <c r="F10" s="148"/>
      <c r="G10" s="148"/>
      <c r="H10" s="148"/>
      <c r="I10" s="148"/>
      <c r="J10" s="148"/>
      <c r="K10" s="148"/>
      <c r="L10" s="152" t="s">
        <v>400</v>
      </c>
      <c r="M10" s="153">
        <v>41017</v>
      </c>
      <c r="O10" s="130"/>
      <c r="Q10" s="135"/>
    </row>
    <row r="11" spans="1:17" s="134" customFormat="1" ht="15">
      <c r="A11" s="130"/>
      <c r="B11" s="131"/>
      <c r="C11" s="154" t="s">
        <v>401</v>
      </c>
      <c r="D11" s="151" t="s">
        <v>402</v>
      </c>
      <c r="E11" s="137"/>
      <c r="F11" s="137"/>
      <c r="G11" s="137"/>
      <c r="H11" s="137"/>
      <c r="I11" s="137"/>
      <c r="J11" s="137"/>
      <c r="K11" s="137"/>
      <c r="L11" s="152" t="s">
        <v>403</v>
      </c>
      <c r="M11" s="155"/>
      <c r="O11" s="130"/>
      <c r="Q11" s="135"/>
    </row>
    <row r="12" spans="1:17" s="134" customFormat="1" ht="12.75" customHeight="1">
      <c r="A12" s="130"/>
      <c r="B12" s="131"/>
      <c r="C12" s="156"/>
      <c r="D12" s="156"/>
      <c r="E12" s="137"/>
      <c r="F12" s="137"/>
      <c r="G12" s="137"/>
      <c r="H12" s="137"/>
      <c r="I12" s="137"/>
      <c r="J12" s="137"/>
      <c r="K12" s="137"/>
      <c r="L12" s="157"/>
      <c r="M12" s="157"/>
      <c r="O12" s="130"/>
      <c r="Q12" s="135"/>
    </row>
    <row r="13" spans="1:17" s="134" customFormat="1" ht="15.75" thickBot="1">
      <c r="A13" s="130"/>
      <c r="B13" s="131"/>
      <c r="C13" s="158" t="s">
        <v>404</v>
      </c>
      <c r="D13" s="158"/>
      <c r="E13" s="144"/>
      <c r="F13" s="144"/>
      <c r="G13" s="144"/>
      <c r="H13" s="144"/>
      <c r="I13" s="144"/>
      <c r="J13" s="144"/>
      <c r="K13" s="144"/>
      <c r="L13" s="143"/>
      <c r="M13" s="159"/>
      <c r="O13" s="130"/>
      <c r="Q13" s="135"/>
    </row>
    <row r="14" spans="1:17" s="134" customFormat="1">
      <c r="A14" s="130"/>
      <c r="B14" s="131"/>
      <c r="C14" s="137"/>
      <c r="D14" s="137"/>
      <c r="E14" s="148"/>
      <c r="F14" s="148"/>
      <c r="G14" s="148"/>
      <c r="H14" s="148"/>
      <c r="I14" s="148"/>
      <c r="J14" s="148"/>
      <c r="K14" s="148"/>
      <c r="L14" s="137"/>
      <c r="M14" s="157"/>
      <c r="O14" s="130"/>
      <c r="Q14" s="135"/>
    </row>
    <row r="15" spans="1:17" s="134" customFormat="1" ht="15">
      <c r="A15" s="130"/>
      <c r="B15" s="131"/>
      <c r="C15" s="152" t="s">
        <v>405</v>
      </c>
      <c r="D15" s="160">
        <f>I22</f>
        <v>33597584779</v>
      </c>
      <c r="F15" s="148"/>
      <c r="G15" s="148"/>
      <c r="H15" s="148"/>
      <c r="I15" s="148"/>
      <c r="J15" s="148"/>
      <c r="K15" s="148"/>
      <c r="L15" s="161" t="s">
        <v>406</v>
      </c>
      <c r="M15" s="161"/>
      <c r="O15" s="130"/>
      <c r="Q15" s="135"/>
    </row>
    <row r="16" spans="1:17" s="134" customFormat="1" ht="15">
      <c r="A16" s="130"/>
      <c r="B16" s="131"/>
      <c r="C16" s="152" t="s">
        <v>407</v>
      </c>
      <c r="D16" s="160">
        <f>+D15*1%</f>
        <v>335975847.79000002</v>
      </c>
      <c r="F16" s="162"/>
      <c r="G16" s="162"/>
      <c r="H16" s="162"/>
      <c r="I16" s="163"/>
      <c r="J16" s="162"/>
      <c r="K16" s="162"/>
      <c r="L16" s="164" t="s">
        <v>408</v>
      </c>
      <c r="M16" s="165" t="s">
        <v>399</v>
      </c>
      <c r="O16" s="130"/>
      <c r="Q16" s="135"/>
    </row>
    <row r="17" spans="1:17" s="134" customFormat="1" ht="15">
      <c r="A17" s="130"/>
      <c r="B17" s="131"/>
      <c r="C17" s="166" t="s">
        <v>409</v>
      </c>
      <c r="D17" s="160">
        <f>+D16*50%</f>
        <v>167987923.89500001</v>
      </c>
      <c r="F17" s="162"/>
      <c r="G17" s="162"/>
      <c r="H17" s="162"/>
      <c r="I17" s="163"/>
      <c r="J17" s="162"/>
      <c r="K17" s="162"/>
      <c r="L17" s="164" t="s">
        <v>410</v>
      </c>
      <c r="M17" s="165">
        <v>41013</v>
      </c>
      <c r="O17" s="130"/>
      <c r="Q17" s="135"/>
    </row>
    <row r="18" spans="1:17" s="134" customFormat="1" ht="15">
      <c r="A18" s="130"/>
      <c r="B18" s="131"/>
      <c r="C18" s="152" t="s">
        <v>411</v>
      </c>
      <c r="D18" s="160">
        <f>+D17*5%</f>
        <v>8399396.1947500017</v>
      </c>
      <c r="F18" s="162"/>
      <c r="G18" s="162"/>
      <c r="H18" s="162"/>
      <c r="I18" s="162"/>
      <c r="J18" s="162"/>
      <c r="K18" s="162"/>
      <c r="L18" s="164" t="s">
        <v>412</v>
      </c>
      <c r="M18" s="165">
        <v>41016</v>
      </c>
      <c r="O18" s="130"/>
      <c r="Q18" s="135"/>
    </row>
    <row r="19" spans="1:17" s="134" customFormat="1" ht="6.75" customHeight="1" thickBot="1">
      <c r="A19" s="130"/>
      <c r="B19" s="131"/>
      <c r="C19" s="167"/>
      <c r="D19" s="137"/>
      <c r="E19" s="148"/>
      <c r="F19" s="148"/>
      <c r="G19" s="148"/>
      <c r="H19" s="148"/>
      <c r="I19" s="148"/>
      <c r="J19" s="148"/>
      <c r="K19" s="148"/>
      <c r="L19" s="137"/>
      <c r="M19" s="157"/>
      <c r="O19" s="130"/>
      <c r="Q19" s="135"/>
    </row>
    <row r="20" spans="1:17" s="174" customFormat="1" ht="15.75" thickBot="1">
      <c r="A20" s="130"/>
      <c r="B20" s="131"/>
      <c r="C20" s="168" t="s">
        <v>413</v>
      </c>
      <c r="D20" s="169" t="s">
        <v>414</v>
      </c>
      <c r="E20" s="170" t="s">
        <v>415</v>
      </c>
      <c r="F20" s="171" t="s">
        <v>416</v>
      </c>
      <c r="G20" s="170" t="s">
        <v>417</v>
      </c>
      <c r="H20" s="171" t="s">
        <v>416</v>
      </c>
      <c r="I20" s="170" t="s">
        <v>418</v>
      </c>
      <c r="J20" s="171" t="s">
        <v>416</v>
      </c>
      <c r="K20" s="172" t="s">
        <v>419</v>
      </c>
      <c r="L20" s="173" t="s">
        <v>420</v>
      </c>
      <c r="M20" s="171" t="s">
        <v>416</v>
      </c>
      <c r="O20" s="130"/>
      <c r="Q20" s="175"/>
    </row>
    <row r="21" spans="1:17" s="179" customFormat="1" ht="4.5" customHeight="1" thickBot="1">
      <c r="A21" s="130"/>
      <c r="B21" s="131"/>
      <c r="C21" s="149"/>
      <c r="D21" s="176"/>
      <c r="E21" s="177"/>
      <c r="F21" s="177"/>
      <c r="G21" s="178"/>
      <c r="H21" s="177"/>
      <c r="I21" s="177"/>
      <c r="J21" s="177"/>
      <c r="K21" s="177"/>
      <c r="L21" s="177"/>
      <c r="M21" s="177"/>
      <c r="O21" s="130"/>
      <c r="Q21" s="180"/>
    </row>
    <row r="22" spans="1:17" s="131" customFormat="1" ht="15">
      <c r="A22" s="130"/>
      <c r="C22" s="181" t="s">
        <v>421</v>
      </c>
      <c r="D22" s="182" t="s">
        <v>422</v>
      </c>
      <c r="E22" s="183"/>
      <c r="F22" s="184" t="e">
        <f>+E22/$E$22</f>
        <v>#DIV/0!</v>
      </c>
      <c r="G22" s="183">
        <f>+G23+G73</f>
        <v>23611314151</v>
      </c>
      <c r="H22" s="184">
        <f>G22/G22</f>
        <v>1</v>
      </c>
      <c r="I22" s="183">
        <f>+I23+I73</f>
        <v>33597584779</v>
      </c>
      <c r="J22" s="184">
        <f>I22/I22</f>
        <v>1</v>
      </c>
      <c r="K22" s="185"/>
      <c r="L22" s="186">
        <f>I22-G22</f>
        <v>9986270628</v>
      </c>
      <c r="M22" s="184">
        <f>L22/G22</f>
        <v>0.42294429543969519</v>
      </c>
      <c r="O22" s="130"/>
      <c r="Q22" s="187"/>
    </row>
    <row r="23" spans="1:17" s="131" customFormat="1" ht="15">
      <c r="A23" s="130"/>
      <c r="C23" s="188"/>
      <c r="D23" s="189" t="s">
        <v>5</v>
      </c>
      <c r="E23" s="190"/>
      <c r="F23" s="191" t="e">
        <f>+E23/$E$22</f>
        <v>#DIV/0!</v>
      </c>
      <c r="G23" s="190">
        <f>+G24+G43+G47+G50+G66</f>
        <v>20510285206</v>
      </c>
      <c r="H23" s="192">
        <f t="shared" ref="H23:H92" si="0">G23/G$22</f>
        <v>0.86866343291321357</v>
      </c>
      <c r="I23" s="190">
        <f>+I24+I43+I47+I50+I66</f>
        <v>30963043878</v>
      </c>
      <c r="J23" s="191">
        <f>I23/I$22</f>
        <v>0.92158540804853606</v>
      </c>
      <c r="K23" s="193"/>
      <c r="L23" s="190">
        <f t="shared" ref="L23:L86" si="1">I23-G23</f>
        <v>10452758672</v>
      </c>
      <c r="M23" s="191">
        <f t="shared" ref="M23:M86" si="2">L23/G23</f>
        <v>0.50963497421002169</v>
      </c>
      <c r="O23" s="130"/>
      <c r="Q23" s="187"/>
    </row>
    <row r="24" spans="1:17" s="196" customFormat="1" ht="15">
      <c r="A24" s="130"/>
      <c r="B24" s="131"/>
      <c r="C24" s="194"/>
      <c r="D24" s="195" t="s">
        <v>6</v>
      </c>
      <c r="E24" s="190"/>
      <c r="F24" s="191" t="e">
        <f>+E24/$E$22</f>
        <v>#DIV/0!</v>
      </c>
      <c r="G24" s="190">
        <f>+SUM(G25:G42)</f>
        <v>1010747863</v>
      </c>
      <c r="H24" s="192">
        <f t="shared" si="0"/>
        <v>4.2807776667407232E-2</v>
      </c>
      <c r="I24" s="190">
        <f>+SUM(I25:I42)</f>
        <v>696702798</v>
      </c>
      <c r="J24" s="191">
        <f>I24/I$22</f>
        <v>2.0736692907624435E-2</v>
      </c>
      <c r="K24" s="193"/>
      <c r="L24" s="190">
        <f t="shared" si="1"/>
        <v>-314045065</v>
      </c>
      <c r="M24" s="191">
        <f t="shared" si="2"/>
        <v>-0.31070564331235195</v>
      </c>
      <c r="O24" s="130"/>
      <c r="Q24" s="187"/>
    </row>
    <row r="25" spans="1:17" s="131" customFormat="1">
      <c r="A25" s="130"/>
      <c r="C25" s="197"/>
      <c r="D25" s="198" t="s">
        <v>423</v>
      </c>
      <c r="E25" s="199"/>
      <c r="F25" s="192" t="e">
        <f>E25/E$22</f>
        <v>#DIV/0!</v>
      </c>
      <c r="G25" s="199">
        <v>606872893</v>
      </c>
      <c r="H25" s="192">
        <f t="shared" si="0"/>
        <v>2.5702630913252127E-2</v>
      </c>
      <c r="I25" s="199">
        <v>283454653</v>
      </c>
      <c r="J25" s="192">
        <f t="shared" ref="J25:J91" si="3">I25/I$22</f>
        <v>8.4367568342939899E-3</v>
      </c>
      <c r="K25" s="200"/>
      <c r="L25" s="199">
        <f t="shared" si="1"/>
        <v>-323418240</v>
      </c>
      <c r="M25" s="192">
        <f t="shared" si="2"/>
        <v>-0.53292582965968793</v>
      </c>
      <c r="O25" s="130"/>
      <c r="Q25" s="187"/>
    </row>
    <row r="26" spans="1:17" s="131" customFormat="1" hidden="1">
      <c r="A26" s="130"/>
      <c r="C26" s="197"/>
      <c r="D26" s="198" t="s">
        <v>424</v>
      </c>
      <c r="E26" s="199"/>
      <c r="F26" s="192"/>
      <c r="G26" s="199">
        <v>0</v>
      </c>
      <c r="H26" s="192">
        <f t="shared" si="0"/>
        <v>0</v>
      </c>
      <c r="I26" s="199">
        <v>0</v>
      </c>
      <c r="J26" s="192"/>
      <c r="K26" s="200"/>
      <c r="L26" s="199">
        <f t="shared" si="1"/>
        <v>0</v>
      </c>
      <c r="M26" s="192">
        <v>0</v>
      </c>
      <c r="O26" s="130"/>
      <c r="Q26" s="187"/>
    </row>
    <row r="27" spans="1:17" s="131" customFormat="1">
      <c r="A27" s="130"/>
      <c r="C27" s="197"/>
      <c r="D27" s="198" t="s">
        <v>380</v>
      </c>
      <c r="E27" s="199"/>
      <c r="F27" s="192"/>
      <c r="G27" s="199">
        <v>1487397</v>
      </c>
      <c r="H27" s="192">
        <f t="shared" si="0"/>
        <v>6.2995095931032909E-5</v>
      </c>
      <c r="I27" s="199">
        <v>0</v>
      </c>
      <c r="J27" s="192"/>
      <c r="K27" s="200"/>
      <c r="L27" s="199">
        <f t="shared" si="1"/>
        <v>-1487397</v>
      </c>
      <c r="M27" s="192">
        <f t="shared" si="2"/>
        <v>-1</v>
      </c>
      <c r="O27" s="130"/>
      <c r="Q27" s="187"/>
    </row>
    <row r="28" spans="1:17" s="131" customFormat="1" hidden="1">
      <c r="A28" s="130"/>
      <c r="C28" s="197"/>
      <c r="D28" s="198" t="s">
        <v>425</v>
      </c>
      <c r="E28" s="199"/>
      <c r="F28" s="192"/>
      <c r="G28" s="199">
        <v>0</v>
      </c>
      <c r="H28" s="192">
        <f t="shared" si="0"/>
        <v>0</v>
      </c>
      <c r="I28" s="199">
        <v>0</v>
      </c>
      <c r="J28" s="192"/>
      <c r="K28" s="200"/>
      <c r="L28" s="199">
        <f t="shared" si="1"/>
        <v>0</v>
      </c>
      <c r="M28" s="192">
        <v>0</v>
      </c>
      <c r="O28" s="130"/>
      <c r="Q28" s="187"/>
    </row>
    <row r="29" spans="1:17" s="131" customFormat="1">
      <c r="A29" s="130"/>
      <c r="C29" s="201"/>
      <c r="D29" s="198" t="s">
        <v>382</v>
      </c>
      <c r="E29" s="199"/>
      <c r="F29" s="192" t="e">
        <f>E29/E$22</f>
        <v>#DIV/0!</v>
      </c>
      <c r="G29" s="199">
        <v>0</v>
      </c>
      <c r="H29" s="192">
        <f t="shared" si="0"/>
        <v>0</v>
      </c>
      <c r="I29" s="199">
        <v>373710000</v>
      </c>
      <c r="J29" s="192">
        <f t="shared" si="3"/>
        <v>1.1123120976052586E-2</v>
      </c>
      <c r="K29" s="200"/>
      <c r="L29" s="199">
        <f t="shared" si="1"/>
        <v>373710000</v>
      </c>
      <c r="M29" s="192">
        <v>1</v>
      </c>
      <c r="O29" s="130"/>
      <c r="Q29" s="187"/>
    </row>
    <row r="30" spans="1:17" s="131" customFormat="1">
      <c r="A30" s="130"/>
      <c r="C30" s="201"/>
      <c r="D30" s="198" t="s">
        <v>383</v>
      </c>
      <c r="E30" s="199"/>
      <c r="F30" s="192"/>
      <c r="G30" s="199">
        <v>4897574</v>
      </c>
      <c r="H30" s="192">
        <v>0</v>
      </c>
      <c r="I30" s="199">
        <v>4574049</v>
      </c>
      <c r="J30" s="192"/>
      <c r="K30" s="200"/>
      <c r="L30" s="199">
        <f t="shared" si="1"/>
        <v>-323525</v>
      </c>
      <c r="M30" s="192">
        <f t="shared" si="2"/>
        <v>-6.6058215761517852E-2</v>
      </c>
      <c r="O30" s="130"/>
      <c r="Q30" s="187"/>
    </row>
    <row r="31" spans="1:17" s="131" customFormat="1">
      <c r="A31" s="130"/>
      <c r="C31" s="201"/>
      <c r="D31" s="198" t="s">
        <v>384</v>
      </c>
      <c r="E31" s="199"/>
      <c r="F31" s="192"/>
      <c r="G31" s="199">
        <v>6478191</v>
      </c>
      <c r="H31" s="192">
        <f t="shared" si="0"/>
        <v>2.7436808296947893E-4</v>
      </c>
      <c r="I31" s="199">
        <v>11434668</v>
      </c>
      <c r="J31" s="192">
        <f t="shared" si="3"/>
        <v>3.4034196431724403E-4</v>
      </c>
      <c r="K31" s="200"/>
      <c r="L31" s="199">
        <f t="shared" si="1"/>
        <v>4956477</v>
      </c>
      <c r="M31" s="192">
        <f t="shared" si="2"/>
        <v>0.76510201690564539</v>
      </c>
      <c r="O31" s="130"/>
      <c r="Q31" s="187"/>
    </row>
    <row r="32" spans="1:17" s="131" customFormat="1">
      <c r="A32" s="130"/>
      <c r="C32" s="201"/>
      <c r="D32" s="198" t="s">
        <v>385</v>
      </c>
      <c r="E32" s="199"/>
      <c r="F32" s="192" t="e">
        <f t="shared" ref="F32:F45" si="4">E32/E$22</f>
        <v>#DIV/0!</v>
      </c>
      <c r="G32" s="199">
        <v>29914527</v>
      </c>
      <c r="H32" s="192">
        <f t="shared" si="0"/>
        <v>1.2669573073607614E-3</v>
      </c>
      <c r="I32" s="199">
        <v>5000000</v>
      </c>
      <c r="J32" s="192">
        <f t="shared" si="3"/>
        <v>1.4882022124177284E-4</v>
      </c>
      <c r="K32" s="200"/>
      <c r="L32" s="199">
        <f t="shared" si="1"/>
        <v>-24914527</v>
      </c>
      <c r="M32" s="192">
        <f t="shared" si="2"/>
        <v>-0.83285712657265143</v>
      </c>
      <c r="O32" s="130"/>
      <c r="Q32" s="187"/>
    </row>
    <row r="33" spans="1:17" s="131" customFormat="1">
      <c r="A33" s="130"/>
      <c r="C33" s="201"/>
      <c r="D33" s="198" t="s">
        <v>386</v>
      </c>
      <c r="E33" s="199"/>
      <c r="F33" s="192" t="e">
        <f t="shared" si="4"/>
        <v>#DIV/0!</v>
      </c>
      <c r="G33" s="199">
        <v>13113670</v>
      </c>
      <c r="H33" s="192">
        <f t="shared" si="0"/>
        <v>5.5539771806579444E-4</v>
      </c>
      <c r="I33" s="199">
        <v>5000000</v>
      </c>
      <c r="J33" s="192">
        <f t="shared" si="3"/>
        <v>1.4882022124177284E-4</v>
      </c>
      <c r="K33" s="200"/>
      <c r="L33" s="199">
        <f t="shared" si="1"/>
        <v>-8113670</v>
      </c>
      <c r="M33" s="192">
        <f t="shared" si="2"/>
        <v>-0.61871848231654447</v>
      </c>
      <c r="O33" s="130"/>
      <c r="Q33" s="187"/>
    </row>
    <row r="34" spans="1:17" s="131" customFormat="1">
      <c r="A34" s="130"/>
      <c r="C34" s="201"/>
      <c r="D34" s="198" t="s">
        <v>387</v>
      </c>
      <c r="E34" s="199"/>
      <c r="F34" s="192" t="e">
        <f>E34/E$22</f>
        <v>#DIV/0!</v>
      </c>
      <c r="G34" s="199">
        <v>2702803</v>
      </c>
      <c r="H34" s="192">
        <f t="shared" si="0"/>
        <v>1.1447067209876284E-4</v>
      </c>
      <c r="I34" s="199">
        <v>2702803</v>
      </c>
      <c r="J34" s="192">
        <f t="shared" si="3"/>
        <v>8.0446348086585484E-5</v>
      </c>
      <c r="K34" s="200"/>
      <c r="L34" s="199">
        <f t="shared" si="1"/>
        <v>0</v>
      </c>
      <c r="M34" s="192">
        <f t="shared" si="2"/>
        <v>0</v>
      </c>
      <c r="O34" s="130"/>
      <c r="Q34" s="187"/>
    </row>
    <row r="35" spans="1:17" s="131" customFormat="1">
      <c r="A35" s="130"/>
      <c r="C35" s="201"/>
      <c r="D35" s="202" t="s">
        <v>388</v>
      </c>
      <c r="E35" s="199"/>
      <c r="F35" s="192" t="e">
        <f>E35/E$22</f>
        <v>#DIV/0!</v>
      </c>
      <c r="G35" s="199">
        <v>29901627</v>
      </c>
      <c r="H35" s="192">
        <f t="shared" si="0"/>
        <v>1.2664109591178172E-3</v>
      </c>
      <c r="I35" s="199">
        <v>3082235</v>
      </c>
      <c r="J35" s="192">
        <f t="shared" si="3"/>
        <v>9.1739778923827155E-5</v>
      </c>
      <c r="K35" s="200"/>
      <c r="L35" s="199">
        <f t="shared" si="1"/>
        <v>-26819392</v>
      </c>
      <c r="M35" s="192">
        <f t="shared" si="2"/>
        <v>-0.89692082641523152</v>
      </c>
      <c r="O35" s="130"/>
      <c r="Q35" s="187"/>
    </row>
    <row r="36" spans="1:17" s="131" customFormat="1">
      <c r="A36" s="130"/>
      <c r="C36" s="201"/>
      <c r="D36" s="198" t="s">
        <v>389</v>
      </c>
      <c r="E36" s="199"/>
      <c r="F36" s="192" t="e">
        <f t="shared" si="4"/>
        <v>#DIV/0!</v>
      </c>
      <c r="G36" s="199">
        <v>4049135</v>
      </c>
      <c r="H36" s="192">
        <f t="shared" si="0"/>
        <v>1.7149130175918263E-4</v>
      </c>
      <c r="I36" s="199">
        <v>0</v>
      </c>
      <c r="J36" s="192">
        <f t="shared" si="3"/>
        <v>0</v>
      </c>
      <c r="K36" s="200"/>
      <c r="L36" s="199">
        <f t="shared" si="1"/>
        <v>-4049135</v>
      </c>
      <c r="M36" s="192">
        <f t="shared" si="2"/>
        <v>-1</v>
      </c>
      <c r="O36" s="130"/>
      <c r="Q36" s="187"/>
    </row>
    <row r="37" spans="1:17" s="131" customFormat="1">
      <c r="A37" s="130"/>
      <c r="C37" s="201"/>
      <c r="D37" s="203" t="s">
        <v>390</v>
      </c>
      <c r="E37" s="199"/>
      <c r="F37" s="192" t="e">
        <f t="shared" si="4"/>
        <v>#DIV/0!</v>
      </c>
      <c r="G37" s="199">
        <v>211809729</v>
      </c>
      <c r="H37" s="192">
        <f t="shared" si="0"/>
        <v>8.9706878509779736E-3</v>
      </c>
      <c r="I37" s="199">
        <v>2050083</v>
      </c>
      <c r="J37" s="192">
        <f t="shared" si="3"/>
        <v>6.1018761124799482E-5</v>
      </c>
      <c r="K37" s="200"/>
      <c r="L37" s="199">
        <f t="shared" si="1"/>
        <v>-209759646</v>
      </c>
      <c r="M37" s="192">
        <f t="shared" si="2"/>
        <v>-0.99032111032066894</v>
      </c>
      <c r="O37" s="130"/>
      <c r="Q37" s="187"/>
    </row>
    <row r="38" spans="1:17" s="131" customFormat="1">
      <c r="A38" s="130"/>
      <c r="C38" s="201"/>
      <c r="D38" s="202" t="s">
        <v>391</v>
      </c>
      <c r="E38" s="199"/>
      <c r="F38" s="192" t="e">
        <f>E38/E$22</f>
        <v>#DIV/0!</v>
      </c>
      <c r="G38" s="199">
        <v>33815399</v>
      </c>
      <c r="H38" s="192">
        <f t="shared" si="0"/>
        <v>1.4321692890002834E-3</v>
      </c>
      <c r="I38" s="199">
        <v>1309216</v>
      </c>
      <c r="J38" s="192">
        <f t="shared" si="3"/>
        <v>3.8967562954653774E-5</v>
      </c>
      <c r="K38" s="200"/>
      <c r="L38" s="199">
        <f t="shared" si="1"/>
        <v>-32506183</v>
      </c>
      <c r="M38" s="192">
        <f t="shared" si="2"/>
        <v>-0.96128343776159497</v>
      </c>
      <c r="O38" s="130"/>
      <c r="Q38" s="187"/>
    </row>
    <row r="39" spans="1:17" s="131" customFormat="1">
      <c r="A39" s="130"/>
      <c r="C39" s="201"/>
      <c r="D39" s="198" t="s">
        <v>426</v>
      </c>
      <c r="E39" s="199"/>
      <c r="F39" s="192" t="e">
        <f>E39/E$22</f>
        <v>#DIV/0!</v>
      </c>
      <c r="G39" s="199">
        <v>65704918</v>
      </c>
      <c r="H39" s="192">
        <f t="shared" si="0"/>
        <v>2.7827725970609404E-3</v>
      </c>
      <c r="I39" s="199">
        <v>0</v>
      </c>
      <c r="J39" s="192">
        <f t="shared" si="3"/>
        <v>0</v>
      </c>
      <c r="K39" s="200"/>
      <c r="L39" s="199">
        <f t="shared" si="1"/>
        <v>-65704918</v>
      </c>
      <c r="M39" s="192">
        <f t="shared" si="2"/>
        <v>-1</v>
      </c>
      <c r="O39" s="130"/>
      <c r="Q39" s="187"/>
    </row>
    <row r="40" spans="1:17" s="131" customFormat="1" hidden="1">
      <c r="A40" s="130"/>
      <c r="C40" s="201"/>
      <c r="D40" s="198" t="s">
        <v>427</v>
      </c>
      <c r="E40" s="199"/>
      <c r="F40" s="192" t="e">
        <f>E40/E$22</f>
        <v>#DIV/0!</v>
      </c>
      <c r="G40" s="199">
        <v>0</v>
      </c>
      <c r="H40" s="192">
        <f t="shared" si="0"/>
        <v>0</v>
      </c>
      <c r="I40" s="199">
        <v>0</v>
      </c>
      <c r="J40" s="192">
        <f t="shared" si="3"/>
        <v>0</v>
      </c>
      <c r="K40" s="200"/>
      <c r="L40" s="199">
        <f t="shared" si="1"/>
        <v>0</v>
      </c>
      <c r="M40" s="192">
        <v>0</v>
      </c>
      <c r="O40" s="130"/>
      <c r="Q40" s="187"/>
    </row>
    <row r="41" spans="1:17" s="131" customFormat="1">
      <c r="A41" s="130"/>
      <c r="C41" s="201"/>
      <c r="D41" s="203" t="s">
        <v>428</v>
      </c>
      <c r="E41" s="199"/>
      <c r="F41" s="192" t="e">
        <f t="shared" si="4"/>
        <v>#DIV/0!</v>
      </c>
      <c r="G41" s="199">
        <v>0</v>
      </c>
      <c r="H41" s="192">
        <f t="shared" si="0"/>
        <v>0</v>
      </c>
      <c r="I41" s="199">
        <v>1923591</v>
      </c>
      <c r="J41" s="192">
        <f t="shared" si="3"/>
        <v>5.7253847639736615E-5</v>
      </c>
      <c r="K41" s="200"/>
      <c r="L41" s="199">
        <f t="shared" si="1"/>
        <v>1923591</v>
      </c>
      <c r="M41" s="192">
        <v>1</v>
      </c>
      <c r="O41" s="130"/>
      <c r="Q41" s="187"/>
    </row>
    <row r="42" spans="1:17" s="131" customFormat="1">
      <c r="A42" s="130"/>
      <c r="C42" s="201"/>
      <c r="D42" s="203" t="s">
        <v>429</v>
      </c>
      <c r="E42" s="199"/>
      <c r="F42" s="192" t="e">
        <f t="shared" si="4"/>
        <v>#DIV/0!</v>
      </c>
      <c r="G42" s="199">
        <v>0</v>
      </c>
      <c r="H42" s="192">
        <f t="shared" si="0"/>
        <v>0</v>
      </c>
      <c r="I42" s="199">
        <v>2461500</v>
      </c>
      <c r="J42" s="192">
        <f t="shared" si="3"/>
        <v>7.3264194917324775E-5</v>
      </c>
      <c r="K42" s="200"/>
      <c r="L42" s="199">
        <f t="shared" si="1"/>
        <v>2461500</v>
      </c>
      <c r="M42" s="192">
        <v>1</v>
      </c>
      <c r="O42" s="130"/>
      <c r="Q42" s="187"/>
    </row>
    <row r="43" spans="1:17" s="131" customFormat="1" ht="15">
      <c r="A43" s="130"/>
      <c r="C43" s="194" t="s">
        <v>430</v>
      </c>
      <c r="D43" s="204" t="s">
        <v>431</v>
      </c>
      <c r="E43" s="199"/>
      <c r="F43" s="192" t="e">
        <f t="shared" si="4"/>
        <v>#DIV/0!</v>
      </c>
      <c r="G43" s="190">
        <f>+SUM(G44:G45)</f>
        <v>11529520</v>
      </c>
      <c r="H43" s="192">
        <f t="shared" si="0"/>
        <v>4.8830488325494982E-4</v>
      </c>
      <c r="I43" s="190">
        <f>+SUM(I44:I45)</f>
        <v>10754605</v>
      </c>
      <c r="J43" s="192">
        <f t="shared" si="3"/>
        <v>3.2010053909357531E-4</v>
      </c>
      <c r="K43" s="200"/>
      <c r="L43" s="199">
        <f t="shared" si="1"/>
        <v>-774915</v>
      </c>
      <c r="M43" s="192">
        <f t="shared" si="2"/>
        <v>-6.7211384342106176E-2</v>
      </c>
      <c r="O43" s="130"/>
      <c r="Q43" s="187"/>
    </row>
    <row r="44" spans="1:17" s="131" customFormat="1">
      <c r="A44" s="130"/>
      <c r="C44" s="201"/>
      <c r="D44" s="203" t="s">
        <v>432</v>
      </c>
      <c r="E44" s="199"/>
      <c r="F44" s="192" t="e">
        <f t="shared" si="4"/>
        <v>#DIV/0!</v>
      </c>
      <c r="G44" s="199">
        <v>775880</v>
      </c>
      <c r="H44" s="192">
        <f t="shared" si="0"/>
        <v>3.2860517421354095E-5</v>
      </c>
      <c r="I44" s="199">
        <v>775880</v>
      </c>
      <c r="J44" s="192">
        <f t="shared" si="3"/>
        <v>2.3093326651413343E-5</v>
      </c>
      <c r="K44" s="200"/>
      <c r="L44" s="199">
        <f t="shared" si="1"/>
        <v>0</v>
      </c>
      <c r="M44" s="192">
        <f t="shared" si="2"/>
        <v>0</v>
      </c>
      <c r="O44" s="130"/>
      <c r="Q44" s="187"/>
    </row>
    <row r="45" spans="1:17" s="131" customFormat="1">
      <c r="A45" s="130"/>
      <c r="C45" s="201"/>
      <c r="D45" s="203" t="s">
        <v>433</v>
      </c>
      <c r="E45" s="199"/>
      <c r="F45" s="192" t="e">
        <f t="shared" si="4"/>
        <v>#DIV/0!</v>
      </c>
      <c r="G45" s="199">
        <v>10753640</v>
      </c>
      <c r="H45" s="192">
        <f t="shared" si="0"/>
        <v>4.5544436583359573E-4</v>
      </c>
      <c r="I45" s="199">
        <v>9978725</v>
      </c>
      <c r="J45" s="192">
        <f t="shared" si="3"/>
        <v>2.9700721244216196E-4</v>
      </c>
      <c r="K45" s="200"/>
      <c r="L45" s="199">
        <f t="shared" si="1"/>
        <v>-774915</v>
      </c>
      <c r="M45" s="192">
        <f t="shared" si="2"/>
        <v>-7.2060716185403273E-2</v>
      </c>
      <c r="O45" s="130"/>
      <c r="Q45" s="187"/>
    </row>
    <row r="46" spans="1:17" s="131" customFormat="1">
      <c r="A46" s="130"/>
      <c r="C46" s="201"/>
      <c r="D46" s="203"/>
      <c r="E46" s="199"/>
      <c r="F46" s="192"/>
      <c r="G46" s="199"/>
      <c r="H46" s="192"/>
      <c r="I46" s="199"/>
      <c r="J46" s="192"/>
      <c r="K46" s="200"/>
      <c r="L46" s="199"/>
      <c r="M46" s="192"/>
      <c r="O46" s="130"/>
      <c r="Q46" s="187"/>
    </row>
    <row r="47" spans="1:17" s="131" customFormat="1" ht="15">
      <c r="A47" s="130"/>
      <c r="C47" s="205" t="s">
        <v>434</v>
      </c>
      <c r="D47" s="189" t="s">
        <v>435</v>
      </c>
      <c r="E47" s="190"/>
      <c r="F47" s="191" t="e">
        <f t="shared" ref="F47:F109" si="5">E47/E$22</f>
        <v>#DIV/0!</v>
      </c>
      <c r="G47" s="190">
        <f>+G48</f>
        <v>3654810382</v>
      </c>
      <c r="H47" s="191">
        <f t="shared" si="0"/>
        <v>0.15479063802322113</v>
      </c>
      <c r="I47" s="190">
        <f>+I48</f>
        <v>4228087863</v>
      </c>
      <c r="J47" s="191">
        <f t="shared" si="3"/>
        <v>0.12584499424026291</v>
      </c>
      <c r="K47" s="193"/>
      <c r="L47" s="190">
        <f t="shared" si="1"/>
        <v>573277481</v>
      </c>
      <c r="M47" s="192">
        <f t="shared" si="2"/>
        <v>0.15685560154458378</v>
      </c>
      <c r="N47" s="196"/>
      <c r="O47" s="130"/>
      <c r="Q47" s="187"/>
    </row>
    <row r="48" spans="1:17" s="131" customFormat="1" ht="15">
      <c r="A48" s="130"/>
      <c r="C48" s="188"/>
      <c r="D48" s="202" t="s">
        <v>435</v>
      </c>
      <c r="E48" s="190"/>
      <c r="F48" s="191" t="e">
        <f t="shared" si="5"/>
        <v>#DIV/0!</v>
      </c>
      <c r="G48" s="199">
        <v>3654810382</v>
      </c>
      <c r="H48" s="191">
        <f t="shared" si="0"/>
        <v>0.15479063802322113</v>
      </c>
      <c r="I48" s="199">
        <v>4228087863</v>
      </c>
      <c r="J48" s="191">
        <f t="shared" si="3"/>
        <v>0.12584499424026291</v>
      </c>
      <c r="K48" s="193"/>
      <c r="L48" s="190">
        <f t="shared" si="1"/>
        <v>573277481</v>
      </c>
      <c r="M48" s="192">
        <f t="shared" si="2"/>
        <v>0.15685560154458378</v>
      </c>
      <c r="N48" s="196"/>
      <c r="O48" s="130"/>
      <c r="Q48" s="187"/>
    </row>
    <row r="49" spans="1:17" s="131" customFormat="1" ht="15">
      <c r="A49" s="130"/>
      <c r="C49" s="188"/>
      <c r="D49" s="202"/>
      <c r="E49" s="190"/>
      <c r="F49" s="191"/>
      <c r="G49" s="199"/>
      <c r="H49" s="191"/>
      <c r="I49" s="199"/>
      <c r="J49" s="191"/>
      <c r="K49" s="193"/>
      <c r="L49" s="190"/>
      <c r="M49" s="192"/>
      <c r="N49" s="196"/>
      <c r="O49" s="130"/>
      <c r="Q49" s="187"/>
    </row>
    <row r="50" spans="1:17" s="131" customFormat="1" ht="15">
      <c r="A50" s="130"/>
      <c r="C50" s="206" t="s">
        <v>436</v>
      </c>
      <c r="D50" s="207" t="s">
        <v>437</v>
      </c>
      <c r="E50" s="190"/>
      <c r="F50" s="191" t="e">
        <f t="shared" si="5"/>
        <v>#DIV/0!</v>
      </c>
      <c r="G50" s="190">
        <f>SUM(G51:G65)</f>
        <v>657577365</v>
      </c>
      <c r="H50" s="191">
        <f t="shared" si="0"/>
        <v>2.7850095966477577E-2</v>
      </c>
      <c r="I50" s="190">
        <f>+SUM(I51:I65)</f>
        <v>524618229</v>
      </c>
      <c r="J50" s="192">
        <f t="shared" si="3"/>
        <v>1.5614760181449411E-2</v>
      </c>
      <c r="K50" s="200"/>
      <c r="L50" s="199">
        <f t="shared" si="1"/>
        <v>-132959136</v>
      </c>
      <c r="M50" s="192">
        <f t="shared" si="2"/>
        <v>-0.2021954268453264</v>
      </c>
      <c r="O50" s="130"/>
      <c r="Q50" s="187"/>
    </row>
    <row r="51" spans="1:17" s="131" customFormat="1">
      <c r="A51" s="130"/>
      <c r="C51" s="208"/>
      <c r="D51" s="209" t="s">
        <v>438</v>
      </c>
      <c r="E51" s="199"/>
      <c r="F51" s="192" t="e">
        <f t="shared" si="5"/>
        <v>#DIV/0!</v>
      </c>
      <c r="G51" s="199">
        <v>0</v>
      </c>
      <c r="H51" s="192">
        <f t="shared" si="0"/>
        <v>0</v>
      </c>
      <c r="I51" s="199">
        <v>0</v>
      </c>
      <c r="J51" s="192">
        <f t="shared" si="3"/>
        <v>0</v>
      </c>
      <c r="K51" s="200"/>
      <c r="L51" s="199">
        <v>0</v>
      </c>
      <c r="M51" s="192">
        <v>0</v>
      </c>
      <c r="O51" s="130"/>
      <c r="Q51" s="187"/>
    </row>
    <row r="52" spans="1:17" s="131" customFormat="1" ht="15">
      <c r="A52" s="130"/>
      <c r="C52" s="208"/>
      <c r="D52" s="210" t="s">
        <v>439</v>
      </c>
      <c r="E52" s="199"/>
      <c r="F52" s="192" t="e">
        <f t="shared" si="5"/>
        <v>#DIV/0!</v>
      </c>
      <c r="G52" s="199">
        <v>151921931</v>
      </c>
      <c r="H52" s="192">
        <f t="shared" si="0"/>
        <v>6.4342852764747837E-3</v>
      </c>
      <c r="I52" s="199">
        <v>16222282</v>
      </c>
      <c r="J52" s="192">
        <f t="shared" si="3"/>
        <v>4.828407192572859E-4</v>
      </c>
      <c r="K52" s="200"/>
      <c r="L52" s="190">
        <f t="shared" si="1"/>
        <v>-135699649</v>
      </c>
      <c r="M52" s="192">
        <f t="shared" si="2"/>
        <v>-0.893219616857029</v>
      </c>
      <c r="O52" s="130"/>
      <c r="Q52" s="187"/>
    </row>
    <row r="53" spans="1:17" s="131" customFormat="1" ht="15">
      <c r="A53" s="130"/>
      <c r="C53" s="206"/>
      <c r="D53" s="210" t="s">
        <v>440</v>
      </c>
      <c r="E53" s="190"/>
      <c r="F53" s="191" t="e">
        <f t="shared" si="5"/>
        <v>#DIV/0!</v>
      </c>
      <c r="G53" s="190">
        <v>4200000</v>
      </c>
      <c r="H53" s="191">
        <f t="shared" si="0"/>
        <v>1.7788082328412539E-4</v>
      </c>
      <c r="I53" s="199">
        <v>5200000</v>
      </c>
      <c r="J53" s="191">
        <f t="shared" si="3"/>
        <v>1.5477303009144377E-4</v>
      </c>
      <c r="K53" s="193"/>
      <c r="L53" s="190">
        <f t="shared" si="1"/>
        <v>1000000</v>
      </c>
      <c r="M53" s="192">
        <f t="shared" si="2"/>
        <v>0.23809523809523808</v>
      </c>
      <c r="O53" s="130"/>
      <c r="Q53" s="187"/>
    </row>
    <row r="54" spans="1:17" s="131" customFormat="1">
      <c r="A54" s="130"/>
      <c r="C54" s="201"/>
      <c r="D54" s="198" t="s">
        <v>441</v>
      </c>
      <c r="E54" s="199"/>
      <c r="F54" s="192" t="e">
        <f t="shared" si="5"/>
        <v>#DIV/0!</v>
      </c>
      <c r="G54" s="199">
        <v>5649000</v>
      </c>
      <c r="H54" s="192">
        <f t="shared" si="0"/>
        <v>2.3924970731714864E-4</v>
      </c>
      <c r="I54" s="199">
        <v>10714000</v>
      </c>
      <c r="J54" s="192">
        <f t="shared" si="3"/>
        <v>3.1889197007687085E-4</v>
      </c>
      <c r="K54" s="200"/>
      <c r="L54" s="199">
        <f t="shared" si="1"/>
        <v>5065000</v>
      </c>
      <c r="M54" s="192">
        <f t="shared" si="2"/>
        <v>0.89661887059656575</v>
      </c>
      <c r="O54" s="130"/>
      <c r="Q54" s="187"/>
    </row>
    <row r="55" spans="1:17" s="131" customFormat="1" ht="15" hidden="1">
      <c r="A55" s="130"/>
      <c r="C55" s="206"/>
      <c r="D55" s="202" t="s">
        <v>442</v>
      </c>
      <c r="E55" s="190"/>
      <c r="F55" s="191" t="e">
        <f t="shared" si="5"/>
        <v>#DIV/0!</v>
      </c>
      <c r="G55" s="190">
        <v>0</v>
      </c>
      <c r="H55" s="191">
        <f t="shared" si="0"/>
        <v>0</v>
      </c>
      <c r="I55" s="199">
        <v>0</v>
      </c>
      <c r="J55" s="191">
        <f t="shared" si="3"/>
        <v>0</v>
      </c>
      <c r="K55" s="193"/>
      <c r="L55" s="190">
        <f t="shared" si="1"/>
        <v>0</v>
      </c>
      <c r="M55" s="192">
        <v>0</v>
      </c>
      <c r="O55" s="130"/>
      <c r="Q55" s="187"/>
    </row>
    <row r="56" spans="1:17" s="131" customFormat="1" ht="15" hidden="1">
      <c r="A56" s="130"/>
      <c r="C56" s="206"/>
      <c r="D56" s="202" t="s">
        <v>443</v>
      </c>
      <c r="E56" s="190"/>
      <c r="F56" s="191"/>
      <c r="G56" s="190">
        <v>0</v>
      </c>
      <c r="H56" s="191">
        <f t="shared" si="0"/>
        <v>0</v>
      </c>
      <c r="I56" s="199">
        <v>0</v>
      </c>
      <c r="J56" s="191">
        <f t="shared" si="3"/>
        <v>0</v>
      </c>
      <c r="K56" s="193"/>
      <c r="L56" s="190">
        <f t="shared" si="1"/>
        <v>0</v>
      </c>
      <c r="M56" s="192">
        <v>0</v>
      </c>
      <c r="O56" s="130"/>
      <c r="Q56" s="187"/>
    </row>
    <row r="57" spans="1:17" s="131" customFormat="1">
      <c r="A57" s="130"/>
      <c r="C57" s="201"/>
      <c r="D57" s="198" t="s">
        <v>444</v>
      </c>
      <c r="E57" s="199"/>
      <c r="F57" s="192" t="e">
        <f t="shared" si="5"/>
        <v>#DIV/0!</v>
      </c>
      <c r="G57" s="199">
        <v>357083426</v>
      </c>
      <c r="H57" s="192">
        <f t="shared" si="0"/>
        <v>1.5123403285237157E-2</v>
      </c>
      <c r="I57" s="199">
        <v>80672976</v>
      </c>
      <c r="J57" s="192">
        <f t="shared" si="3"/>
        <v>2.4011540273104464E-3</v>
      </c>
      <c r="K57" s="200"/>
      <c r="L57" s="199">
        <f t="shared" si="1"/>
        <v>-276410450</v>
      </c>
      <c r="M57" s="192">
        <f t="shared" si="2"/>
        <v>-0.77407807216457025</v>
      </c>
      <c r="O57" s="130"/>
      <c r="Q57" s="187"/>
    </row>
    <row r="58" spans="1:17" s="131" customFormat="1" ht="15">
      <c r="A58" s="130"/>
      <c r="C58" s="206"/>
      <c r="D58" s="202" t="s">
        <v>445</v>
      </c>
      <c r="E58" s="190"/>
      <c r="F58" s="191" t="e">
        <f t="shared" si="5"/>
        <v>#DIV/0!</v>
      </c>
      <c r="G58" s="190">
        <v>0</v>
      </c>
      <c r="H58" s="191">
        <f t="shared" si="0"/>
        <v>0</v>
      </c>
      <c r="I58" s="199">
        <v>217721969</v>
      </c>
      <c r="J58" s="191">
        <f t="shared" si="3"/>
        <v>6.4802863191548822E-3</v>
      </c>
      <c r="K58" s="193"/>
      <c r="L58" s="190">
        <f t="shared" si="1"/>
        <v>217721969</v>
      </c>
      <c r="M58" s="192">
        <v>1</v>
      </c>
      <c r="O58" s="130"/>
      <c r="Q58" s="187"/>
    </row>
    <row r="59" spans="1:17" s="131" customFormat="1">
      <c r="A59" s="130"/>
      <c r="C59" s="208"/>
      <c r="D59" s="209" t="s">
        <v>446</v>
      </c>
      <c r="E59" s="199"/>
      <c r="F59" s="192" t="e">
        <f t="shared" si="5"/>
        <v>#DIV/0!</v>
      </c>
      <c r="G59" s="199">
        <v>1182778</v>
      </c>
      <c r="H59" s="192">
        <f t="shared" si="0"/>
        <v>5.0093696286274111E-5</v>
      </c>
      <c r="I59" s="199">
        <v>268784</v>
      </c>
      <c r="J59" s="192">
        <f t="shared" si="3"/>
        <v>8.0000988692497348E-6</v>
      </c>
      <c r="K59" s="200"/>
      <c r="L59" s="199">
        <f t="shared" si="1"/>
        <v>-913994</v>
      </c>
      <c r="M59" s="192">
        <f t="shared" si="2"/>
        <v>-0.77275194499728606</v>
      </c>
      <c r="O59" s="130"/>
      <c r="Q59" s="187"/>
    </row>
    <row r="60" spans="1:17" s="131" customFormat="1" hidden="1">
      <c r="A60" s="130"/>
      <c r="C60" s="208"/>
      <c r="D60" s="209" t="s">
        <v>447</v>
      </c>
      <c r="E60" s="199"/>
      <c r="F60" s="192" t="e">
        <f t="shared" si="5"/>
        <v>#DIV/0!</v>
      </c>
      <c r="G60" s="199">
        <v>0</v>
      </c>
      <c r="H60" s="192">
        <f t="shared" si="0"/>
        <v>0</v>
      </c>
      <c r="I60" s="199">
        <v>0</v>
      </c>
      <c r="J60" s="192">
        <f t="shared" si="3"/>
        <v>0</v>
      </c>
      <c r="K60" s="200"/>
      <c r="L60" s="199">
        <f t="shared" si="1"/>
        <v>0</v>
      </c>
      <c r="M60" s="192">
        <v>0</v>
      </c>
      <c r="O60" s="130"/>
      <c r="Q60" s="187"/>
    </row>
    <row r="61" spans="1:17" s="131" customFormat="1">
      <c r="A61" s="130"/>
      <c r="C61" s="208"/>
      <c r="D61" s="209" t="s">
        <v>448</v>
      </c>
      <c r="E61" s="199"/>
      <c r="F61" s="192" t="e">
        <f t="shared" si="5"/>
        <v>#DIV/0!</v>
      </c>
      <c r="G61" s="199">
        <v>0</v>
      </c>
      <c r="H61" s="192">
        <f t="shared" si="0"/>
        <v>0</v>
      </c>
      <c r="I61" s="199">
        <v>4218</v>
      </c>
      <c r="J61" s="192">
        <f t="shared" si="3"/>
        <v>1.2554473863955956E-7</v>
      </c>
      <c r="K61" s="200"/>
      <c r="L61" s="199">
        <f t="shared" si="1"/>
        <v>4218</v>
      </c>
      <c r="M61" s="192">
        <v>1</v>
      </c>
      <c r="O61" s="130"/>
      <c r="Q61" s="187"/>
    </row>
    <row r="62" spans="1:17" s="131" customFormat="1">
      <c r="A62" s="130"/>
      <c r="C62" s="208"/>
      <c r="D62" s="209" t="s">
        <v>449</v>
      </c>
      <c r="E62" s="199"/>
      <c r="F62" s="192" t="e">
        <f t="shared" si="5"/>
        <v>#DIV/0!</v>
      </c>
      <c r="G62" s="199">
        <v>25960000</v>
      </c>
      <c r="H62" s="192">
        <f t="shared" si="0"/>
        <v>1.0994728982037846E-3</v>
      </c>
      <c r="I62" s="199">
        <v>31430000</v>
      </c>
      <c r="J62" s="192">
        <f t="shared" si="3"/>
        <v>9.3548391072578415E-4</v>
      </c>
      <c r="K62" s="200"/>
      <c r="L62" s="199">
        <f t="shared" si="1"/>
        <v>5470000</v>
      </c>
      <c r="M62" s="192">
        <f t="shared" si="2"/>
        <v>0.21070878274268104</v>
      </c>
      <c r="O62" s="130"/>
      <c r="Q62" s="187"/>
    </row>
    <row r="63" spans="1:17" s="131" customFormat="1">
      <c r="A63" s="130"/>
      <c r="C63" s="208"/>
      <c r="D63" s="209" t="s">
        <v>450</v>
      </c>
      <c r="E63" s="199"/>
      <c r="F63" s="192" t="e">
        <f t="shared" si="5"/>
        <v>#DIV/0!</v>
      </c>
      <c r="G63" s="199">
        <v>111580230</v>
      </c>
      <c r="H63" s="192">
        <f t="shared" si="0"/>
        <v>4.7257102796743012E-3</v>
      </c>
      <c r="I63" s="199">
        <v>0</v>
      </c>
      <c r="J63" s="192">
        <f t="shared" si="3"/>
        <v>0</v>
      </c>
      <c r="K63" s="200"/>
      <c r="L63" s="199">
        <f t="shared" si="1"/>
        <v>-111580230</v>
      </c>
      <c r="M63" s="192">
        <f t="shared" si="2"/>
        <v>-1</v>
      </c>
      <c r="O63" s="130"/>
      <c r="Q63" s="187"/>
    </row>
    <row r="64" spans="1:17" s="131" customFormat="1" hidden="1">
      <c r="A64" s="130"/>
      <c r="C64" s="208"/>
      <c r="D64" s="209" t="s">
        <v>451</v>
      </c>
      <c r="E64" s="199"/>
      <c r="F64" s="192" t="e">
        <f t="shared" si="5"/>
        <v>#DIV/0!</v>
      </c>
      <c r="G64" s="199">
        <v>0</v>
      </c>
      <c r="H64" s="192">
        <f t="shared" si="0"/>
        <v>0</v>
      </c>
      <c r="I64" s="199">
        <v>0</v>
      </c>
      <c r="J64" s="192">
        <f t="shared" si="3"/>
        <v>0</v>
      </c>
      <c r="K64" s="200"/>
      <c r="L64" s="199">
        <f t="shared" si="1"/>
        <v>0</v>
      </c>
      <c r="M64" s="192">
        <v>1</v>
      </c>
      <c r="O64" s="130"/>
      <c r="Q64" s="187"/>
    </row>
    <row r="65" spans="1:17" s="196" customFormat="1" ht="15">
      <c r="A65" s="130"/>
      <c r="B65" s="131"/>
      <c r="C65" s="208"/>
      <c r="D65" s="209" t="s">
        <v>452</v>
      </c>
      <c r="E65" s="199"/>
      <c r="F65" s="192" t="e">
        <f t="shared" si="5"/>
        <v>#DIV/0!</v>
      </c>
      <c r="G65" s="199">
        <v>0</v>
      </c>
      <c r="H65" s="192">
        <f t="shared" si="0"/>
        <v>0</v>
      </c>
      <c r="I65" s="199">
        <v>162384000</v>
      </c>
      <c r="J65" s="192">
        <f t="shared" si="3"/>
        <v>4.8332045612248086E-3</v>
      </c>
      <c r="K65" s="200"/>
      <c r="L65" s="199">
        <f t="shared" si="1"/>
        <v>162384000</v>
      </c>
      <c r="M65" s="192">
        <v>1</v>
      </c>
      <c r="O65" s="130"/>
      <c r="Q65" s="187"/>
    </row>
    <row r="66" spans="1:17" s="131" customFormat="1" ht="15">
      <c r="A66" s="130"/>
      <c r="C66" s="206" t="s">
        <v>453</v>
      </c>
      <c r="D66" s="207" t="s">
        <v>454</v>
      </c>
      <c r="E66" s="199"/>
      <c r="F66" s="192" t="e">
        <f t="shared" si="5"/>
        <v>#DIV/0!</v>
      </c>
      <c r="G66" s="190">
        <f>+SUM(G67:G71)</f>
        <v>15175620076</v>
      </c>
      <c r="H66" s="192">
        <f t="shared" si="0"/>
        <v>0.64272661737285275</v>
      </c>
      <c r="I66" s="190">
        <f>SUM(I67:I71)</f>
        <v>25502880383</v>
      </c>
      <c r="J66" s="192">
        <f t="shared" si="3"/>
        <v>0.75906886018010578</v>
      </c>
      <c r="K66" s="200"/>
      <c r="L66" s="199">
        <f t="shared" si="1"/>
        <v>10327260307</v>
      </c>
      <c r="M66" s="192">
        <f t="shared" si="2"/>
        <v>0.6805165294914306</v>
      </c>
      <c r="O66" s="130"/>
      <c r="Q66" s="187"/>
    </row>
    <row r="67" spans="1:17" s="131" customFormat="1">
      <c r="A67" s="130"/>
      <c r="C67" s="208"/>
      <c r="D67" s="209" t="s">
        <v>332</v>
      </c>
      <c r="E67" s="199"/>
      <c r="F67" s="192" t="e">
        <f t="shared" si="5"/>
        <v>#DIV/0!</v>
      </c>
      <c r="G67" s="199">
        <v>18235643765</v>
      </c>
      <c r="H67" s="192">
        <f t="shared" si="0"/>
        <v>0.77232650619862564</v>
      </c>
      <c r="I67" s="199">
        <v>28053441996</v>
      </c>
      <c r="J67" s="192">
        <f t="shared" si="3"/>
        <v>0.83498388888759234</v>
      </c>
      <c r="K67" s="200"/>
      <c r="L67" s="199">
        <f t="shared" si="1"/>
        <v>9817798231</v>
      </c>
      <c r="M67" s="192">
        <f t="shared" si="2"/>
        <v>0.53838506375319073</v>
      </c>
      <c r="O67" s="130"/>
      <c r="Q67" s="187"/>
    </row>
    <row r="68" spans="1:17" s="196" customFormat="1" ht="15">
      <c r="A68" s="130"/>
      <c r="B68" s="131"/>
      <c r="C68" s="205"/>
      <c r="D68" s="211" t="s">
        <v>455</v>
      </c>
      <c r="E68" s="190"/>
      <c r="F68" s="191" t="e">
        <f t="shared" si="5"/>
        <v>#DIV/0!</v>
      </c>
      <c r="G68" s="199">
        <v>140105000</v>
      </c>
      <c r="H68" s="191">
        <f t="shared" si="0"/>
        <v>5.9338077967196158E-3</v>
      </c>
      <c r="I68" s="199">
        <v>140105000</v>
      </c>
      <c r="J68" s="191">
        <f>I68/I$22</f>
        <v>4.1700914194157173E-3</v>
      </c>
      <c r="K68" s="193"/>
      <c r="L68" s="190">
        <f t="shared" si="1"/>
        <v>0</v>
      </c>
      <c r="M68" s="192">
        <f t="shared" si="2"/>
        <v>0</v>
      </c>
      <c r="O68" s="130"/>
      <c r="Q68" s="187"/>
    </row>
    <row r="69" spans="1:17" s="196" customFormat="1" ht="15">
      <c r="A69" s="130"/>
      <c r="B69" s="131"/>
      <c r="C69" s="188"/>
      <c r="D69" s="202" t="s">
        <v>456</v>
      </c>
      <c r="E69" s="190"/>
      <c r="F69" s="191" t="e">
        <f>E69/E$22</f>
        <v>#DIV/0!</v>
      </c>
      <c r="G69" s="199">
        <v>-3011393642</v>
      </c>
      <c r="H69" s="191">
        <f t="shared" si="0"/>
        <v>-0.12754028101703352</v>
      </c>
      <c r="I69" s="199">
        <v>-2651931566</v>
      </c>
      <c r="J69" s="191">
        <f>I69/I$22</f>
        <v>-7.8932208474032234E-2</v>
      </c>
      <c r="K69" s="193"/>
      <c r="L69" s="190">
        <f t="shared" si="1"/>
        <v>359462076</v>
      </c>
      <c r="M69" s="192">
        <f t="shared" si="2"/>
        <v>-0.11936734905280111</v>
      </c>
      <c r="O69" s="130"/>
      <c r="Q69" s="187"/>
    </row>
    <row r="70" spans="1:17" s="196" customFormat="1" ht="15">
      <c r="A70" s="130"/>
      <c r="B70" s="131"/>
      <c r="C70" s="208"/>
      <c r="D70" s="202" t="s">
        <v>457</v>
      </c>
      <c r="E70" s="199"/>
      <c r="F70" s="192" t="e">
        <f>E70/E$22</f>
        <v>#DIV/0!</v>
      </c>
      <c r="G70" s="199">
        <v>-38735047</v>
      </c>
      <c r="H70" s="192">
        <f t="shared" si="0"/>
        <v>-1.6405290595974502E-3</v>
      </c>
      <c r="I70" s="199">
        <v>-38735047</v>
      </c>
      <c r="J70" s="192">
        <f>I70/I$22</f>
        <v>-1.1529116528700939E-3</v>
      </c>
      <c r="K70" s="193"/>
      <c r="L70" s="199">
        <f t="shared" si="1"/>
        <v>0</v>
      </c>
      <c r="M70" s="192">
        <f t="shared" si="2"/>
        <v>0</v>
      </c>
      <c r="O70" s="130"/>
      <c r="Q70" s="187"/>
    </row>
    <row r="71" spans="1:17" s="196" customFormat="1" ht="15">
      <c r="A71" s="130"/>
      <c r="B71" s="131"/>
      <c r="C71" s="208"/>
      <c r="D71" s="202" t="s">
        <v>458</v>
      </c>
      <c r="E71" s="199"/>
      <c r="F71" s="192" t="e">
        <f>E71/E$22</f>
        <v>#DIV/0!</v>
      </c>
      <c r="G71" s="199">
        <v>-150000000</v>
      </c>
      <c r="H71" s="192">
        <f t="shared" si="0"/>
        <v>-6.352886545861621E-3</v>
      </c>
      <c r="I71" s="199">
        <v>0</v>
      </c>
      <c r="J71" s="192">
        <f t="shared" si="3"/>
        <v>0</v>
      </c>
      <c r="K71" s="193"/>
      <c r="L71" s="199">
        <f t="shared" si="1"/>
        <v>150000000</v>
      </c>
      <c r="M71" s="192">
        <f t="shared" si="2"/>
        <v>-1</v>
      </c>
      <c r="O71" s="130"/>
      <c r="Q71" s="187"/>
    </row>
    <row r="72" spans="1:17" s="196" customFormat="1" ht="15">
      <c r="A72" s="130"/>
      <c r="B72" s="131"/>
      <c r="C72" s="208"/>
      <c r="D72" s="209"/>
      <c r="E72" s="199"/>
      <c r="F72" s="192" t="e">
        <f t="shared" si="5"/>
        <v>#DIV/0!</v>
      </c>
      <c r="G72" s="199"/>
      <c r="H72" s="192"/>
      <c r="I72" s="199"/>
      <c r="J72" s="192">
        <f t="shared" si="3"/>
        <v>0</v>
      </c>
      <c r="K72" s="193"/>
      <c r="L72" s="190"/>
      <c r="M72" s="192"/>
      <c r="O72" s="130"/>
      <c r="Q72" s="187"/>
    </row>
    <row r="73" spans="1:17" s="196" customFormat="1" ht="15">
      <c r="A73" s="130"/>
      <c r="B73" s="131"/>
      <c r="C73" s="206" t="s">
        <v>459</v>
      </c>
      <c r="D73" s="212" t="s">
        <v>460</v>
      </c>
      <c r="E73" s="199"/>
      <c r="F73" s="192" t="e">
        <f t="shared" si="5"/>
        <v>#DIV/0!</v>
      </c>
      <c r="G73" s="190">
        <f>+G74+G91+G94</f>
        <v>3101028945</v>
      </c>
      <c r="H73" s="192">
        <f t="shared" si="0"/>
        <v>0.13133656708678637</v>
      </c>
      <c r="I73" s="190">
        <f>+I74+I91+I94</f>
        <v>2634540901</v>
      </c>
      <c r="J73" s="192">
        <f t="shared" si="3"/>
        <v>7.8414591951463913E-2</v>
      </c>
      <c r="K73" s="193"/>
      <c r="L73" s="190">
        <f t="shared" si="1"/>
        <v>-466488044</v>
      </c>
      <c r="M73" s="192">
        <f t="shared" si="2"/>
        <v>-0.15043008377982103</v>
      </c>
      <c r="O73" s="130"/>
      <c r="Q73" s="187"/>
    </row>
    <row r="74" spans="1:17" s="196" customFormat="1" ht="15">
      <c r="A74" s="130"/>
      <c r="B74" s="131"/>
      <c r="C74" s="206" t="s">
        <v>461</v>
      </c>
      <c r="D74" s="207" t="s">
        <v>462</v>
      </c>
      <c r="E74" s="199"/>
      <c r="F74" s="192" t="e">
        <f t="shared" si="5"/>
        <v>#DIV/0!</v>
      </c>
      <c r="G74" s="190">
        <f>+SUM(G75:G89)</f>
        <v>976271844</v>
      </c>
      <c r="H74" s="192">
        <f t="shared" si="0"/>
        <v>4.1347628419007437E-2</v>
      </c>
      <c r="I74" s="190">
        <f>SUM(I75:I89)</f>
        <v>980100675</v>
      </c>
      <c r="J74" s="192">
        <f t="shared" si="3"/>
        <v>2.917175985854218E-2</v>
      </c>
      <c r="K74" s="193"/>
      <c r="L74" s="190">
        <f t="shared" si="1"/>
        <v>3828831</v>
      </c>
      <c r="M74" s="192">
        <f t="shared" si="2"/>
        <v>3.9218902230268565E-3</v>
      </c>
      <c r="O74" s="130"/>
      <c r="Q74" s="187"/>
    </row>
    <row r="75" spans="1:17" s="131" customFormat="1" ht="15">
      <c r="A75" s="130"/>
      <c r="C75" s="188"/>
      <c r="D75" s="213" t="s">
        <v>463</v>
      </c>
      <c r="E75" s="190"/>
      <c r="F75" s="191" t="e">
        <f t="shared" si="5"/>
        <v>#DIV/0!</v>
      </c>
      <c r="G75" s="199">
        <v>1194453971</v>
      </c>
      <c r="H75" s="192">
        <f t="shared" si="0"/>
        <v>5.0588203746779248E-2</v>
      </c>
      <c r="I75" s="199">
        <v>1451103384</v>
      </c>
      <c r="J75" s="191">
        <f t="shared" si="3"/>
        <v>4.3190705330313051E-2</v>
      </c>
      <c r="K75" s="193"/>
      <c r="L75" s="190">
        <f t="shared" si="1"/>
        <v>256649413</v>
      </c>
      <c r="M75" s="192">
        <f t="shared" si="2"/>
        <v>0.21486756227628631</v>
      </c>
      <c r="O75" s="130"/>
      <c r="Q75" s="187"/>
    </row>
    <row r="76" spans="1:17" s="131" customFormat="1">
      <c r="A76" s="130"/>
      <c r="C76" s="208"/>
      <c r="D76" s="209" t="s">
        <v>464</v>
      </c>
      <c r="E76" s="199"/>
      <c r="F76" s="192" t="e">
        <f t="shared" si="5"/>
        <v>#DIV/0!</v>
      </c>
      <c r="G76" s="199">
        <v>148498067</v>
      </c>
      <c r="H76" s="192">
        <f t="shared" si="0"/>
        <v>6.2892758128717174E-3</v>
      </c>
      <c r="I76" s="199">
        <v>156569951</v>
      </c>
      <c r="J76" s="192">
        <f t="shared" si="3"/>
        <v>4.6601549495267069E-3</v>
      </c>
      <c r="K76" s="200"/>
      <c r="L76" s="199">
        <f t="shared" si="1"/>
        <v>8071884</v>
      </c>
      <c r="M76" s="192">
        <f t="shared" si="2"/>
        <v>5.4356828765993299E-2</v>
      </c>
      <c r="O76" s="130"/>
      <c r="Q76" s="187"/>
    </row>
    <row r="77" spans="1:17" s="196" customFormat="1" ht="15">
      <c r="A77" s="130"/>
      <c r="B77" s="131"/>
      <c r="C77" s="188"/>
      <c r="D77" s="213" t="s">
        <v>465</v>
      </c>
      <c r="E77" s="190"/>
      <c r="F77" s="191" t="e">
        <f t="shared" si="5"/>
        <v>#DIV/0!</v>
      </c>
      <c r="G77" s="199">
        <v>172349296</v>
      </c>
      <c r="H77" s="192">
        <f t="shared" si="0"/>
        <v>7.299436824980814E-3</v>
      </c>
      <c r="I77" s="199">
        <v>189113969</v>
      </c>
      <c r="J77" s="191">
        <f t="shared" si="3"/>
        <v>5.6287965412979545E-3</v>
      </c>
      <c r="K77" s="193"/>
      <c r="L77" s="190">
        <f t="shared" si="1"/>
        <v>16764673</v>
      </c>
      <c r="M77" s="192">
        <f t="shared" si="2"/>
        <v>9.7271491030633511E-2</v>
      </c>
      <c r="O77" s="130"/>
      <c r="Q77" s="187"/>
    </row>
    <row r="78" spans="1:17" s="196" customFormat="1" ht="15">
      <c r="A78" s="130"/>
      <c r="B78" s="131"/>
      <c r="C78" s="208"/>
      <c r="D78" s="209" t="s">
        <v>466</v>
      </c>
      <c r="E78" s="199"/>
      <c r="F78" s="192" t="e">
        <f t="shared" si="5"/>
        <v>#DIV/0!</v>
      </c>
      <c r="G78" s="199">
        <v>231763265</v>
      </c>
      <c r="H78" s="192">
        <f t="shared" si="0"/>
        <v>9.8157715202897428E-3</v>
      </c>
      <c r="I78" s="199">
        <v>247357069</v>
      </c>
      <c r="J78" s="192">
        <f t="shared" si="3"/>
        <v>7.3623467468592945E-3</v>
      </c>
      <c r="K78" s="200"/>
      <c r="L78" s="190">
        <f t="shared" si="1"/>
        <v>15593804</v>
      </c>
      <c r="M78" s="192">
        <f t="shared" si="2"/>
        <v>6.7283328960696165E-2</v>
      </c>
      <c r="N78" s="131"/>
      <c r="O78" s="130"/>
      <c r="Q78" s="187"/>
    </row>
    <row r="79" spans="1:17" s="131" customFormat="1" ht="15">
      <c r="A79" s="130"/>
      <c r="C79" s="208"/>
      <c r="D79" s="209" t="s">
        <v>467</v>
      </c>
      <c r="E79" s="199"/>
      <c r="F79" s="192" t="e">
        <f t="shared" si="5"/>
        <v>#DIV/0!</v>
      </c>
      <c r="G79" s="199">
        <v>27962096</v>
      </c>
      <c r="H79" s="192">
        <f t="shared" si="0"/>
        <v>1.1842668231499404E-3</v>
      </c>
      <c r="I79" s="199">
        <v>28521648</v>
      </c>
      <c r="J79" s="192">
        <f t="shared" si="3"/>
        <v>8.4891959310799366E-4</v>
      </c>
      <c r="K79" s="200"/>
      <c r="L79" s="190">
        <f t="shared" si="1"/>
        <v>559552</v>
      </c>
      <c r="M79" s="192">
        <f t="shared" si="2"/>
        <v>2.0011089297454668E-2</v>
      </c>
      <c r="O79" s="130"/>
      <c r="Q79" s="187"/>
    </row>
    <row r="80" spans="1:17" s="131" customFormat="1" ht="15">
      <c r="A80" s="130"/>
      <c r="C80" s="208"/>
      <c r="D80" s="209" t="s">
        <v>468</v>
      </c>
      <c r="E80" s="199"/>
      <c r="F80" s="192" t="e">
        <f t="shared" si="5"/>
        <v>#DIV/0!</v>
      </c>
      <c r="G80" s="199">
        <v>235439008</v>
      </c>
      <c r="H80" s="192">
        <f t="shared" si="0"/>
        <v>9.9714487086280442E-3</v>
      </c>
      <c r="I80" s="199">
        <v>238538720</v>
      </c>
      <c r="J80" s="192">
        <f t="shared" si="3"/>
        <v>7.0998770170258609E-3</v>
      </c>
      <c r="K80" s="200"/>
      <c r="L80" s="190">
        <f t="shared" si="1"/>
        <v>3099712</v>
      </c>
      <c r="M80" s="192">
        <f t="shared" si="2"/>
        <v>1.3165668791808706E-2</v>
      </c>
      <c r="O80" s="130"/>
      <c r="Q80" s="187"/>
    </row>
    <row r="81" spans="1:17" s="131" customFormat="1" ht="15" hidden="1">
      <c r="A81" s="130"/>
      <c r="C81" s="208"/>
      <c r="D81" s="209" t="s">
        <v>469</v>
      </c>
      <c r="E81" s="199"/>
      <c r="F81" s="192" t="e">
        <f t="shared" si="5"/>
        <v>#DIV/0!</v>
      </c>
      <c r="G81" s="199">
        <v>0</v>
      </c>
      <c r="H81" s="192">
        <f t="shared" si="0"/>
        <v>0</v>
      </c>
      <c r="I81" s="199">
        <v>0</v>
      </c>
      <c r="J81" s="192">
        <f t="shared" si="3"/>
        <v>0</v>
      </c>
      <c r="K81" s="200"/>
      <c r="L81" s="190">
        <f t="shared" si="1"/>
        <v>0</v>
      </c>
      <c r="M81" s="192">
        <v>0</v>
      </c>
      <c r="O81" s="130"/>
      <c r="Q81" s="187"/>
    </row>
    <row r="82" spans="1:17" s="131" customFormat="1" ht="15">
      <c r="A82" s="130"/>
      <c r="C82" s="208"/>
      <c r="D82" s="209" t="s">
        <v>470</v>
      </c>
      <c r="E82" s="199"/>
      <c r="F82" s="192" t="e">
        <f t="shared" si="5"/>
        <v>#DIV/0!</v>
      </c>
      <c r="G82" s="199">
        <v>6662147</v>
      </c>
      <c r="H82" s="192">
        <f t="shared" si="0"/>
        <v>2.8215909361901573E-4</v>
      </c>
      <c r="I82" s="199">
        <v>8879044</v>
      </c>
      <c r="J82" s="192">
        <f t="shared" si="3"/>
        <v>2.6427625849908718E-4</v>
      </c>
      <c r="K82" s="200"/>
      <c r="L82" s="190">
        <f t="shared" si="1"/>
        <v>2216897</v>
      </c>
      <c r="M82" s="192">
        <f t="shared" si="2"/>
        <v>0.33276014474012655</v>
      </c>
      <c r="O82" s="130"/>
      <c r="Q82" s="187"/>
    </row>
    <row r="83" spans="1:17" s="131" customFormat="1" ht="15">
      <c r="A83" s="130"/>
      <c r="C83" s="208"/>
      <c r="D83" s="209" t="s">
        <v>471</v>
      </c>
      <c r="E83" s="199"/>
      <c r="F83" s="192" t="e">
        <f t="shared" si="5"/>
        <v>#DIV/0!</v>
      </c>
      <c r="G83" s="199">
        <v>-460845632</v>
      </c>
      <c r="H83" s="192">
        <f t="shared" si="0"/>
        <v>-1.9518000101679304E-2</v>
      </c>
      <c r="I83" s="199">
        <v>-672876268</v>
      </c>
      <c r="J83" s="192">
        <f t="shared" si="3"/>
        <v>-2.0027519014419688E-2</v>
      </c>
      <c r="K83" s="200"/>
      <c r="L83" s="190">
        <f t="shared" si="1"/>
        <v>-212030636</v>
      </c>
      <c r="M83" s="192">
        <f t="shared" si="2"/>
        <v>0.46009036709281426</v>
      </c>
      <c r="O83" s="130"/>
      <c r="Q83" s="187"/>
    </row>
    <row r="84" spans="1:17" s="131" customFormat="1" ht="15">
      <c r="A84" s="130"/>
      <c r="C84" s="208"/>
      <c r="D84" s="209" t="s">
        <v>472</v>
      </c>
      <c r="E84" s="199"/>
      <c r="F84" s="192" t="e">
        <f t="shared" si="5"/>
        <v>#DIV/0!</v>
      </c>
      <c r="G84" s="199">
        <v>-110476872</v>
      </c>
      <c r="H84" s="192">
        <f t="shared" si="0"/>
        <v>-4.6789802250511757E-3</v>
      </c>
      <c r="I84" s="199">
        <v>-120474946</v>
      </c>
      <c r="J84" s="192">
        <f t="shared" si="3"/>
        <v>-3.5858216235621276E-3</v>
      </c>
      <c r="K84" s="200"/>
      <c r="L84" s="190">
        <f t="shared" si="1"/>
        <v>-9998074</v>
      </c>
      <c r="M84" s="192">
        <f t="shared" si="2"/>
        <v>9.0499249471871365E-2</v>
      </c>
      <c r="O84" s="130"/>
      <c r="Q84" s="187"/>
    </row>
    <row r="85" spans="1:17" s="131" customFormat="1" ht="15">
      <c r="A85" s="130"/>
      <c r="C85" s="208"/>
      <c r="D85" s="209" t="s">
        <v>473</v>
      </c>
      <c r="E85" s="199"/>
      <c r="F85" s="192" t="e">
        <f t="shared" si="5"/>
        <v>#DIV/0!</v>
      </c>
      <c r="G85" s="199">
        <v>-104459300</v>
      </c>
      <c r="H85" s="192">
        <f t="shared" si="0"/>
        <v>-4.4241205437341525E-3</v>
      </c>
      <c r="I85" s="199">
        <v>-117536259</v>
      </c>
      <c r="J85" s="192">
        <f t="shared" si="3"/>
        <v>-3.4983544136620629E-3</v>
      </c>
      <c r="K85" s="200"/>
      <c r="L85" s="190">
        <f t="shared" si="1"/>
        <v>-13076959</v>
      </c>
      <c r="M85" s="192">
        <f t="shared" si="2"/>
        <v>0.12518712072548829</v>
      </c>
      <c r="O85" s="130"/>
      <c r="Q85" s="187"/>
    </row>
    <row r="86" spans="1:17" s="131" customFormat="1" ht="15">
      <c r="A86" s="130"/>
      <c r="C86" s="208"/>
      <c r="D86" s="209" t="s">
        <v>474</v>
      </c>
      <c r="E86" s="199"/>
      <c r="F86" s="192" t="e">
        <f t="shared" si="5"/>
        <v>#DIV/0!</v>
      </c>
      <c r="G86" s="199">
        <v>-175408077</v>
      </c>
      <c r="H86" s="192">
        <f t="shared" si="0"/>
        <v>-7.4289840827250616E-3</v>
      </c>
      <c r="I86" s="199">
        <v>-201656734</v>
      </c>
      <c r="J86" s="192">
        <f t="shared" si="3"/>
        <v>-6.0021199537546675E-3</v>
      </c>
      <c r="K86" s="200"/>
      <c r="L86" s="190">
        <f t="shared" si="1"/>
        <v>-26248657</v>
      </c>
      <c r="M86" s="192">
        <f t="shared" si="2"/>
        <v>0.14964337702647523</v>
      </c>
      <c r="O86" s="130"/>
      <c r="Q86" s="187"/>
    </row>
    <row r="87" spans="1:17" s="131" customFormat="1" ht="15">
      <c r="A87" s="130"/>
      <c r="C87" s="205"/>
      <c r="D87" s="209" t="s">
        <v>475</v>
      </c>
      <c r="E87" s="190"/>
      <c r="F87" s="191" t="e">
        <f t="shared" si="5"/>
        <v>#DIV/0!</v>
      </c>
      <c r="G87" s="199">
        <v>-172691794</v>
      </c>
      <c r="H87" s="192">
        <f t="shared" si="0"/>
        <v>-7.3139424978887107E-3</v>
      </c>
      <c r="I87" s="199">
        <v>-202235919</v>
      </c>
      <c r="J87" s="192">
        <f t="shared" si="3"/>
        <v>-6.0193588417226506E-3</v>
      </c>
      <c r="K87" s="193"/>
      <c r="L87" s="190">
        <f t="shared" ref="L87:L149" si="6">I87-G87</f>
        <v>-29544125</v>
      </c>
      <c r="M87" s="192">
        <f t="shared" ref="M87:M148" si="7">L87/G87</f>
        <v>0.17108007459810162</v>
      </c>
      <c r="O87" s="130"/>
      <c r="Q87" s="187"/>
    </row>
    <row r="88" spans="1:17" s="131" customFormat="1" ht="15">
      <c r="A88" s="130"/>
      <c r="C88" s="194"/>
      <c r="D88" s="209" t="s">
        <v>476</v>
      </c>
      <c r="E88" s="190"/>
      <c r="F88" s="191" t="e">
        <f t="shared" si="5"/>
        <v>#DIV/0!</v>
      </c>
      <c r="G88" s="199">
        <v>-16635126</v>
      </c>
      <c r="H88" s="192">
        <f t="shared" si="0"/>
        <v>-7.0454045436075228E-4</v>
      </c>
      <c r="I88" s="199">
        <v>-24164653</v>
      </c>
      <c r="J88" s="192">
        <f t="shared" si="3"/>
        <v>-7.1923780113813398E-4</v>
      </c>
      <c r="K88" s="193"/>
      <c r="L88" s="190">
        <f t="shared" si="6"/>
        <v>-7529527</v>
      </c>
      <c r="M88" s="192">
        <f t="shared" si="7"/>
        <v>0.45262819169509144</v>
      </c>
      <c r="O88" s="130"/>
      <c r="Q88" s="187"/>
    </row>
    <row r="89" spans="1:17" s="131" customFormat="1" ht="15">
      <c r="A89" s="130"/>
      <c r="C89" s="205"/>
      <c r="D89" s="209" t="s">
        <v>477</v>
      </c>
      <c r="E89" s="190"/>
      <c r="F89" s="191" t="e">
        <f t="shared" si="5"/>
        <v>#DIV/0!</v>
      </c>
      <c r="G89" s="199">
        <v>-339205</v>
      </c>
      <c r="H89" s="192">
        <f t="shared" si="0"/>
        <v>-1.4366205871926607E-5</v>
      </c>
      <c r="I89" s="199">
        <v>-1038331</v>
      </c>
      <c r="J89" s="191">
        <f t="shared" si="3"/>
        <v>-3.0904929828438252E-5</v>
      </c>
      <c r="K89" s="193"/>
      <c r="L89" s="190">
        <f t="shared" si="6"/>
        <v>-699126</v>
      </c>
      <c r="M89" s="192">
        <f t="shared" si="7"/>
        <v>2.061072212968559</v>
      </c>
      <c r="O89" s="130"/>
      <c r="Q89" s="187"/>
    </row>
    <row r="90" spans="1:17" s="131" customFormat="1" ht="15">
      <c r="A90" s="130"/>
      <c r="C90" s="188"/>
      <c r="D90" s="202"/>
      <c r="E90" s="190"/>
      <c r="F90" s="191" t="e">
        <f t="shared" si="5"/>
        <v>#DIV/0!</v>
      </c>
      <c r="G90" s="190"/>
      <c r="H90" s="191"/>
      <c r="I90" s="190"/>
      <c r="J90" s="191">
        <f t="shared" si="3"/>
        <v>0</v>
      </c>
      <c r="K90" s="193"/>
      <c r="L90" s="190"/>
      <c r="M90" s="192"/>
      <c r="O90" s="130"/>
      <c r="Q90" s="187"/>
    </row>
    <row r="91" spans="1:17" s="131" customFormat="1" ht="15">
      <c r="A91" s="130"/>
      <c r="C91" s="206" t="s">
        <v>478</v>
      </c>
      <c r="D91" s="207" t="s">
        <v>479</v>
      </c>
      <c r="E91" s="199"/>
      <c r="F91" s="192" t="e">
        <f t="shared" si="5"/>
        <v>#DIV/0!</v>
      </c>
      <c r="G91" s="190">
        <f>+G92</f>
        <v>607142830</v>
      </c>
      <c r="H91" s="192">
        <f t="shared" si="0"/>
        <v>2.5714063440822329E-2</v>
      </c>
      <c r="I91" s="190">
        <f>+I92</f>
        <v>306651064</v>
      </c>
      <c r="J91" s="192">
        <f t="shared" si="3"/>
        <v>9.1271758377010088E-3</v>
      </c>
      <c r="K91" s="200"/>
      <c r="L91" s="199">
        <f t="shared" si="6"/>
        <v>-300491766</v>
      </c>
      <c r="M91" s="192">
        <f t="shared" si="7"/>
        <v>-0.49492763671441198</v>
      </c>
      <c r="O91" s="130"/>
      <c r="Q91" s="187"/>
    </row>
    <row r="92" spans="1:17" s="131" customFormat="1">
      <c r="A92" s="130"/>
      <c r="C92" s="208"/>
      <c r="D92" s="213" t="s">
        <v>479</v>
      </c>
      <c r="E92" s="199"/>
      <c r="F92" s="192" t="e">
        <f t="shared" si="5"/>
        <v>#DIV/0!</v>
      </c>
      <c r="G92" s="199">
        <v>607142830</v>
      </c>
      <c r="H92" s="192">
        <f t="shared" si="0"/>
        <v>2.5714063440822329E-2</v>
      </c>
      <c r="I92" s="199">
        <v>306651064</v>
      </c>
      <c r="J92" s="192">
        <f t="shared" ref="J92:J153" si="8">I92/I$22</f>
        <v>9.1271758377010088E-3</v>
      </c>
      <c r="K92" s="200"/>
      <c r="L92" s="199">
        <f t="shared" si="6"/>
        <v>-300491766</v>
      </c>
      <c r="M92" s="192">
        <f t="shared" si="7"/>
        <v>-0.49492763671441198</v>
      </c>
      <c r="O92" s="130"/>
      <c r="Q92" s="187"/>
    </row>
    <row r="93" spans="1:17" s="131" customFormat="1" ht="15">
      <c r="A93" s="130"/>
      <c r="C93" s="188"/>
      <c r="D93" s="213"/>
      <c r="E93" s="190"/>
      <c r="F93" s="191" t="e">
        <f t="shared" si="5"/>
        <v>#DIV/0!</v>
      </c>
      <c r="G93" s="190"/>
      <c r="H93" s="191"/>
      <c r="I93" s="190"/>
      <c r="J93" s="191">
        <f t="shared" si="8"/>
        <v>0</v>
      </c>
      <c r="K93" s="193"/>
      <c r="L93" s="190"/>
      <c r="M93" s="192"/>
      <c r="O93" s="130"/>
      <c r="Q93" s="187"/>
    </row>
    <row r="94" spans="1:17" s="131" customFormat="1" ht="15">
      <c r="A94" s="130"/>
      <c r="C94" s="194" t="s">
        <v>480</v>
      </c>
      <c r="D94" s="195" t="s">
        <v>481</v>
      </c>
      <c r="E94" s="199"/>
      <c r="F94" s="192" t="e">
        <f t="shared" si="5"/>
        <v>#DIV/0!</v>
      </c>
      <c r="G94" s="190">
        <f>+SUM(G95:G96)</f>
        <v>1517614271</v>
      </c>
      <c r="H94" s="192">
        <f t="shared" ref="H94:H114" si="9">G94/G$22</f>
        <v>6.4274875226956615E-2</v>
      </c>
      <c r="I94" s="190">
        <f>SUM(I95:I96)</f>
        <v>1347789162</v>
      </c>
      <c r="J94" s="192">
        <f t="shared" si="8"/>
        <v>4.0115656255220726E-2</v>
      </c>
      <c r="K94" s="200"/>
      <c r="L94" s="199">
        <f t="shared" si="6"/>
        <v>-169825109</v>
      </c>
      <c r="M94" s="192">
        <f t="shared" si="7"/>
        <v>-0.11190268320822874</v>
      </c>
      <c r="O94" s="130"/>
      <c r="Q94" s="187"/>
    </row>
    <row r="95" spans="1:17" s="131" customFormat="1">
      <c r="A95" s="130"/>
      <c r="C95" s="201"/>
      <c r="D95" s="209" t="s">
        <v>482</v>
      </c>
      <c r="E95" s="199"/>
      <c r="F95" s="192" t="e">
        <f t="shared" si="5"/>
        <v>#DIV/0!</v>
      </c>
      <c r="G95" s="199">
        <v>35557105</v>
      </c>
      <c r="H95" s="192">
        <f t="shared" si="9"/>
        <v>1.5059350264285932E-3</v>
      </c>
      <c r="I95" s="199">
        <v>35553972</v>
      </c>
      <c r="J95" s="192">
        <f t="shared" si="8"/>
        <v>1.0582299958127594E-3</v>
      </c>
      <c r="K95" s="200"/>
      <c r="L95" s="199">
        <f t="shared" si="6"/>
        <v>-3133</v>
      </c>
      <c r="M95" s="192">
        <f t="shared" si="7"/>
        <v>-8.8111785253608242E-5</v>
      </c>
      <c r="O95" s="130"/>
      <c r="Q95" s="187"/>
    </row>
    <row r="96" spans="1:17" s="131" customFormat="1" ht="15">
      <c r="A96" s="130"/>
      <c r="C96" s="205"/>
      <c r="D96" s="211" t="s">
        <v>483</v>
      </c>
      <c r="E96" s="190"/>
      <c r="F96" s="191" t="e">
        <f t="shared" si="5"/>
        <v>#DIV/0!</v>
      </c>
      <c r="G96" s="199">
        <v>1482057166</v>
      </c>
      <c r="H96" s="192">
        <f t="shared" si="9"/>
        <v>6.276894020052802E-2</v>
      </c>
      <c r="I96" s="199">
        <v>1312235190</v>
      </c>
      <c r="J96" s="192">
        <f t="shared" si="8"/>
        <v>3.9057426259407967E-2</v>
      </c>
      <c r="K96" s="200"/>
      <c r="L96" s="199">
        <f t="shared" si="6"/>
        <v>-169821976</v>
      </c>
      <c r="M96" s="192">
        <f t="shared" si="7"/>
        <v>-0.11458530743341111</v>
      </c>
      <c r="O96" s="130"/>
      <c r="Q96" s="187"/>
    </row>
    <row r="97" spans="1:17" s="131" customFormat="1" ht="15">
      <c r="A97" s="130"/>
      <c r="C97" s="205"/>
      <c r="D97" s="211"/>
      <c r="E97" s="190"/>
      <c r="F97" s="192" t="e">
        <f t="shared" si="5"/>
        <v>#DIV/0!</v>
      </c>
      <c r="G97" s="190"/>
      <c r="H97" s="191"/>
      <c r="I97" s="190"/>
      <c r="J97" s="191">
        <f t="shared" si="8"/>
        <v>0</v>
      </c>
      <c r="K97" s="193"/>
      <c r="L97" s="190"/>
      <c r="M97" s="192"/>
      <c r="O97" s="130"/>
      <c r="Q97" s="187"/>
    </row>
    <row r="98" spans="1:17" s="131" customFormat="1" ht="15">
      <c r="A98" s="130"/>
      <c r="C98" s="205" t="s">
        <v>484</v>
      </c>
      <c r="D98" s="189" t="s">
        <v>93</v>
      </c>
      <c r="E98" s="190"/>
      <c r="F98" s="191" t="e">
        <f t="shared" si="5"/>
        <v>#DIV/0!</v>
      </c>
      <c r="G98" s="190">
        <f>+G99</f>
        <v>12864192022</v>
      </c>
      <c r="H98" s="191">
        <f t="shared" si="9"/>
        <v>0.54483168279962801</v>
      </c>
      <c r="I98" s="190">
        <f>+I99</f>
        <v>17384437464</v>
      </c>
      <c r="J98" s="191">
        <f t="shared" si="8"/>
        <v>0.51743116591124894</v>
      </c>
      <c r="K98" s="193"/>
      <c r="L98" s="190">
        <f t="shared" si="6"/>
        <v>4520245442</v>
      </c>
      <c r="M98" s="192">
        <f t="shared" si="7"/>
        <v>0.35138199385313873</v>
      </c>
      <c r="O98" s="130"/>
      <c r="Q98" s="187"/>
    </row>
    <row r="99" spans="1:17" s="131" customFormat="1" ht="15">
      <c r="A99" s="130"/>
      <c r="C99" s="194" t="s">
        <v>485</v>
      </c>
      <c r="D99" s="195" t="s">
        <v>486</v>
      </c>
      <c r="E99" s="199"/>
      <c r="F99" s="192" t="e">
        <f t="shared" si="5"/>
        <v>#DIV/0!</v>
      </c>
      <c r="G99" s="190">
        <f>+G100+G104+G112+G121+G133</f>
        <v>12864192022</v>
      </c>
      <c r="H99" s="192">
        <f t="shared" si="9"/>
        <v>0.54483168279962801</v>
      </c>
      <c r="I99" s="190">
        <f>+I100+I104+I112+I121+I133</f>
        <v>17384437464</v>
      </c>
      <c r="J99" s="192">
        <f t="shared" si="8"/>
        <v>0.51743116591124894</v>
      </c>
      <c r="K99" s="200"/>
      <c r="L99" s="190">
        <f t="shared" si="6"/>
        <v>4520245442</v>
      </c>
      <c r="M99" s="192">
        <f t="shared" si="7"/>
        <v>0.35138199385313873</v>
      </c>
      <c r="O99" s="130"/>
      <c r="Q99" s="187"/>
    </row>
    <row r="100" spans="1:17" s="131" customFormat="1" ht="15">
      <c r="A100" s="130"/>
      <c r="C100" s="205" t="s">
        <v>487</v>
      </c>
      <c r="D100" s="195" t="s">
        <v>488</v>
      </c>
      <c r="E100" s="190"/>
      <c r="F100" s="192" t="e">
        <f t="shared" si="5"/>
        <v>#DIV/0!</v>
      </c>
      <c r="G100" s="190">
        <f>SUM(G101:G102)</f>
        <v>64261663</v>
      </c>
      <c r="H100" s="191">
        <f t="shared" si="9"/>
        <v>2.7216470285826235E-3</v>
      </c>
      <c r="I100" s="190">
        <f>SUM(I101:I102)</f>
        <v>1887852794</v>
      </c>
      <c r="J100" s="191">
        <f t="shared" si="8"/>
        <v>5.6190134094995806E-2</v>
      </c>
      <c r="K100" s="193"/>
      <c r="L100" s="190">
        <f t="shared" si="6"/>
        <v>1823591131</v>
      </c>
      <c r="M100" s="192">
        <f t="shared" si="7"/>
        <v>28.377590088199241</v>
      </c>
      <c r="O100" s="130"/>
      <c r="Q100" s="187"/>
    </row>
    <row r="101" spans="1:17" s="131" customFormat="1" ht="15">
      <c r="A101" s="130"/>
      <c r="C101" s="205"/>
      <c r="D101" s="198" t="s">
        <v>489</v>
      </c>
      <c r="E101" s="190"/>
      <c r="F101" s="191" t="e">
        <f t="shared" si="5"/>
        <v>#DIV/0!</v>
      </c>
      <c r="G101" s="199">
        <v>0</v>
      </c>
      <c r="H101" s="192">
        <f t="shared" si="9"/>
        <v>0</v>
      </c>
      <c r="I101" s="199">
        <v>1482391131</v>
      </c>
      <c r="J101" s="191">
        <f t="shared" si="8"/>
        <v>4.4121955216452374E-2</v>
      </c>
      <c r="K101" s="193"/>
      <c r="L101" s="199">
        <f t="shared" si="6"/>
        <v>1482391131</v>
      </c>
      <c r="M101" s="192">
        <v>1</v>
      </c>
      <c r="O101" s="130"/>
      <c r="Q101" s="187"/>
    </row>
    <row r="102" spans="1:17" s="131" customFormat="1">
      <c r="A102" s="130"/>
      <c r="C102" s="201"/>
      <c r="D102" s="198" t="s">
        <v>490</v>
      </c>
      <c r="E102" s="199"/>
      <c r="F102" s="192" t="e">
        <f t="shared" si="5"/>
        <v>#DIV/0!</v>
      </c>
      <c r="G102" s="199">
        <v>64261663</v>
      </c>
      <c r="H102" s="192">
        <f t="shared" si="9"/>
        <v>2.7216470285826235E-3</v>
      </c>
      <c r="I102" s="199">
        <v>405461663</v>
      </c>
      <c r="J102" s="192">
        <f t="shared" si="8"/>
        <v>1.206817887854343E-2</v>
      </c>
      <c r="K102" s="200"/>
      <c r="L102" s="199">
        <f t="shared" si="6"/>
        <v>341200000</v>
      </c>
      <c r="M102" s="192">
        <f t="shared" si="7"/>
        <v>5.3095420204111434</v>
      </c>
      <c r="O102" s="130"/>
      <c r="Q102" s="187"/>
    </row>
    <row r="103" spans="1:17" s="131" customFormat="1">
      <c r="A103" s="130"/>
      <c r="C103" s="201"/>
      <c r="D103" s="214"/>
      <c r="E103" s="199"/>
      <c r="F103" s="192"/>
      <c r="G103" s="199"/>
      <c r="H103" s="192"/>
      <c r="I103" s="199"/>
      <c r="J103" s="192">
        <f t="shared" si="8"/>
        <v>0</v>
      </c>
      <c r="K103" s="200"/>
      <c r="L103" s="199"/>
      <c r="M103" s="192"/>
      <c r="O103" s="130"/>
      <c r="Q103" s="187"/>
    </row>
    <row r="104" spans="1:17" s="131" customFormat="1" ht="15">
      <c r="A104" s="130"/>
      <c r="C104" s="194" t="s">
        <v>491</v>
      </c>
      <c r="D104" s="215" t="s">
        <v>492</v>
      </c>
      <c r="E104" s="199"/>
      <c r="F104" s="192" t="e">
        <f t="shared" si="5"/>
        <v>#DIV/0!</v>
      </c>
      <c r="G104" s="190">
        <f>+SUM(G105:G110)</f>
        <v>7057358215</v>
      </c>
      <c r="H104" s="192">
        <f t="shared" si="9"/>
        <v>0.29889730702266321</v>
      </c>
      <c r="I104" s="190">
        <f>+SUM(I105:I109)</f>
        <v>8741120511</v>
      </c>
      <c r="J104" s="192">
        <f t="shared" si="8"/>
        <v>0.26017109766960372</v>
      </c>
      <c r="K104" s="200"/>
      <c r="L104" s="190">
        <f t="shared" si="6"/>
        <v>1683762296</v>
      </c>
      <c r="M104" s="192">
        <f t="shared" si="7"/>
        <v>0.23858251837369715</v>
      </c>
      <c r="O104" s="130"/>
      <c r="Q104" s="187"/>
    </row>
    <row r="105" spans="1:17" s="131" customFormat="1" hidden="1">
      <c r="A105" s="130"/>
      <c r="C105" s="201"/>
      <c r="D105" s="198" t="s">
        <v>493</v>
      </c>
      <c r="E105" s="199"/>
      <c r="F105" s="192" t="e">
        <f t="shared" si="5"/>
        <v>#DIV/0!</v>
      </c>
      <c r="G105" s="199">
        <v>0</v>
      </c>
      <c r="H105" s="192">
        <f t="shared" si="9"/>
        <v>0</v>
      </c>
      <c r="I105" s="199">
        <v>0</v>
      </c>
      <c r="J105" s="192">
        <f t="shared" si="8"/>
        <v>0</v>
      </c>
      <c r="K105" s="200"/>
      <c r="L105" s="199">
        <f t="shared" si="6"/>
        <v>0</v>
      </c>
      <c r="M105" s="192">
        <v>0</v>
      </c>
      <c r="O105" s="130"/>
      <c r="Q105" s="187"/>
    </row>
    <row r="106" spans="1:17" s="131" customFormat="1">
      <c r="A106" s="130"/>
      <c r="C106" s="201"/>
      <c r="D106" s="198" t="s">
        <v>494</v>
      </c>
      <c r="E106" s="199"/>
      <c r="F106" s="192" t="e">
        <f t="shared" si="5"/>
        <v>#DIV/0!</v>
      </c>
      <c r="G106" s="199">
        <v>2006302987</v>
      </c>
      <c r="H106" s="192">
        <f t="shared" si="9"/>
        <v>8.4972101686895216E-2</v>
      </c>
      <c r="I106" s="199">
        <v>2070124011</v>
      </c>
      <c r="J106" s="192">
        <f t="shared" si="8"/>
        <v>6.161526266298524E-2</v>
      </c>
      <c r="K106" s="200"/>
      <c r="L106" s="199">
        <f t="shared" si="6"/>
        <v>63821024</v>
      </c>
      <c r="M106" s="192">
        <f t="shared" si="7"/>
        <v>3.1810262165551967E-2</v>
      </c>
      <c r="O106" s="130"/>
      <c r="Q106" s="187"/>
    </row>
    <row r="107" spans="1:17" s="131" customFormat="1">
      <c r="A107" s="130"/>
      <c r="C107" s="201"/>
      <c r="D107" s="198" t="s">
        <v>495</v>
      </c>
      <c r="E107" s="199"/>
      <c r="F107" s="192" t="e">
        <f t="shared" si="5"/>
        <v>#DIV/0!</v>
      </c>
      <c r="G107" s="199">
        <v>5051055228</v>
      </c>
      <c r="H107" s="192">
        <f t="shared" si="9"/>
        <v>0.213925205335768</v>
      </c>
      <c r="I107" s="199">
        <v>6449396596</v>
      </c>
      <c r="J107" s="192">
        <f t="shared" si="8"/>
        <v>0.19196012565853135</v>
      </c>
      <c r="K107" s="200"/>
      <c r="L107" s="199">
        <f t="shared" si="6"/>
        <v>1398341368</v>
      </c>
      <c r="M107" s="192">
        <f t="shared" si="7"/>
        <v>0.27684143310261983</v>
      </c>
      <c r="O107" s="130"/>
      <c r="Q107" s="187"/>
    </row>
    <row r="108" spans="1:17" s="131" customFormat="1">
      <c r="A108" s="130"/>
      <c r="C108" s="201"/>
      <c r="D108" s="198" t="s">
        <v>385</v>
      </c>
      <c r="E108" s="199"/>
      <c r="F108" s="192" t="e">
        <f t="shared" si="5"/>
        <v>#DIV/0!</v>
      </c>
      <c r="G108" s="199">
        <v>0</v>
      </c>
      <c r="H108" s="192">
        <f t="shared" si="9"/>
        <v>0</v>
      </c>
      <c r="I108" s="199">
        <v>144547291</v>
      </c>
      <c r="J108" s="192">
        <f t="shared" si="8"/>
        <v>4.3023119653037845E-3</v>
      </c>
      <c r="K108" s="200"/>
      <c r="L108" s="199">
        <f t="shared" si="6"/>
        <v>144547291</v>
      </c>
      <c r="M108" s="192">
        <v>1</v>
      </c>
      <c r="O108" s="130"/>
      <c r="Q108" s="187"/>
    </row>
    <row r="109" spans="1:17" s="131" customFormat="1">
      <c r="A109" s="130"/>
      <c r="C109" s="201"/>
      <c r="D109" s="198" t="s">
        <v>386</v>
      </c>
      <c r="E109" s="199"/>
      <c r="F109" s="192" t="e">
        <f t="shared" si="5"/>
        <v>#DIV/0!</v>
      </c>
      <c r="G109" s="199">
        <v>0</v>
      </c>
      <c r="H109" s="192">
        <f t="shared" si="9"/>
        <v>0</v>
      </c>
      <c r="I109" s="199">
        <v>77052613</v>
      </c>
      <c r="J109" s="192">
        <f t="shared" si="8"/>
        <v>2.2933973827833406E-3</v>
      </c>
      <c r="K109" s="200"/>
      <c r="L109" s="199">
        <f t="shared" si="6"/>
        <v>77052613</v>
      </c>
      <c r="M109" s="192">
        <v>1</v>
      </c>
      <c r="O109" s="130"/>
      <c r="Q109" s="187"/>
    </row>
    <row r="110" spans="1:17" s="131" customFormat="1" hidden="1">
      <c r="A110" s="130"/>
      <c r="C110" s="201"/>
      <c r="D110" s="198" t="s">
        <v>496</v>
      </c>
      <c r="E110" s="199"/>
      <c r="F110" s="192"/>
      <c r="G110" s="199">
        <v>0</v>
      </c>
      <c r="H110" s="192">
        <f t="shared" si="9"/>
        <v>0</v>
      </c>
      <c r="I110" s="199">
        <v>0</v>
      </c>
      <c r="J110" s="192">
        <f t="shared" si="8"/>
        <v>0</v>
      </c>
      <c r="K110" s="200"/>
      <c r="L110" s="199">
        <f t="shared" si="6"/>
        <v>0</v>
      </c>
      <c r="M110" s="192">
        <v>0</v>
      </c>
      <c r="O110" s="130"/>
      <c r="Q110" s="187"/>
    </row>
    <row r="111" spans="1:17" s="131" customFormat="1">
      <c r="A111" s="130"/>
      <c r="C111" s="201"/>
      <c r="D111" s="198"/>
      <c r="E111" s="199"/>
      <c r="F111" s="192" t="e">
        <f>E111/E$22</f>
        <v>#DIV/0!</v>
      </c>
      <c r="G111" s="199"/>
      <c r="H111" s="192"/>
      <c r="I111" s="199"/>
      <c r="J111" s="192"/>
      <c r="K111" s="200"/>
      <c r="L111" s="199"/>
      <c r="M111" s="192"/>
      <c r="O111" s="130"/>
      <c r="Q111" s="187"/>
    </row>
    <row r="112" spans="1:17" s="131" customFormat="1" ht="15">
      <c r="A112" s="130"/>
      <c r="C112" s="194" t="s">
        <v>497</v>
      </c>
      <c r="D112" s="195" t="s">
        <v>498</v>
      </c>
      <c r="E112" s="199"/>
      <c r="F112" s="192" t="e">
        <f>E112/E$22</f>
        <v>#DIV/0!</v>
      </c>
      <c r="G112" s="190">
        <f>SUM(G113:G119)</f>
        <v>445831732</v>
      </c>
      <c r="H112" s="192">
        <f t="shared" si="9"/>
        <v>1.8882122746273225E-2</v>
      </c>
      <c r="I112" s="190">
        <f>+SUM(I113:I119)</f>
        <v>648282077</v>
      </c>
      <c r="J112" s="192">
        <f t="shared" si="8"/>
        <v>1.9295496425243204E-2</v>
      </c>
      <c r="K112" s="216"/>
      <c r="L112" s="199">
        <f t="shared" si="6"/>
        <v>202450345</v>
      </c>
      <c r="M112" s="192">
        <f t="shared" si="7"/>
        <v>0.4540958627861868</v>
      </c>
      <c r="O112" s="130"/>
      <c r="Q112" s="187"/>
    </row>
    <row r="113" spans="1:17" s="131" customFormat="1">
      <c r="A113" s="130"/>
      <c r="C113" s="201"/>
      <c r="D113" s="198" t="s">
        <v>499</v>
      </c>
      <c r="E113" s="199"/>
      <c r="F113" s="192" t="e">
        <f>E113/E$22</f>
        <v>#DIV/0!</v>
      </c>
      <c r="G113" s="199">
        <v>239274611</v>
      </c>
      <c r="H113" s="192">
        <f t="shared" si="9"/>
        <v>1.0133896379921153E-2</v>
      </c>
      <c r="I113" s="199">
        <v>462073375</v>
      </c>
      <c r="J113" s="192">
        <f t="shared" si="8"/>
        <v>1.3753172379486535E-2</v>
      </c>
      <c r="K113" s="216"/>
      <c r="L113" s="199">
        <f t="shared" si="6"/>
        <v>222798764</v>
      </c>
      <c r="M113" s="192">
        <f t="shared" si="7"/>
        <v>0.93114251891940181</v>
      </c>
      <c r="O113" s="130"/>
      <c r="Q113" s="187"/>
    </row>
    <row r="114" spans="1:17" s="131" customFormat="1" ht="15">
      <c r="A114" s="130"/>
      <c r="C114" s="205"/>
      <c r="D114" s="217" t="s">
        <v>500</v>
      </c>
      <c r="E114" s="218"/>
      <c r="F114" s="191" t="e">
        <f>E114/E$22</f>
        <v>#DIV/0!</v>
      </c>
      <c r="G114" s="219">
        <v>22636137</v>
      </c>
      <c r="H114" s="192">
        <f t="shared" si="9"/>
        <v>9.5869873465053628E-4</v>
      </c>
      <c r="I114" s="219">
        <v>39382530</v>
      </c>
      <c r="J114" s="191">
        <f t="shared" si="8"/>
        <v>1.1721833655321512E-3</v>
      </c>
      <c r="K114" s="220"/>
      <c r="L114" s="190">
        <f t="shared" si="6"/>
        <v>16746393</v>
      </c>
      <c r="M114" s="192">
        <f t="shared" si="7"/>
        <v>0.73980790096826154</v>
      </c>
      <c r="O114" s="130"/>
      <c r="Q114" s="187"/>
    </row>
    <row r="115" spans="1:17" s="131" customFormat="1" ht="15" thickBot="1">
      <c r="A115" s="130"/>
      <c r="C115" s="221"/>
      <c r="D115" s="222" t="s">
        <v>501</v>
      </c>
      <c r="E115" s="223"/>
      <c r="F115" s="224" t="e">
        <f>E115/E$22</f>
        <v>#DIV/0!</v>
      </c>
      <c r="G115" s="223">
        <v>4612901</v>
      </c>
      <c r="H115" s="224">
        <f>G115/G$22</f>
        <v>1.9536824466861077E-4</v>
      </c>
      <c r="I115" s="199">
        <v>12121676</v>
      </c>
      <c r="J115" s="192">
        <f t="shared" si="8"/>
        <v>3.6079010082821762E-4</v>
      </c>
      <c r="K115" s="225"/>
      <c r="L115" s="199">
        <f t="shared" si="6"/>
        <v>7508775</v>
      </c>
      <c r="M115" s="192">
        <f t="shared" si="7"/>
        <v>1.6277771840323476</v>
      </c>
      <c r="O115" s="130"/>
      <c r="Q115" s="187"/>
    </row>
    <row r="116" spans="1:17" s="131" customFormat="1" ht="15" hidden="1">
      <c r="A116" s="130"/>
      <c r="C116" s="181"/>
      <c r="D116" s="226" t="s">
        <v>502</v>
      </c>
      <c r="E116" s="186"/>
      <c r="F116" s="184" t="e">
        <f>+E116/$E$22</f>
        <v>#DIV/0!</v>
      </c>
      <c r="G116" s="227">
        <v>0</v>
      </c>
      <c r="H116" s="228">
        <f t="shared" ref="H116:H152" si="10">G116/G$22</f>
        <v>0</v>
      </c>
      <c r="I116" s="227">
        <v>0</v>
      </c>
      <c r="J116" s="191">
        <f>I116/I$22</f>
        <v>0</v>
      </c>
      <c r="K116" s="229"/>
      <c r="L116" s="190">
        <f t="shared" si="6"/>
        <v>0</v>
      </c>
      <c r="M116" s="192">
        <v>0</v>
      </c>
      <c r="O116" s="130"/>
      <c r="Q116" s="187"/>
    </row>
    <row r="117" spans="1:17" s="131" customFormat="1" ht="15">
      <c r="A117" s="130"/>
      <c r="C117" s="188"/>
      <c r="D117" s="198" t="s">
        <v>503</v>
      </c>
      <c r="E117" s="190"/>
      <c r="F117" s="191" t="e">
        <f t="shared" ref="F117:F153" si="11">+E117/$E$22</f>
        <v>#DIV/0!</v>
      </c>
      <c r="G117" s="199">
        <v>179308083</v>
      </c>
      <c r="H117" s="192">
        <f t="shared" si="10"/>
        <v>7.5941593870329253E-3</v>
      </c>
      <c r="I117" s="199">
        <v>98766176</v>
      </c>
      <c r="J117" s="191">
        <f t="shared" si="8"/>
        <v>2.939680832704775E-3</v>
      </c>
      <c r="K117" s="230"/>
      <c r="L117" s="190">
        <f t="shared" si="6"/>
        <v>-80541907</v>
      </c>
      <c r="M117" s="192">
        <f t="shared" si="7"/>
        <v>-0.44918168580275325</v>
      </c>
      <c r="O117" s="130"/>
      <c r="Q117" s="187"/>
    </row>
    <row r="118" spans="1:17" s="131" customFormat="1" ht="15" hidden="1">
      <c r="A118" s="130"/>
      <c r="C118" s="188"/>
      <c r="D118" s="198" t="s">
        <v>504</v>
      </c>
      <c r="E118" s="190"/>
      <c r="F118" s="191" t="e">
        <f t="shared" si="11"/>
        <v>#DIV/0!</v>
      </c>
      <c r="G118" s="199">
        <v>0</v>
      </c>
      <c r="H118" s="192">
        <f t="shared" si="10"/>
        <v>0</v>
      </c>
      <c r="I118" s="199">
        <v>0</v>
      </c>
      <c r="J118" s="191">
        <f t="shared" si="8"/>
        <v>0</v>
      </c>
      <c r="K118" s="230"/>
      <c r="L118" s="190">
        <f t="shared" si="6"/>
        <v>0</v>
      </c>
      <c r="M118" s="192">
        <v>0</v>
      </c>
      <c r="O118" s="130"/>
      <c r="Q118" s="187"/>
    </row>
    <row r="119" spans="1:17" s="131" customFormat="1" ht="15">
      <c r="A119" s="130"/>
      <c r="C119" s="188"/>
      <c r="D119" s="202" t="s">
        <v>505</v>
      </c>
      <c r="E119" s="231"/>
      <c r="F119" s="191" t="e">
        <f>E119/E$116</f>
        <v>#DIV/0!</v>
      </c>
      <c r="G119" s="232">
        <v>0</v>
      </c>
      <c r="H119" s="192">
        <f t="shared" si="10"/>
        <v>0</v>
      </c>
      <c r="I119" s="232">
        <v>35938320</v>
      </c>
      <c r="J119" s="191">
        <f t="shared" si="8"/>
        <v>1.069669746691526E-3</v>
      </c>
      <c r="K119" s="230"/>
      <c r="L119" s="190">
        <f t="shared" si="6"/>
        <v>35938320</v>
      </c>
      <c r="M119" s="192">
        <v>1</v>
      </c>
      <c r="O119" s="130"/>
      <c r="Q119" s="187"/>
    </row>
    <row r="120" spans="1:17" s="131" customFormat="1" ht="15">
      <c r="A120" s="130"/>
      <c r="C120" s="188"/>
      <c r="D120" s="202"/>
      <c r="E120" s="231"/>
      <c r="F120" s="191"/>
      <c r="G120" s="231"/>
      <c r="H120" s="191"/>
      <c r="I120" s="232"/>
      <c r="J120" s="191"/>
      <c r="K120" s="230"/>
      <c r="L120" s="190"/>
      <c r="M120" s="192"/>
      <c r="O120" s="130"/>
      <c r="Q120" s="187"/>
    </row>
    <row r="121" spans="1:17" s="131" customFormat="1" ht="15">
      <c r="A121" s="130"/>
      <c r="C121" s="188" t="s">
        <v>506</v>
      </c>
      <c r="D121" s="189" t="s">
        <v>507</v>
      </c>
      <c r="E121" s="199"/>
      <c r="F121" s="192" t="e">
        <f t="shared" si="11"/>
        <v>#DIV/0!</v>
      </c>
      <c r="G121" s="190">
        <f>+SUM(G122:G131)</f>
        <v>1879605559</v>
      </c>
      <c r="H121" s="192">
        <f t="shared" si="10"/>
        <v>7.9606139115318747E-2</v>
      </c>
      <c r="I121" s="190">
        <f>+SUM(I122:I131)</f>
        <v>1730102674</v>
      </c>
      <c r="J121" s="192">
        <f t="shared" si="8"/>
        <v>5.149485254313256E-2</v>
      </c>
      <c r="K121" s="216"/>
      <c r="L121" s="199">
        <f t="shared" si="6"/>
        <v>-149502885</v>
      </c>
      <c r="M121" s="192">
        <f t="shared" si="7"/>
        <v>-7.953949927640111E-2</v>
      </c>
      <c r="O121" s="130"/>
      <c r="Q121" s="187"/>
    </row>
    <row r="122" spans="1:17" s="131" customFormat="1" ht="15">
      <c r="A122" s="130"/>
      <c r="C122" s="188"/>
      <c r="D122" s="202" t="s">
        <v>508</v>
      </c>
      <c r="E122" s="231"/>
      <c r="F122" s="191" t="e">
        <f>E122/E$116</f>
        <v>#DIV/0!</v>
      </c>
      <c r="G122" s="232">
        <v>16942289</v>
      </c>
      <c r="H122" s="192">
        <f t="shared" si="10"/>
        <v>7.1754959896132894E-4</v>
      </c>
      <c r="I122" s="232">
        <v>29048761</v>
      </c>
      <c r="J122" s="191">
        <f t="shared" si="8"/>
        <v>8.6460860776387655E-4</v>
      </c>
      <c r="K122" s="230"/>
      <c r="L122" s="190">
        <f t="shared" si="6"/>
        <v>12106472</v>
      </c>
      <c r="M122" s="192">
        <f t="shared" si="7"/>
        <v>0.71457121289809189</v>
      </c>
      <c r="O122" s="130"/>
      <c r="Q122" s="187"/>
    </row>
    <row r="123" spans="1:17" s="131" customFormat="1">
      <c r="A123" s="130"/>
      <c r="C123" s="197"/>
      <c r="D123" s="198" t="s">
        <v>509</v>
      </c>
      <c r="E123" s="199"/>
      <c r="F123" s="192" t="e">
        <f t="shared" si="11"/>
        <v>#DIV/0!</v>
      </c>
      <c r="G123" s="199">
        <v>0</v>
      </c>
      <c r="H123" s="192">
        <f t="shared" si="10"/>
        <v>0</v>
      </c>
      <c r="I123" s="199">
        <v>241043</v>
      </c>
      <c r="J123" s="192">
        <f t="shared" si="8"/>
        <v>7.1744145177561305E-6</v>
      </c>
      <c r="K123" s="216"/>
      <c r="L123" s="199">
        <f t="shared" si="6"/>
        <v>241043</v>
      </c>
      <c r="M123" s="192">
        <v>1</v>
      </c>
      <c r="O123" s="130"/>
      <c r="Q123" s="187"/>
    </row>
    <row r="124" spans="1:17" s="131" customFormat="1" ht="15">
      <c r="A124" s="130"/>
      <c r="C124" s="188"/>
      <c r="D124" s="202" t="s">
        <v>507</v>
      </c>
      <c r="E124" s="231"/>
      <c r="F124" s="191" t="e">
        <f>E124/E$116</f>
        <v>#DIV/0!</v>
      </c>
      <c r="G124" s="232">
        <v>236329543</v>
      </c>
      <c r="H124" s="192">
        <f t="shared" si="10"/>
        <v>1.000916516076217E-2</v>
      </c>
      <c r="I124" s="232">
        <v>253721228</v>
      </c>
      <c r="J124" s="191">
        <f t="shared" si="8"/>
        <v>7.5517698569388583E-3</v>
      </c>
      <c r="K124" s="230"/>
      <c r="L124" s="190">
        <f t="shared" si="6"/>
        <v>17391685</v>
      </c>
      <c r="M124" s="192">
        <f t="shared" si="7"/>
        <v>7.3590820594105752E-2</v>
      </c>
      <c r="O124" s="130"/>
      <c r="Q124" s="187"/>
    </row>
    <row r="125" spans="1:17" s="131" customFormat="1">
      <c r="A125" s="130"/>
      <c r="C125" s="197"/>
      <c r="D125" s="198" t="s">
        <v>510</v>
      </c>
      <c r="E125" s="199"/>
      <c r="F125" s="192" t="e">
        <f t="shared" si="11"/>
        <v>#DIV/0!</v>
      </c>
      <c r="G125" s="199">
        <v>7480000</v>
      </c>
      <c r="H125" s="192">
        <f t="shared" si="10"/>
        <v>3.1679727575363283E-4</v>
      </c>
      <c r="I125" s="199">
        <v>11750000</v>
      </c>
      <c r="J125" s="192">
        <f t="shared" si="8"/>
        <v>3.4972751991816617E-4</v>
      </c>
      <c r="K125" s="216"/>
      <c r="L125" s="199">
        <f t="shared" si="6"/>
        <v>4270000</v>
      </c>
      <c r="M125" s="192">
        <f t="shared" si="7"/>
        <v>0.57085561497326198</v>
      </c>
      <c r="O125" s="130"/>
      <c r="Q125" s="187"/>
    </row>
    <row r="126" spans="1:17" s="131" customFormat="1" ht="15" hidden="1">
      <c r="A126" s="130"/>
      <c r="C126" s="197"/>
      <c r="D126" s="198" t="s">
        <v>511</v>
      </c>
      <c r="E126" s="199"/>
      <c r="F126" s="192" t="e">
        <f t="shared" si="11"/>
        <v>#DIV/0!</v>
      </c>
      <c r="G126" s="199">
        <v>0</v>
      </c>
      <c r="H126" s="192">
        <f t="shared" si="10"/>
        <v>0</v>
      </c>
      <c r="I126" s="199">
        <v>0</v>
      </c>
      <c r="J126" s="192">
        <f t="shared" si="8"/>
        <v>0</v>
      </c>
      <c r="K126" s="216"/>
      <c r="L126" s="190">
        <f t="shared" si="6"/>
        <v>0</v>
      </c>
      <c r="M126" s="192">
        <v>0</v>
      </c>
      <c r="O126" s="130"/>
      <c r="Q126" s="187"/>
    </row>
    <row r="127" spans="1:17" s="131" customFormat="1" ht="15">
      <c r="A127" s="130"/>
      <c r="C127" s="197"/>
      <c r="D127" s="233" t="s">
        <v>512</v>
      </c>
      <c r="E127" s="199"/>
      <c r="F127" s="192" t="e">
        <f t="shared" si="11"/>
        <v>#DIV/0!</v>
      </c>
      <c r="G127" s="199">
        <v>33539547</v>
      </c>
      <c r="H127" s="192">
        <f t="shared" si="10"/>
        <v>1.4204862459372899E-3</v>
      </c>
      <c r="I127" s="199">
        <v>27464793</v>
      </c>
      <c r="J127" s="192">
        <f t="shared" si="8"/>
        <v>8.1746331412389881E-4</v>
      </c>
      <c r="K127" s="216"/>
      <c r="L127" s="190">
        <f t="shared" si="6"/>
        <v>-6074754</v>
      </c>
      <c r="M127" s="192">
        <f t="shared" si="7"/>
        <v>-0.18112212427913829</v>
      </c>
      <c r="O127" s="130"/>
      <c r="Q127" s="187"/>
    </row>
    <row r="128" spans="1:17" s="131" customFormat="1" ht="15">
      <c r="A128" s="130"/>
      <c r="C128" s="188"/>
      <c r="D128" s="198" t="s">
        <v>513</v>
      </c>
      <c r="E128" s="190"/>
      <c r="F128" s="191" t="e">
        <f t="shared" si="11"/>
        <v>#DIV/0!</v>
      </c>
      <c r="G128" s="199">
        <v>1269927220</v>
      </c>
      <c r="H128" s="192">
        <f t="shared" si="10"/>
        <v>5.378469033440967E-2</v>
      </c>
      <c r="I128" s="199">
        <v>1168272460</v>
      </c>
      <c r="J128" s="191">
        <f t="shared" si="8"/>
        <v>3.4772513193574044E-2</v>
      </c>
      <c r="K128" s="230"/>
      <c r="L128" s="190">
        <f t="shared" si="6"/>
        <v>-101654760</v>
      </c>
      <c r="M128" s="192">
        <f t="shared" si="7"/>
        <v>-8.0047705411023476E-2</v>
      </c>
      <c r="O128" s="130"/>
      <c r="Q128" s="187"/>
    </row>
    <row r="129" spans="1:17" s="131" customFormat="1" ht="15">
      <c r="A129" s="130"/>
      <c r="C129" s="188"/>
      <c r="D129" s="202" t="s">
        <v>514</v>
      </c>
      <c r="E129" s="190"/>
      <c r="F129" s="191" t="e">
        <f t="shared" si="11"/>
        <v>#DIV/0!</v>
      </c>
      <c r="G129" s="199">
        <v>0</v>
      </c>
      <c r="H129" s="192">
        <f t="shared" si="10"/>
        <v>0</v>
      </c>
      <c r="I129" s="199">
        <v>33171040</v>
      </c>
      <c r="J129" s="191">
        <f t="shared" si="8"/>
        <v>9.8730430232393937E-4</v>
      </c>
      <c r="K129" s="230"/>
      <c r="L129" s="190">
        <f t="shared" si="6"/>
        <v>33171040</v>
      </c>
      <c r="M129" s="192">
        <v>1</v>
      </c>
      <c r="O129" s="130"/>
      <c r="Q129" s="187"/>
    </row>
    <row r="130" spans="1:17" s="131" customFormat="1">
      <c r="A130" s="130"/>
      <c r="C130" s="197"/>
      <c r="D130" s="198" t="s">
        <v>515</v>
      </c>
      <c r="E130" s="199"/>
      <c r="F130" s="192" t="e">
        <f t="shared" si="11"/>
        <v>#DIV/0!</v>
      </c>
      <c r="G130" s="199">
        <v>0</v>
      </c>
      <c r="H130" s="192">
        <f t="shared" si="10"/>
        <v>0</v>
      </c>
      <c r="I130" s="199">
        <v>4106305</v>
      </c>
      <c r="J130" s="192">
        <f t="shared" si="8"/>
        <v>1.2222024371723962E-4</v>
      </c>
      <c r="K130" s="216"/>
      <c r="L130" s="199">
        <f t="shared" si="6"/>
        <v>4106305</v>
      </c>
      <c r="M130" s="192">
        <v>1</v>
      </c>
      <c r="O130" s="130"/>
      <c r="Q130" s="187"/>
    </row>
    <row r="131" spans="1:17" s="131" customFormat="1">
      <c r="A131" s="130"/>
      <c r="C131" s="197"/>
      <c r="D131" s="198" t="s">
        <v>516</v>
      </c>
      <c r="E131" s="199"/>
      <c r="F131" s="192" t="e">
        <f t="shared" si="11"/>
        <v>#DIV/0!</v>
      </c>
      <c r="G131" s="199">
        <v>315386960</v>
      </c>
      <c r="H131" s="192">
        <f t="shared" si="10"/>
        <v>1.3357450499494649E-2</v>
      </c>
      <c r="I131" s="199">
        <v>202327044</v>
      </c>
      <c r="J131" s="192">
        <f t="shared" si="8"/>
        <v>6.0220710902547823E-3</v>
      </c>
      <c r="K131" s="216"/>
      <c r="L131" s="199">
        <f t="shared" si="6"/>
        <v>-113059916</v>
      </c>
      <c r="M131" s="192">
        <f t="shared" si="7"/>
        <v>-0.35847999549505788</v>
      </c>
      <c r="O131" s="130"/>
      <c r="Q131" s="187"/>
    </row>
    <row r="132" spans="1:17" s="131" customFormat="1">
      <c r="A132" s="130"/>
      <c r="C132" s="197"/>
      <c r="D132" s="198"/>
      <c r="E132" s="199"/>
      <c r="F132" s="192" t="e">
        <f>+E132/$E$22</f>
        <v>#DIV/0!</v>
      </c>
      <c r="G132" s="199"/>
      <c r="H132" s="192"/>
      <c r="I132" s="199"/>
      <c r="J132" s="192"/>
      <c r="K132" s="216"/>
      <c r="L132" s="199"/>
      <c r="M132" s="192"/>
      <c r="O132" s="130"/>
      <c r="Q132" s="187"/>
    </row>
    <row r="133" spans="1:17" s="131" customFormat="1" ht="15">
      <c r="A133" s="130"/>
      <c r="C133" s="188" t="s">
        <v>517</v>
      </c>
      <c r="D133" s="195" t="s">
        <v>518</v>
      </c>
      <c r="E133" s="199"/>
      <c r="F133" s="192" t="e">
        <f>+E133/$E$22</f>
        <v>#DIV/0!</v>
      </c>
      <c r="G133" s="190">
        <f>+SUM(G134:G135)</f>
        <v>3417134853</v>
      </c>
      <c r="H133" s="192">
        <f>G133/G$22</f>
        <v>0.14472446688679019</v>
      </c>
      <c r="I133" s="190">
        <f>+SUM(I134:I135)</f>
        <v>4377079408</v>
      </c>
      <c r="J133" s="192">
        <f t="shared" si="8"/>
        <v>0.13027958517827362</v>
      </c>
      <c r="K133" s="216"/>
      <c r="L133" s="199">
        <f t="shared" si="6"/>
        <v>959944555</v>
      </c>
      <c r="M133" s="192">
        <f t="shared" si="7"/>
        <v>0.28092088732091958</v>
      </c>
      <c r="O133" s="130"/>
      <c r="Q133" s="187"/>
    </row>
    <row r="134" spans="1:17" s="131" customFormat="1">
      <c r="A134" s="130"/>
      <c r="C134" s="197"/>
      <c r="D134" s="198" t="s">
        <v>519</v>
      </c>
      <c r="E134" s="199"/>
      <c r="F134" s="192" t="e">
        <f>+E134/$E$22</f>
        <v>#DIV/0!</v>
      </c>
      <c r="G134" s="199">
        <v>943833132</v>
      </c>
      <c r="H134" s="192">
        <f>G134/G$22</f>
        <v>3.9973765372141569E-2</v>
      </c>
      <c r="I134" s="199">
        <v>1648917902</v>
      </c>
      <c r="J134" s="192">
        <f t="shared" si="8"/>
        <v>4.9078465397031985E-2</v>
      </c>
      <c r="K134" s="216"/>
      <c r="L134" s="199">
        <f t="shared" si="6"/>
        <v>705084770</v>
      </c>
      <c r="M134" s="192">
        <f t="shared" si="7"/>
        <v>0.74704388529560539</v>
      </c>
      <c r="O134" s="130"/>
      <c r="Q134" s="187"/>
    </row>
    <row r="135" spans="1:17" s="131" customFormat="1">
      <c r="A135" s="130"/>
      <c r="C135" s="197"/>
      <c r="D135" s="198" t="s">
        <v>520</v>
      </c>
      <c r="E135" s="199"/>
      <c r="F135" s="192" t="e">
        <f>+E135/$E$22</f>
        <v>#DIV/0!</v>
      </c>
      <c r="G135" s="199">
        <v>2473301721</v>
      </c>
      <c r="H135" s="192">
        <f>G135/G$22</f>
        <v>0.10475070151464862</v>
      </c>
      <c r="I135" s="199">
        <v>2728161506</v>
      </c>
      <c r="J135" s="192">
        <f t="shared" si="8"/>
        <v>8.1201119781241643E-2</v>
      </c>
      <c r="K135" s="216"/>
      <c r="L135" s="199">
        <f t="shared" si="6"/>
        <v>254859785</v>
      </c>
      <c r="M135" s="192">
        <f t="shared" si="7"/>
        <v>0.10304435679483361</v>
      </c>
      <c r="O135" s="130"/>
      <c r="Q135" s="187"/>
    </row>
    <row r="136" spans="1:17" s="131" customFormat="1">
      <c r="A136" s="130"/>
      <c r="C136" s="197"/>
      <c r="D136" s="198"/>
      <c r="E136" s="199"/>
      <c r="F136" s="192" t="e">
        <f>+E136/$E$22</f>
        <v>#DIV/0!</v>
      </c>
      <c r="G136" s="199"/>
      <c r="H136" s="192"/>
      <c r="I136" s="199"/>
      <c r="J136" s="192">
        <f t="shared" si="8"/>
        <v>0</v>
      </c>
      <c r="K136" s="216"/>
      <c r="L136" s="199"/>
      <c r="M136" s="192"/>
      <c r="O136" s="130"/>
      <c r="Q136" s="187"/>
    </row>
    <row r="137" spans="1:17" s="131" customFormat="1" ht="15">
      <c r="A137" s="130"/>
      <c r="C137" s="188" t="s">
        <v>521</v>
      </c>
      <c r="D137" s="195" t="s">
        <v>128</v>
      </c>
      <c r="E137" s="190"/>
      <c r="F137" s="191" t="e">
        <f t="shared" si="11"/>
        <v>#DIV/0!</v>
      </c>
      <c r="G137" s="190">
        <f>+G138+G145+G151</f>
        <v>8782497058</v>
      </c>
      <c r="H137" s="191">
        <f t="shared" si="10"/>
        <v>0.37196138265891643</v>
      </c>
      <c r="I137" s="190">
        <f>+I138+I145+I151</f>
        <v>11872376743</v>
      </c>
      <c r="J137" s="192">
        <f t="shared" si="8"/>
        <v>0.35336994671178773</v>
      </c>
      <c r="K137" s="216"/>
      <c r="L137" s="199">
        <f t="shared" si="6"/>
        <v>3089879685</v>
      </c>
      <c r="M137" s="192">
        <f t="shared" si="7"/>
        <v>0.35182245602751672</v>
      </c>
      <c r="O137" s="130"/>
      <c r="Q137" s="187"/>
    </row>
    <row r="138" spans="1:17" s="131" customFormat="1" ht="15">
      <c r="A138" s="130"/>
      <c r="C138" s="197"/>
      <c r="D138" s="198" t="s">
        <v>229</v>
      </c>
      <c r="E138" s="199"/>
      <c r="F138" s="192" t="e">
        <f t="shared" si="11"/>
        <v>#DIV/0!</v>
      </c>
      <c r="G138" s="190">
        <f>+G139+G142</f>
        <v>7000000000</v>
      </c>
      <c r="H138" s="192">
        <f t="shared" si="10"/>
        <v>0.29646803880687567</v>
      </c>
      <c r="I138" s="190">
        <f>+I139+I142</f>
        <v>9285115000</v>
      </c>
      <c r="J138" s="192">
        <f t="shared" si="8"/>
        <v>0.27636257371106077</v>
      </c>
      <c r="K138" s="216"/>
      <c r="L138" s="199">
        <f t="shared" si="6"/>
        <v>2285115000</v>
      </c>
      <c r="M138" s="192">
        <f t="shared" si="7"/>
        <v>0.32644499999999999</v>
      </c>
      <c r="O138" s="130"/>
      <c r="Q138" s="187"/>
    </row>
    <row r="139" spans="1:17" s="131" customFormat="1" ht="15">
      <c r="A139" s="130"/>
      <c r="C139" s="197"/>
      <c r="D139" s="198" t="s">
        <v>522</v>
      </c>
      <c r="E139" s="199"/>
      <c r="F139" s="192" t="e">
        <f t="shared" si="11"/>
        <v>#DIV/0!</v>
      </c>
      <c r="G139" s="190">
        <f>+G140</f>
        <v>6200000000</v>
      </c>
      <c r="H139" s="192">
        <f t="shared" si="10"/>
        <v>0.262585977228947</v>
      </c>
      <c r="I139" s="190">
        <f>+SUM(I140:I141)</f>
        <v>9285115000</v>
      </c>
      <c r="J139" s="192">
        <f t="shared" si="8"/>
        <v>0.27636257371106077</v>
      </c>
      <c r="K139" s="216"/>
      <c r="L139" s="199">
        <f t="shared" si="6"/>
        <v>3085115000</v>
      </c>
      <c r="M139" s="192">
        <f t="shared" si="7"/>
        <v>0.49759919354838711</v>
      </c>
      <c r="O139" s="130"/>
      <c r="Q139" s="187"/>
    </row>
    <row r="140" spans="1:17" s="131" customFormat="1">
      <c r="A140" s="130"/>
      <c r="C140" s="197"/>
      <c r="D140" s="198" t="s">
        <v>230</v>
      </c>
      <c r="E140" s="199"/>
      <c r="F140" s="192" t="e">
        <f t="shared" si="11"/>
        <v>#DIV/0!</v>
      </c>
      <c r="G140" s="199">
        <v>6200000000</v>
      </c>
      <c r="H140" s="192">
        <f t="shared" si="10"/>
        <v>0.262585977228947</v>
      </c>
      <c r="I140" s="199">
        <v>7500000000</v>
      </c>
      <c r="J140" s="192">
        <f t="shared" si="8"/>
        <v>0.22323033186265928</v>
      </c>
      <c r="K140" s="216"/>
      <c r="L140" s="199">
        <f t="shared" si="6"/>
        <v>1300000000</v>
      </c>
      <c r="M140" s="192">
        <f t="shared" si="7"/>
        <v>0.20967741935483872</v>
      </c>
      <c r="O140" s="130"/>
      <c r="Q140" s="187"/>
    </row>
    <row r="141" spans="1:17" s="131" customFormat="1">
      <c r="A141" s="130"/>
      <c r="C141" s="197"/>
      <c r="D141" s="198" t="s">
        <v>523</v>
      </c>
      <c r="E141" s="199"/>
      <c r="F141" s="192" t="e">
        <f t="shared" si="11"/>
        <v>#DIV/0!</v>
      </c>
      <c r="G141" s="199">
        <v>0</v>
      </c>
      <c r="H141" s="192">
        <f t="shared" si="10"/>
        <v>0</v>
      </c>
      <c r="I141" s="199">
        <v>1785115000</v>
      </c>
      <c r="J141" s="192">
        <f t="shared" si="8"/>
        <v>5.3132241848401471E-2</v>
      </c>
      <c r="K141" s="216"/>
      <c r="L141" s="199">
        <f t="shared" si="6"/>
        <v>1785115000</v>
      </c>
      <c r="M141" s="192">
        <v>1</v>
      </c>
      <c r="O141" s="130"/>
      <c r="Q141" s="187"/>
    </row>
    <row r="142" spans="1:17" s="131" customFormat="1">
      <c r="A142" s="130"/>
      <c r="C142" s="197"/>
      <c r="D142" s="233" t="s">
        <v>524</v>
      </c>
      <c r="E142" s="199"/>
      <c r="F142" s="192"/>
      <c r="G142" s="199">
        <v>800000000</v>
      </c>
      <c r="H142" s="192">
        <f t="shared" si="10"/>
        <v>3.3882061577928647E-2</v>
      </c>
      <c r="I142" s="199">
        <v>0</v>
      </c>
      <c r="J142" s="192"/>
      <c r="K142" s="216"/>
      <c r="L142" s="199">
        <f t="shared" si="6"/>
        <v>-800000000</v>
      </c>
      <c r="M142" s="192">
        <f t="shared" si="7"/>
        <v>-1</v>
      </c>
      <c r="O142" s="130"/>
      <c r="Q142" s="187"/>
    </row>
    <row r="143" spans="1:17" s="131" customFormat="1">
      <c r="A143" s="130"/>
      <c r="C143" s="197"/>
      <c r="D143" s="233"/>
      <c r="E143" s="199"/>
      <c r="F143" s="192" t="e">
        <f t="shared" si="11"/>
        <v>#DIV/0!</v>
      </c>
      <c r="G143" s="199"/>
      <c r="H143" s="192"/>
      <c r="I143" s="199"/>
      <c r="J143" s="192">
        <f t="shared" si="8"/>
        <v>0</v>
      </c>
      <c r="K143" s="216"/>
      <c r="L143" s="199"/>
      <c r="M143" s="192"/>
      <c r="O143" s="130"/>
      <c r="Q143" s="187"/>
    </row>
    <row r="144" spans="1:17" s="131" customFormat="1" ht="15">
      <c r="A144" s="130"/>
      <c r="C144" s="188" t="s">
        <v>525</v>
      </c>
      <c r="D144" s="215" t="s">
        <v>344</v>
      </c>
      <c r="E144" s="190"/>
      <c r="F144" s="191" t="e">
        <f t="shared" si="11"/>
        <v>#DIV/0!</v>
      </c>
      <c r="G144" s="190">
        <f>+G145+G151</f>
        <v>1782497058</v>
      </c>
      <c r="H144" s="191">
        <f t="shared" si="10"/>
        <v>7.5493343852040803E-2</v>
      </c>
      <c r="I144" s="190">
        <f>+I145+I151</f>
        <v>2587261743</v>
      </c>
      <c r="J144" s="191">
        <f t="shared" si="8"/>
        <v>7.7007373000726964E-2</v>
      </c>
      <c r="K144" s="230"/>
      <c r="L144" s="190">
        <f t="shared" si="6"/>
        <v>804764685</v>
      </c>
      <c r="M144" s="192">
        <f t="shared" si="7"/>
        <v>0.45148163436688266</v>
      </c>
      <c r="O144" s="130"/>
      <c r="Q144" s="187"/>
    </row>
    <row r="145" spans="1:17" s="131" customFormat="1" ht="15">
      <c r="A145" s="130"/>
      <c r="C145" s="188" t="s">
        <v>526</v>
      </c>
      <c r="D145" s="195" t="s">
        <v>248</v>
      </c>
      <c r="E145" s="199"/>
      <c r="F145" s="192" t="e">
        <f t="shared" si="11"/>
        <v>#DIV/0!</v>
      </c>
      <c r="G145" s="190">
        <f>+SUM(G146:G149)</f>
        <v>656795137</v>
      </c>
      <c r="H145" s="192">
        <f t="shared" si="10"/>
        <v>2.7816966594897602E-2</v>
      </c>
      <c r="I145" s="190">
        <f>+SUM(I146:I149)</f>
        <v>1631957666</v>
      </c>
      <c r="J145" s="192">
        <f t="shared" si="8"/>
        <v>4.857366018226545E-2</v>
      </c>
      <c r="K145" s="216"/>
      <c r="L145" s="199">
        <f t="shared" si="6"/>
        <v>975162529</v>
      </c>
      <c r="M145" s="192">
        <f t="shared" si="7"/>
        <v>1.4847286072399772</v>
      </c>
      <c r="O145" s="130"/>
      <c r="Q145" s="187"/>
    </row>
    <row r="146" spans="1:17" s="131" customFormat="1">
      <c r="A146" s="130"/>
      <c r="C146" s="197"/>
      <c r="D146" s="198" t="s">
        <v>527</v>
      </c>
      <c r="E146" s="199"/>
      <c r="F146" s="192" t="e">
        <f t="shared" si="11"/>
        <v>#DIV/0!</v>
      </c>
      <c r="G146" s="199">
        <v>239813237</v>
      </c>
      <c r="H146" s="192">
        <f t="shared" si="10"/>
        <v>1.0156708579045494E-2</v>
      </c>
      <c r="I146" s="199">
        <v>286514157</v>
      </c>
      <c r="J146" s="192">
        <f t="shared" si="8"/>
        <v>8.5278200467280088E-3</v>
      </c>
      <c r="K146" s="216"/>
      <c r="L146" s="199">
        <f t="shared" si="6"/>
        <v>46700920</v>
      </c>
      <c r="M146" s="192">
        <f t="shared" si="7"/>
        <v>0.19473870827238782</v>
      </c>
      <c r="O146" s="130"/>
      <c r="Q146" s="187"/>
    </row>
    <row r="147" spans="1:17" s="131" customFormat="1" ht="15">
      <c r="A147" s="130"/>
      <c r="C147" s="197"/>
      <c r="D147" s="202" t="s">
        <v>528</v>
      </c>
      <c r="E147" s="199"/>
      <c r="F147" s="192" t="e">
        <f t="shared" si="11"/>
        <v>#DIV/0!</v>
      </c>
      <c r="G147" s="199">
        <v>103401319</v>
      </c>
      <c r="H147" s="192">
        <f t="shared" si="10"/>
        <v>4.3793123219963035E-3</v>
      </c>
      <c r="I147" s="199">
        <v>331862928</v>
      </c>
      <c r="J147" s="192">
        <f t="shared" si="8"/>
        <v>9.8775828733805061E-3</v>
      </c>
      <c r="K147" s="216"/>
      <c r="L147" s="190">
        <f t="shared" si="6"/>
        <v>228461609</v>
      </c>
      <c r="M147" s="192">
        <f t="shared" si="7"/>
        <v>2.2094651326449712</v>
      </c>
      <c r="O147" s="130"/>
      <c r="Q147" s="187"/>
    </row>
    <row r="148" spans="1:17" s="131" customFormat="1">
      <c r="A148" s="130"/>
      <c r="C148" s="197"/>
      <c r="D148" s="202" t="s">
        <v>529</v>
      </c>
      <c r="E148" s="199"/>
      <c r="F148" s="192" t="e">
        <f t="shared" si="11"/>
        <v>#DIV/0!</v>
      </c>
      <c r="G148" s="199">
        <v>313580581</v>
      </c>
      <c r="H148" s="192">
        <f t="shared" si="10"/>
        <v>1.3280945693855802E-2</v>
      </c>
      <c r="I148" s="199">
        <v>313580581</v>
      </c>
      <c r="J148" s="192">
        <f t="shared" si="8"/>
        <v>9.3334262883087351E-3</v>
      </c>
      <c r="K148" s="216"/>
      <c r="L148" s="199">
        <f t="shared" si="6"/>
        <v>0</v>
      </c>
      <c r="M148" s="192">
        <f t="shared" si="7"/>
        <v>0</v>
      </c>
      <c r="O148" s="130"/>
      <c r="Q148" s="187"/>
    </row>
    <row r="149" spans="1:17" s="131" customFormat="1">
      <c r="A149" s="130"/>
      <c r="C149" s="197"/>
      <c r="D149" s="202" t="s">
        <v>530</v>
      </c>
      <c r="E149" s="199"/>
      <c r="F149" s="192" t="e">
        <f t="shared" si="11"/>
        <v>#DIV/0!</v>
      </c>
      <c r="G149" s="199">
        <v>0</v>
      </c>
      <c r="H149" s="192">
        <f t="shared" si="10"/>
        <v>0</v>
      </c>
      <c r="I149" s="199">
        <v>700000000</v>
      </c>
      <c r="J149" s="192">
        <f t="shared" si="8"/>
        <v>2.0834830973848199E-2</v>
      </c>
      <c r="K149" s="216"/>
      <c r="L149" s="199">
        <f t="shared" si="6"/>
        <v>700000000</v>
      </c>
      <c r="M149" s="192">
        <v>1</v>
      </c>
      <c r="O149" s="130"/>
      <c r="Q149" s="187"/>
    </row>
    <row r="150" spans="1:17" s="131" customFormat="1" ht="15">
      <c r="A150" s="130"/>
      <c r="C150" s="188"/>
      <c r="D150" s="215"/>
      <c r="E150" s="190"/>
      <c r="F150" s="191" t="e">
        <f t="shared" si="11"/>
        <v>#DIV/0!</v>
      </c>
      <c r="G150" s="190"/>
      <c r="H150" s="191"/>
      <c r="I150" s="190"/>
      <c r="J150" s="191">
        <f t="shared" si="8"/>
        <v>0</v>
      </c>
      <c r="K150" s="230"/>
      <c r="L150" s="190"/>
      <c r="M150" s="192"/>
      <c r="O150" s="130"/>
      <c r="Q150" s="187"/>
    </row>
    <row r="151" spans="1:17" s="131" customFormat="1" ht="15">
      <c r="A151" s="130"/>
      <c r="C151" s="188" t="s">
        <v>531</v>
      </c>
      <c r="D151" s="195" t="s">
        <v>246</v>
      </c>
      <c r="E151" s="199"/>
      <c r="F151" s="192" t="e">
        <f t="shared" si="11"/>
        <v>#DIV/0!</v>
      </c>
      <c r="G151" s="190">
        <f>+G152</f>
        <v>1125701921</v>
      </c>
      <c r="H151" s="192">
        <f t="shared" si="10"/>
        <v>4.7676377257143208E-2</v>
      </c>
      <c r="I151" s="190">
        <f>+I152</f>
        <v>955304077</v>
      </c>
      <c r="J151" s="192">
        <f t="shared" si="8"/>
        <v>2.8433712818461521E-2</v>
      </c>
      <c r="K151" s="216"/>
      <c r="L151" s="199">
        <f>I151-G151</f>
        <v>-170397844</v>
      </c>
      <c r="M151" s="192">
        <f>L151/G151</f>
        <v>-0.15137030578097416</v>
      </c>
      <c r="O151" s="130"/>
      <c r="Q151" s="187"/>
    </row>
    <row r="152" spans="1:17" s="131" customFormat="1" ht="15">
      <c r="A152" s="130"/>
      <c r="C152" s="188"/>
      <c r="D152" s="202" t="s">
        <v>532</v>
      </c>
      <c r="E152" s="190"/>
      <c r="F152" s="191" t="e">
        <f t="shared" si="11"/>
        <v>#DIV/0!</v>
      </c>
      <c r="G152" s="199">
        <v>1125701921</v>
      </c>
      <c r="H152" s="191">
        <f t="shared" si="10"/>
        <v>4.7676377257143208E-2</v>
      </c>
      <c r="I152" s="199">
        <v>955304077</v>
      </c>
      <c r="J152" s="191">
        <f t="shared" si="8"/>
        <v>2.8433712818461521E-2</v>
      </c>
      <c r="K152" s="230"/>
      <c r="L152" s="190">
        <f>I152-G152</f>
        <v>-170397844</v>
      </c>
      <c r="M152" s="192">
        <f>L152/G152</f>
        <v>-0.15137030578097416</v>
      </c>
      <c r="O152" s="130"/>
      <c r="Q152" s="187"/>
    </row>
    <row r="153" spans="1:17" s="131" customFormat="1">
      <c r="A153" s="130"/>
      <c r="C153" s="234"/>
      <c r="D153" s="198"/>
      <c r="E153" s="199"/>
      <c r="F153" s="192" t="e">
        <f t="shared" si="11"/>
        <v>#DIV/0!</v>
      </c>
      <c r="G153" s="199"/>
      <c r="H153" s="192"/>
      <c r="I153" s="199"/>
      <c r="J153" s="192">
        <f t="shared" si="8"/>
        <v>0</v>
      </c>
      <c r="K153" s="216"/>
      <c r="L153" s="199"/>
      <c r="M153" s="192"/>
      <c r="O153" s="130"/>
      <c r="Q153" s="187"/>
    </row>
    <row r="154" spans="1:17" s="131" customFormat="1" ht="15.75" thickBot="1">
      <c r="A154" s="130"/>
      <c r="C154" s="235"/>
      <c r="D154" s="222"/>
      <c r="E154" s="223"/>
      <c r="F154" s="224" t="e">
        <f>E154/#REF!</f>
        <v>#REF!</v>
      </c>
      <c r="G154" s="223"/>
      <c r="H154" s="224"/>
      <c r="I154" s="236"/>
      <c r="J154" s="224">
        <f>I154/I$22</f>
        <v>0</v>
      </c>
      <c r="K154" s="225"/>
      <c r="L154" s="223"/>
      <c r="M154" s="224"/>
      <c r="O154" s="130"/>
      <c r="Q154" s="187"/>
    </row>
    <row r="155" spans="1:17">
      <c r="A155" s="130"/>
      <c r="B155" s="131"/>
    </row>
    <row r="156" spans="1:17" ht="9.75" customHeight="1">
      <c r="A156" s="130"/>
      <c r="B156" s="241"/>
      <c r="C156" s="241"/>
      <c r="D156" s="241"/>
      <c r="E156" s="242"/>
      <c r="F156" s="242"/>
      <c r="G156" s="242"/>
      <c r="H156" s="242"/>
      <c r="I156" s="242"/>
      <c r="J156" s="242"/>
      <c r="K156" s="242"/>
      <c r="L156" s="242"/>
      <c r="M156" s="242"/>
      <c r="N156" s="242"/>
    </row>
    <row r="157" spans="1:17">
      <c r="I157" s="243">
        <f>+I137+I158</f>
        <v>16213147315</v>
      </c>
    </row>
    <row r="158" spans="1:17" ht="15">
      <c r="G158" s="244">
        <f>+G22-G137-G98</f>
        <v>1964625071</v>
      </c>
      <c r="I158" s="244">
        <f>+I22-I137-I98</f>
        <v>4340770572</v>
      </c>
      <c r="L158" s="243"/>
    </row>
    <row r="159" spans="1:17">
      <c r="D159" s="148"/>
      <c r="F159" s="238"/>
      <c r="G159" s="243">
        <f>+G137+G158</f>
        <v>10747122129</v>
      </c>
      <c r="I159" s="243"/>
      <c r="L159" s="243"/>
    </row>
    <row r="160" spans="1:17" ht="15" thickBot="1"/>
    <row r="161" spans="4:13" ht="15">
      <c r="D161" s="245" t="s">
        <v>4</v>
      </c>
      <c r="E161" s="227">
        <f>I22</f>
        <v>33597584779</v>
      </c>
      <c r="F161" s="246"/>
      <c r="G161" s="186">
        <f>G22</f>
        <v>23611314151</v>
      </c>
      <c r="H161" s="246"/>
      <c r="I161" s="186">
        <f>I22</f>
        <v>33597584779</v>
      </c>
      <c r="J161" s="246"/>
      <c r="K161" s="246"/>
      <c r="L161" s="227"/>
      <c r="M161" s="247"/>
    </row>
    <row r="162" spans="4:13" ht="15">
      <c r="D162" s="248" t="s">
        <v>533</v>
      </c>
      <c r="E162" s="232">
        <f>I116</f>
        <v>0</v>
      </c>
      <c r="F162" s="249"/>
      <c r="G162" s="231">
        <f>+G137+G98</f>
        <v>21646689080</v>
      </c>
      <c r="H162" s="249"/>
      <c r="I162" s="231">
        <f>+I137+I98</f>
        <v>29256814207</v>
      </c>
      <c r="J162" s="249"/>
      <c r="K162" s="249"/>
      <c r="L162" s="232"/>
      <c r="M162" s="250"/>
    </row>
    <row r="163" spans="4:13" ht="15.75" thickBot="1">
      <c r="D163" s="251" t="s">
        <v>534</v>
      </c>
      <c r="E163" s="252">
        <f>+E161-E162</f>
        <v>33597584779</v>
      </c>
      <c r="F163" s="253"/>
      <c r="G163" s="254">
        <f>+G161-G162</f>
        <v>1964625071</v>
      </c>
      <c r="H163" s="253"/>
      <c r="I163" s="254">
        <f>+I161-I162</f>
        <v>4340770572</v>
      </c>
      <c r="J163" s="253"/>
      <c r="K163" s="253"/>
      <c r="L163" s="253"/>
      <c r="M163" s="255"/>
    </row>
    <row r="164" spans="4:13" ht="15">
      <c r="D164" s="256"/>
      <c r="E164" s="187"/>
      <c r="F164" s="257"/>
      <c r="G164" s="187"/>
      <c r="H164" s="257"/>
      <c r="I164" s="257"/>
      <c r="J164" s="257"/>
      <c r="K164" s="257"/>
      <c r="L164" s="257"/>
      <c r="M164" s="257"/>
    </row>
  </sheetData>
  <phoneticPr fontId="19" type="noConversion"/>
  <printOptions horizontalCentered="1"/>
  <pageMargins left="0.59055118110236227" right="0.59055118110236227" top="0.78740157480314965" bottom="0.70866141732283472" header="0" footer="0.39370078740157483"/>
  <pageSetup paperSize="9" scale="64" orientation="landscape" horizontalDpi="4294967293" verticalDpi="300" r:id="rId1"/>
  <headerFooter alignWithMargins="0">
    <oddFooter>&amp;R&amp;A Pag. Nº &amp;P de &amp;N</oddFooter>
  </headerFooter>
  <rowBreaks count="4" manualBreakCount="4">
    <brk id="52" max="16383" man="1"/>
    <brk id="83" max="21" man="1"/>
    <brk id="115" max="16383" man="1"/>
    <brk id="147" max="2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I46"/>
  <sheetViews>
    <sheetView workbookViewId="0">
      <selection activeCell="A26" sqref="A26"/>
    </sheetView>
  </sheetViews>
  <sheetFormatPr baseColWidth="10" defaultRowHeight="12.75"/>
  <cols>
    <col min="1" max="1" width="5.140625" customWidth="1"/>
    <col min="2" max="2" width="20.7109375" customWidth="1"/>
    <col min="3" max="3" width="12.28515625" bestFit="1" customWidth="1"/>
    <col min="4" max="4" width="32.5703125" bestFit="1" customWidth="1"/>
    <col min="6" max="6" width="13.42578125" customWidth="1"/>
    <col min="7" max="7" width="6.85546875" style="886" bestFit="1" customWidth="1"/>
    <col min="8" max="8" width="14.5703125" bestFit="1" customWidth="1"/>
    <col min="9" max="9" width="16.85546875" bestFit="1" customWidth="1"/>
  </cols>
  <sheetData>
    <row r="7" spans="1:9" s="4" customFormat="1">
      <c r="A7" s="4" t="s">
        <v>1111</v>
      </c>
      <c r="G7" s="1080"/>
    </row>
    <row r="9" spans="1:9" s="1081" customFormat="1" ht="15">
      <c r="A9" s="1085" t="s">
        <v>1302</v>
      </c>
      <c r="B9" s="1082"/>
      <c r="C9" s="1082"/>
      <c r="D9" s="1082"/>
      <c r="E9" s="1082"/>
      <c r="F9" s="1082"/>
    </row>
    <row r="10" spans="1:9" s="1081" customFormat="1" ht="15">
      <c r="A10" s="1085" t="s">
        <v>1303</v>
      </c>
      <c r="B10" s="1082"/>
      <c r="C10" s="1082"/>
      <c r="D10" s="1082"/>
      <c r="E10" s="1082"/>
      <c r="F10" s="1082"/>
    </row>
    <row r="11" spans="1:9" s="1081" customFormat="1" ht="15">
      <c r="A11" s="1085" t="s">
        <v>1304</v>
      </c>
      <c r="B11" s="1082"/>
      <c r="C11" s="1082"/>
      <c r="D11" s="1082"/>
      <c r="E11" s="1082"/>
      <c r="F11" s="1082"/>
    </row>
    <row r="12" spans="1:9" s="1081" customFormat="1" ht="15">
      <c r="A12" s="1085"/>
      <c r="B12" s="1082"/>
      <c r="C12" s="1082"/>
      <c r="D12" s="1082"/>
      <c r="E12" s="1082"/>
      <c r="F12" s="1082"/>
    </row>
    <row r="13" spans="1:9" s="886" customFormat="1" ht="15">
      <c r="A13" s="1085" t="s">
        <v>1299</v>
      </c>
    </row>
    <row r="14" spans="1:9" s="886" customFormat="1" ht="15">
      <c r="A14" s="1085" t="s">
        <v>1300</v>
      </c>
      <c r="B14" s="1082"/>
      <c r="C14" s="1082"/>
      <c r="D14" s="1082"/>
      <c r="E14" s="1082"/>
      <c r="F14" s="1082"/>
      <c r="G14" s="1082"/>
      <c r="H14" s="1082"/>
      <c r="I14" s="1082"/>
    </row>
    <row r="15" spans="1:9" s="886" customFormat="1" ht="15">
      <c r="A15" s="1085" t="s">
        <v>1301</v>
      </c>
      <c r="B15" s="1082"/>
      <c r="C15" s="1082"/>
      <c r="D15" s="1082"/>
      <c r="E15" s="1082"/>
      <c r="F15" s="1082"/>
      <c r="G15" s="1082"/>
      <c r="H15" s="1082"/>
      <c r="I15" s="1082"/>
    </row>
    <row r="16" spans="1:9" s="886" customFormat="1" ht="15">
      <c r="A16" s="1085" t="s">
        <v>1112</v>
      </c>
      <c r="B16" s="1082"/>
      <c r="C16" s="1082"/>
      <c r="D16" s="1082"/>
      <c r="E16" s="1082"/>
      <c r="F16" s="1082"/>
      <c r="G16" s="1082"/>
      <c r="H16" s="1082"/>
    </row>
    <row r="23" spans="1:9" ht="18">
      <c r="A23" s="1098" t="s">
        <v>1113</v>
      </c>
      <c r="B23" s="1098"/>
      <c r="C23" s="1098"/>
      <c r="D23" s="1098"/>
      <c r="E23" s="1098"/>
      <c r="F23" s="1098"/>
      <c r="G23" s="1098"/>
      <c r="H23" s="1098"/>
      <c r="I23" s="1098"/>
    </row>
    <row r="25" spans="1:9" ht="13.5" thickBot="1"/>
    <row r="26" spans="1:9" ht="76.5" customHeight="1" thickBot="1">
      <c r="A26" s="418" t="s">
        <v>960</v>
      </c>
      <c r="B26" s="419" t="s">
        <v>961</v>
      </c>
      <c r="C26" s="419" t="s">
        <v>962</v>
      </c>
      <c r="D26" s="420" t="s">
        <v>963</v>
      </c>
      <c r="E26" s="420" t="s">
        <v>964</v>
      </c>
      <c r="F26" s="419" t="s">
        <v>965</v>
      </c>
      <c r="G26" s="1083" t="s">
        <v>966</v>
      </c>
      <c r="H26" s="419" t="s">
        <v>941</v>
      </c>
      <c r="I26" s="420" t="s">
        <v>967</v>
      </c>
    </row>
    <row r="27" spans="1:9" ht="21" customHeight="1" thickBot="1">
      <c r="A27" s="410">
        <v>1</v>
      </c>
      <c r="B27" s="423" t="s">
        <v>944</v>
      </c>
      <c r="C27" s="421" t="s">
        <v>942</v>
      </c>
      <c r="D27" s="421" t="s">
        <v>1305</v>
      </c>
      <c r="E27" s="421">
        <v>221</v>
      </c>
      <c r="F27" s="421" t="s">
        <v>943</v>
      </c>
      <c r="G27" s="1084">
        <v>221</v>
      </c>
      <c r="H27" s="422">
        <v>2210000000</v>
      </c>
      <c r="I27" s="421">
        <v>85</v>
      </c>
    </row>
    <row r="28" spans="1:9" ht="21" customHeight="1" thickBot="1">
      <c r="A28" s="410">
        <v>2</v>
      </c>
      <c r="B28" s="423" t="s">
        <v>1089</v>
      </c>
      <c r="C28" s="421" t="s">
        <v>942</v>
      </c>
      <c r="D28" s="421" t="s">
        <v>1306</v>
      </c>
      <c r="E28" s="421">
        <v>26</v>
      </c>
      <c r="F28" s="421" t="s">
        <v>943</v>
      </c>
      <c r="G28" s="1084">
        <v>26</v>
      </c>
      <c r="H28" s="422">
        <v>260000000</v>
      </c>
      <c r="I28" s="421">
        <v>10</v>
      </c>
    </row>
    <row r="29" spans="1:9" ht="21.75" customHeight="1" thickBot="1">
      <c r="A29" s="410">
        <v>3</v>
      </c>
      <c r="B29" s="411" t="s">
        <v>968</v>
      </c>
      <c r="C29" s="421" t="s">
        <v>942</v>
      </c>
      <c r="D29" s="421" t="s">
        <v>1307</v>
      </c>
      <c r="E29" s="421">
        <v>13</v>
      </c>
      <c r="F29" s="421" t="s">
        <v>943</v>
      </c>
      <c r="G29" s="1084">
        <v>13</v>
      </c>
      <c r="H29" s="422">
        <v>130000000</v>
      </c>
      <c r="I29" s="421">
        <v>5</v>
      </c>
    </row>
    <row r="34" spans="1:9" ht="18">
      <c r="A34" s="1098" t="s">
        <v>1114</v>
      </c>
      <c r="B34" s="1098"/>
      <c r="C34" s="1098"/>
      <c r="D34" s="1098"/>
      <c r="E34" s="1098"/>
      <c r="F34" s="1098"/>
      <c r="G34" s="1098"/>
      <c r="H34" s="1098"/>
      <c r="I34" s="1098"/>
    </row>
    <row r="35" spans="1:9" ht="13.5" thickBot="1"/>
    <row r="36" spans="1:9" ht="57.75" thickBot="1">
      <c r="A36" s="409" t="s">
        <v>960</v>
      </c>
      <c r="B36" s="419" t="s">
        <v>961</v>
      </c>
      <c r="C36" s="419" t="s">
        <v>962</v>
      </c>
      <c r="D36" s="420" t="s">
        <v>963</v>
      </c>
      <c r="E36" s="420" t="s">
        <v>964</v>
      </c>
      <c r="F36" s="419" t="s">
        <v>965</v>
      </c>
      <c r="G36" s="1083" t="s">
        <v>966</v>
      </c>
      <c r="H36" s="419" t="s">
        <v>941</v>
      </c>
      <c r="I36" s="420" t="s">
        <v>988</v>
      </c>
    </row>
    <row r="37" spans="1:9" ht="21" customHeight="1" thickBot="1">
      <c r="A37" s="410">
        <v>1</v>
      </c>
      <c r="B37" s="411" t="s">
        <v>944</v>
      </c>
      <c r="C37" s="421" t="s">
        <v>942</v>
      </c>
      <c r="D37" s="421" t="s">
        <v>1305</v>
      </c>
      <c r="E37" s="421">
        <v>221</v>
      </c>
      <c r="F37" s="421" t="s">
        <v>943</v>
      </c>
      <c r="G37" s="1084">
        <v>221</v>
      </c>
      <c r="H37" s="422">
        <v>2210000000</v>
      </c>
      <c r="I37" s="421">
        <v>85</v>
      </c>
    </row>
    <row r="38" spans="1:9" ht="21" customHeight="1" thickBot="1">
      <c r="A38" s="410">
        <v>2</v>
      </c>
      <c r="B38" s="423" t="s">
        <v>1089</v>
      </c>
      <c r="C38" s="421" t="s">
        <v>942</v>
      </c>
      <c r="D38" s="421" t="s">
        <v>1306</v>
      </c>
      <c r="E38" s="421">
        <v>26</v>
      </c>
      <c r="F38" s="421" t="s">
        <v>943</v>
      </c>
      <c r="G38" s="1084">
        <v>26</v>
      </c>
      <c r="H38" s="422">
        <v>260000000</v>
      </c>
      <c r="I38" s="421">
        <v>10</v>
      </c>
    </row>
    <row r="39" spans="1:9" ht="21" customHeight="1" thickBot="1">
      <c r="A39" s="410">
        <v>3</v>
      </c>
      <c r="B39" s="411" t="s">
        <v>968</v>
      </c>
      <c r="C39" s="421" t="s">
        <v>942</v>
      </c>
      <c r="D39" s="421" t="s">
        <v>1307</v>
      </c>
      <c r="E39" s="421">
        <v>13</v>
      </c>
      <c r="F39" s="421" t="s">
        <v>943</v>
      </c>
      <c r="G39" s="1084">
        <v>13</v>
      </c>
      <c r="H39" s="422">
        <v>130000000</v>
      </c>
      <c r="I39" s="421">
        <v>5</v>
      </c>
    </row>
    <row r="44" spans="1:9">
      <c r="A44" s="1094" t="s">
        <v>944</v>
      </c>
      <c r="B44" s="1094"/>
      <c r="C44" s="1094"/>
      <c r="D44" s="1094"/>
      <c r="E44" s="1094"/>
      <c r="F44" s="1094"/>
      <c r="G44" s="1094"/>
      <c r="H44" s="1094"/>
      <c r="I44" s="1094"/>
    </row>
    <row r="45" spans="1:9">
      <c r="A45" s="1094" t="s">
        <v>237</v>
      </c>
      <c r="B45" s="1094"/>
      <c r="C45" s="1094"/>
      <c r="D45" s="1094"/>
      <c r="E45" s="1094"/>
      <c r="F45" s="1094"/>
      <c r="G45" s="1094"/>
      <c r="H45" s="1094"/>
      <c r="I45" s="1094"/>
    </row>
    <row r="46" spans="1:9">
      <c r="A46" s="1094" t="s">
        <v>1149</v>
      </c>
      <c r="B46" s="1094"/>
      <c r="C46" s="1094"/>
      <c r="D46" s="1094"/>
      <c r="E46" s="1094"/>
      <c r="F46" s="1094"/>
      <c r="G46" s="1094"/>
      <c r="H46" s="1094"/>
      <c r="I46" s="1094"/>
    </row>
  </sheetData>
  <mergeCells count="5">
    <mergeCell ref="A23:I23"/>
    <mergeCell ref="A34:I34"/>
    <mergeCell ref="A44:I44"/>
    <mergeCell ref="A45:I45"/>
    <mergeCell ref="A46:I4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8"/>
  <sheetViews>
    <sheetView zoomScale="80" zoomScaleNormal="80" workbookViewId="0">
      <selection activeCell="K29" sqref="K29"/>
    </sheetView>
  </sheetViews>
  <sheetFormatPr baseColWidth="10" defaultRowHeight="12.75"/>
  <sheetData>
    <row r="6" spans="1:4" ht="14.25">
      <c r="A6" s="1099" t="s">
        <v>1115</v>
      </c>
      <c r="B6" s="1099"/>
      <c r="C6" s="1099"/>
      <c r="D6" s="1099"/>
    </row>
    <row r="7" spans="1:4" ht="14.25">
      <c r="A7" s="885"/>
    </row>
    <row r="8" spans="1:4" ht="15">
      <c r="A8" s="892" t="s">
        <v>1116</v>
      </c>
    </row>
    <row r="9" spans="1:4" ht="18">
      <c r="A9" s="893" t="s">
        <v>1117</v>
      </c>
    </row>
    <row r="10" spans="1:4" ht="18">
      <c r="A10" s="890"/>
    </row>
    <row r="11" spans="1:4" ht="15">
      <c r="A11" s="892" t="s">
        <v>1118</v>
      </c>
    </row>
    <row r="12" spans="1:4" ht="18">
      <c r="A12" s="894" t="s">
        <v>1119</v>
      </c>
    </row>
    <row r="26" spans="1:5">
      <c r="A26" s="1094" t="s">
        <v>944</v>
      </c>
      <c r="B26" s="1094"/>
      <c r="C26" s="1094"/>
      <c r="D26" s="1094"/>
      <c r="E26" s="1094"/>
    </row>
    <row r="27" spans="1:5">
      <c r="A27" s="1094" t="s">
        <v>237</v>
      </c>
      <c r="B27" s="1094"/>
      <c r="C27" s="1094"/>
      <c r="D27" s="1094"/>
      <c r="E27" s="1094"/>
    </row>
    <row r="28" spans="1:5">
      <c r="A28" s="1094" t="s">
        <v>1149</v>
      </c>
      <c r="B28" s="1094"/>
      <c r="C28" s="1094"/>
      <c r="D28" s="1094"/>
      <c r="E28" s="1094"/>
    </row>
  </sheetData>
  <mergeCells count="4">
    <mergeCell ref="A6:D6"/>
    <mergeCell ref="A26:E26"/>
    <mergeCell ref="A27:E27"/>
    <mergeCell ref="A28:E2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E22"/>
  <sheetViews>
    <sheetView workbookViewId="0">
      <selection activeCell="C16" sqref="C16"/>
    </sheetView>
  </sheetViews>
  <sheetFormatPr baseColWidth="10" defaultRowHeight="12.75"/>
  <sheetData>
    <row r="7" spans="1:2" ht="14.25">
      <c r="A7" s="896" t="s">
        <v>1120</v>
      </c>
      <c r="B7" s="896"/>
    </row>
    <row r="8" spans="1:2">
      <c r="A8" s="895"/>
    </row>
    <row r="9" spans="1:2" ht="15">
      <c r="A9" s="897" t="s">
        <v>1147</v>
      </c>
      <c r="B9" s="897"/>
    </row>
    <row r="20" spans="1:5">
      <c r="A20" s="1094" t="s">
        <v>944</v>
      </c>
      <c r="B20" s="1094"/>
      <c r="C20" s="1094"/>
      <c r="D20" s="1094"/>
      <c r="E20" s="1094"/>
    </row>
    <row r="21" spans="1:5">
      <c r="A21" s="1094" t="s">
        <v>237</v>
      </c>
      <c r="B21" s="1094"/>
      <c r="C21" s="1094"/>
      <c r="D21" s="1094"/>
      <c r="E21" s="1094"/>
    </row>
    <row r="22" spans="1:5">
      <c r="A22" s="1094" t="s">
        <v>1149</v>
      </c>
      <c r="B22" s="1094"/>
      <c r="C22" s="1094"/>
      <c r="D22" s="1094"/>
      <c r="E22" s="1094"/>
    </row>
  </sheetData>
  <mergeCells count="3">
    <mergeCell ref="A20:E20"/>
    <mergeCell ref="A21:E21"/>
    <mergeCell ref="A22:E2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I230"/>
  <sheetViews>
    <sheetView showGridLines="0" topLeftCell="A73" zoomScale="70" zoomScaleNormal="70" workbookViewId="0">
      <selection activeCell="D16" sqref="D16"/>
    </sheetView>
  </sheetViews>
  <sheetFormatPr baseColWidth="10" defaultColWidth="11.42578125" defaultRowHeight="15"/>
  <cols>
    <col min="1" max="1" width="2.28515625" style="472" customWidth="1"/>
    <col min="2" max="2" width="58.85546875" style="472" customWidth="1"/>
    <col min="3" max="3" width="23" style="472" bestFit="1" customWidth="1"/>
    <col min="4" max="4" width="23.42578125" style="472" bestFit="1" customWidth="1"/>
    <col min="5" max="5" width="1.5703125" style="472" customWidth="1"/>
    <col min="6" max="6" width="60.5703125" style="472" customWidth="1"/>
    <col min="7" max="7" width="23" style="472" bestFit="1" customWidth="1"/>
    <col min="8" max="8" width="23.42578125" style="472" bestFit="1" customWidth="1"/>
    <col min="9" max="16384" width="11.42578125" style="472"/>
  </cols>
  <sheetData>
    <row r="5" spans="2:8" ht="19.5">
      <c r="B5" s="1100"/>
      <c r="C5" s="1100"/>
      <c r="D5" s="1100"/>
      <c r="E5" s="1100"/>
      <c r="F5" s="1100"/>
      <c r="G5" s="1100"/>
      <c r="H5" s="1100"/>
    </row>
    <row r="6" spans="2:8" ht="16.5">
      <c r="B6" s="1101" t="s">
        <v>1197</v>
      </c>
      <c r="C6" s="1101"/>
      <c r="D6" s="1101"/>
      <c r="E6" s="1101"/>
      <c r="F6" s="1101"/>
      <c r="G6" s="1101"/>
      <c r="H6" s="1101"/>
    </row>
    <row r="7" spans="2:8" ht="18.75" thickBot="1">
      <c r="B7" s="1102" t="s">
        <v>1150</v>
      </c>
      <c r="C7" s="1102"/>
      <c r="D7" s="1102"/>
      <c r="E7" s="1102"/>
      <c r="F7" s="1102"/>
      <c r="G7" s="1102"/>
      <c r="H7" s="1102"/>
    </row>
    <row r="8" spans="2:8">
      <c r="B8" s="857"/>
      <c r="C8" s="858">
        <v>44196</v>
      </c>
      <c r="D8" s="859">
        <v>43830</v>
      </c>
      <c r="E8" s="860"/>
      <c r="F8" s="860"/>
      <c r="G8" s="858">
        <v>44196</v>
      </c>
      <c r="H8" s="861">
        <v>43830</v>
      </c>
    </row>
    <row r="9" spans="2:8" ht="15" customHeight="1">
      <c r="B9" s="1103" t="s">
        <v>4</v>
      </c>
      <c r="C9" s="1055" t="s">
        <v>538</v>
      </c>
      <c r="D9" s="1055" t="s">
        <v>674</v>
      </c>
      <c r="E9" s="856"/>
      <c r="F9" s="1105" t="s">
        <v>241</v>
      </c>
      <c r="G9" s="1055" t="s">
        <v>538</v>
      </c>
      <c r="H9" s="1074" t="s">
        <v>674</v>
      </c>
    </row>
    <row r="10" spans="2:8" ht="15.75" thickBot="1">
      <c r="B10" s="1104"/>
      <c r="C10" s="473" t="s">
        <v>189</v>
      </c>
      <c r="D10" s="473" t="s">
        <v>350</v>
      </c>
      <c r="E10" s="474"/>
      <c r="F10" s="1106"/>
      <c r="G10" s="473" t="s">
        <v>189</v>
      </c>
      <c r="H10" s="475" t="s">
        <v>350</v>
      </c>
    </row>
    <row r="11" spans="2:8">
      <c r="B11" s="476"/>
      <c r="C11" s="477"/>
      <c r="D11" s="477"/>
      <c r="E11" s="478"/>
      <c r="F11" s="479"/>
      <c r="G11" s="477"/>
      <c r="H11" s="480"/>
    </row>
    <row r="12" spans="2:8">
      <c r="B12" s="481" t="s">
        <v>5</v>
      </c>
      <c r="C12" s="1056"/>
      <c r="D12" s="1056"/>
      <c r="E12" s="482"/>
      <c r="F12" s="483" t="s">
        <v>94</v>
      </c>
      <c r="G12" s="1056"/>
      <c r="H12" s="1057"/>
    </row>
    <row r="13" spans="2:8">
      <c r="B13" s="484"/>
      <c r="C13" s="1058"/>
      <c r="D13" s="1058"/>
      <c r="E13" s="485"/>
      <c r="F13" s="486"/>
      <c r="G13" s="1056"/>
      <c r="H13" s="1057"/>
    </row>
    <row r="14" spans="2:8">
      <c r="B14" s="487" t="s">
        <v>700</v>
      </c>
      <c r="C14" s="488"/>
      <c r="D14" s="488"/>
      <c r="E14" s="485"/>
      <c r="F14" s="489" t="s">
        <v>691</v>
      </c>
      <c r="G14" s="488"/>
      <c r="H14" s="490"/>
    </row>
    <row r="15" spans="2:8">
      <c r="B15" s="491" t="s">
        <v>679</v>
      </c>
      <c r="C15" s="1059">
        <v>0</v>
      </c>
      <c r="D15" s="1059">
        <v>1339874</v>
      </c>
      <c r="E15" s="485"/>
      <c r="F15" s="492" t="s">
        <v>692</v>
      </c>
      <c r="G15" s="1059">
        <v>9307363750</v>
      </c>
      <c r="H15" s="1060">
        <v>11151691021</v>
      </c>
    </row>
    <row r="16" spans="2:8">
      <c r="B16" s="491" t="s">
        <v>680</v>
      </c>
      <c r="C16" s="1059"/>
      <c r="D16" s="1059"/>
      <c r="E16" s="485"/>
      <c r="F16" s="492" t="s">
        <v>693</v>
      </c>
      <c r="G16" s="1059">
        <v>57930870</v>
      </c>
      <c r="H16" s="1060">
        <v>44428353</v>
      </c>
    </row>
    <row r="17" spans="2:8" ht="30">
      <c r="B17" s="491" t="s">
        <v>681</v>
      </c>
      <c r="C17" s="1061">
        <v>9312811854</v>
      </c>
      <c r="D17" s="1059">
        <v>11600354490</v>
      </c>
      <c r="E17" s="485"/>
      <c r="F17" s="981" t="s">
        <v>1159</v>
      </c>
      <c r="G17" s="1059">
        <v>20636727</v>
      </c>
      <c r="H17" s="1060">
        <v>128268031</v>
      </c>
    </row>
    <row r="18" spans="2:8">
      <c r="B18" s="491"/>
      <c r="C18" s="493">
        <f>SUM(C15:C17)</f>
        <v>9312811854</v>
      </c>
      <c r="D18" s="493">
        <f>SUM(D15:D17)</f>
        <v>11601694364</v>
      </c>
      <c r="E18" s="485"/>
      <c r="F18" s="492" t="s">
        <v>695</v>
      </c>
      <c r="G18" s="1059">
        <v>0</v>
      </c>
      <c r="H18" s="1060">
        <v>0</v>
      </c>
    </row>
    <row r="19" spans="2:8">
      <c r="B19" s="491"/>
      <c r="C19" s="1062"/>
      <c r="D19" s="494"/>
      <c r="E19" s="485"/>
      <c r="F19" s="492" t="s">
        <v>696</v>
      </c>
      <c r="G19" s="1059">
        <v>0</v>
      </c>
      <c r="H19" s="1060">
        <v>0</v>
      </c>
    </row>
    <row r="20" spans="2:8">
      <c r="B20" s="487" t="s">
        <v>701</v>
      </c>
      <c r="C20" s="1062"/>
      <c r="D20" s="495"/>
      <c r="E20" s="485"/>
      <c r="F20" s="486"/>
      <c r="G20" s="493">
        <f>SUM(G15:G19)</f>
        <v>9385931347</v>
      </c>
      <c r="H20" s="496">
        <f>SUM(H15:H19)</f>
        <v>11324387405</v>
      </c>
    </row>
    <row r="21" spans="2:8">
      <c r="B21" s="491" t="s">
        <v>675</v>
      </c>
      <c r="C21" s="1062"/>
      <c r="D21" s="495"/>
      <c r="E21" s="485"/>
      <c r="F21" s="492"/>
      <c r="G21" s="1059"/>
      <c r="H21" s="1060"/>
    </row>
    <row r="22" spans="2:8">
      <c r="B22" s="491" t="s">
        <v>676</v>
      </c>
      <c r="C22" s="1062">
        <v>820623240</v>
      </c>
      <c r="D22" s="495">
        <v>321842471</v>
      </c>
      <c r="E22" s="485"/>
      <c r="F22" s="492"/>
      <c r="G22" s="1059"/>
      <c r="H22" s="1060"/>
    </row>
    <row r="23" spans="2:8">
      <c r="B23" s="491" t="s">
        <v>677</v>
      </c>
      <c r="C23" s="1063"/>
      <c r="D23" s="497"/>
      <c r="E23" s="498"/>
      <c r="F23" s="489" t="s">
        <v>697</v>
      </c>
      <c r="G23" s="488"/>
      <c r="H23" s="490"/>
    </row>
    <row r="24" spans="2:8">
      <c r="B24" s="491"/>
      <c r="C24" s="493">
        <f>+C22</f>
        <v>820623240</v>
      </c>
      <c r="D24" s="499">
        <f>+D22</f>
        <v>321842471</v>
      </c>
      <c r="E24" s="498"/>
      <c r="F24" s="492" t="s">
        <v>495</v>
      </c>
      <c r="G24" s="1059"/>
      <c r="H24" s="1060"/>
    </row>
    <row r="25" spans="2:8">
      <c r="B25" s="500" t="s">
        <v>702</v>
      </c>
      <c r="C25" s="1062"/>
      <c r="D25" s="1064"/>
      <c r="E25" s="498"/>
      <c r="F25" s="492" t="s">
        <v>698</v>
      </c>
      <c r="G25" s="1059"/>
      <c r="H25" s="1060"/>
    </row>
    <row r="26" spans="2:8">
      <c r="B26" s="501" t="s">
        <v>678</v>
      </c>
      <c r="C26" s="1062"/>
      <c r="D26" s="1064"/>
      <c r="E26" s="498"/>
      <c r="F26" s="492" t="s">
        <v>483</v>
      </c>
      <c r="G26" s="1059"/>
      <c r="H26" s="1060"/>
    </row>
    <row r="27" spans="2:8">
      <c r="B27" s="501" t="s">
        <v>682</v>
      </c>
      <c r="C27" s="1062"/>
      <c r="D27" s="1064"/>
      <c r="E27" s="498"/>
      <c r="F27" s="492"/>
      <c r="G27" s="502"/>
      <c r="H27" s="503"/>
    </row>
    <row r="28" spans="2:8">
      <c r="B28" s="491" t="s">
        <v>683</v>
      </c>
      <c r="C28" s="1062">
        <v>655469281</v>
      </c>
      <c r="D28" s="1065">
        <v>76351909</v>
      </c>
      <c r="E28" s="498"/>
      <c r="F28" s="504" t="s">
        <v>1069</v>
      </c>
      <c r="G28" s="494"/>
      <c r="H28" s="833"/>
    </row>
    <row r="29" spans="2:8">
      <c r="B29" s="491" t="s">
        <v>684</v>
      </c>
      <c r="C29" s="1062"/>
      <c r="D29" s="1064"/>
      <c r="E29" s="498"/>
      <c r="F29" s="492" t="s">
        <v>1070</v>
      </c>
      <c r="G29" s="495">
        <v>8056792</v>
      </c>
      <c r="H29" s="508">
        <v>24872045</v>
      </c>
    </row>
    <row r="30" spans="2:8">
      <c r="B30" s="491" t="s">
        <v>685</v>
      </c>
      <c r="C30" s="1062"/>
      <c r="D30" s="1064"/>
      <c r="E30" s="498"/>
      <c r="F30" s="492" t="s">
        <v>503</v>
      </c>
      <c r="G30" s="495">
        <v>6857653</v>
      </c>
      <c r="H30" s="508">
        <v>0</v>
      </c>
    </row>
    <row r="31" spans="2:8">
      <c r="B31" s="491" t="s">
        <v>686</v>
      </c>
      <c r="C31" s="1062"/>
      <c r="D31" s="1064"/>
      <c r="E31" s="498"/>
      <c r="F31" s="492" t="s">
        <v>1146</v>
      </c>
      <c r="G31" s="495">
        <v>73094</v>
      </c>
      <c r="H31" s="508">
        <v>3000000</v>
      </c>
    </row>
    <row r="32" spans="2:8">
      <c r="B32" s="491" t="s">
        <v>687</v>
      </c>
      <c r="C32" s="1062"/>
      <c r="D32" s="1064"/>
      <c r="E32" s="498"/>
      <c r="F32" s="492" t="s">
        <v>1064</v>
      </c>
      <c r="G32" s="495">
        <v>0</v>
      </c>
      <c r="H32" s="508">
        <v>0</v>
      </c>
    </row>
    <row r="33" spans="2:8">
      <c r="B33" s="491" t="s">
        <v>688</v>
      </c>
      <c r="C33" s="1062"/>
      <c r="D33" s="1064"/>
      <c r="E33" s="498"/>
      <c r="F33" s="1062" t="s">
        <v>1071</v>
      </c>
      <c r="G33" s="495">
        <v>3879037</v>
      </c>
      <c r="H33" s="508">
        <v>4602004</v>
      </c>
    </row>
    <row r="34" spans="2:8">
      <c r="B34" s="491" t="s">
        <v>689</v>
      </c>
      <c r="C34" s="1062"/>
      <c r="D34" s="1064"/>
      <c r="E34" s="506"/>
      <c r="F34" s="1062" t="s">
        <v>1160</v>
      </c>
      <c r="G34" s="1031">
        <v>0</v>
      </c>
      <c r="H34" s="508">
        <v>110715</v>
      </c>
    </row>
    <row r="35" spans="2:8">
      <c r="B35" s="491"/>
      <c r="C35" s="1062"/>
      <c r="D35" s="907"/>
      <c r="E35" s="506"/>
      <c r="F35" s="1062"/>
      <c r="G35" s="493">
        <f>SUM(G29:G34)</f>
        <v>18866576</v>
      </c>
      <c r="H35" s="507">
        <f>SUM(H29:H34)</f>
        <v>32584764</v>
      </c>
    </row>
    <row r="36" spans="2:8">
      <c r="B36" s="484"/>
      <c r="C36" s="493">
        <f>+C28</f>
        <v>655469281</v>
      </c>
      <c r="D36" s="840">
        <f>+D28</f>
        <v>76351909</v>
      </c>
      <c r="E36" s="506"/>
      <c r="F36" s="1066" t="s">
        <v>699</v>
      </c>
      <c r="G36" s="1062"/>
      <c r="H36" s="505"/>
    </row>
    <row r="37" spans="2:8">
      <c r="B37" s="491"/>
      <c r="C37" s="1062"/>
      <c r="D37" s="1032"/>
      <c r="E37" s="1067"/>
      <c r="F37" s="1062" t="s">
        <v>703</v>
      </c>
      <c r="G37" s="1062">
        <v>0</v>
      </c>
      <c r="H37" s="505"/>
    </row>
    <row r="38" spans="2:8">
      <c r="B38" s="491"/>
      <c r="C38" s="1062"/>
      <c r="D38" s="495"/>
      <c r="E38" s="1067"/>
      <c r="F38" s="1062" t="s">
        <v>1072</v>
      </c>
      <c r="G38" s="1062">
        <v>0</v>
      </c>
      <c r="H38" s="508"/>
    </row>
    <row r="39" spans="2:8">
      <c r="B39" s="491"/>
      <c r="C39" s="1062"/>
      <c r="D39" s="495"/>
      <c r="E39" s="1067"/>
      <c r="F39" s="1062" t="s">
        <v>704</v>
      </c>
      <c r="G39" s="1062">
        <v>69522003</v>
      </c>
      <c r="H39" s="505">
        <v>2138693</v>
      </c>
    </row>
    <row r="40" spans="2:8">
      <c r="B40" s="839" t="s">
        <v>1060</v>
      </c>
      <c r="C40" s="1062"/>
      <c r="D40" s="509"/>
      <c r="E40" s="1067"/>
      <c r="F40" s="1062"/>
      <c r="G40" s="493">
        <f>+G39</f>
        <v>69522003</v>
      </c>
      <c r="H40" s="507">
        <f>+H39</f>
        <v>2138693</v>
      </c>
    </row>
    <row r="41" spans="2:8">
      <c r="B41" s="491" t="s">
        <v>690</v>
      </c>
      <c r="C41" s="1062"/>
      <c r="D41" s="509"/>
      <c r="E41" s="1067"/>
      <c r="F41" s="1062"/>
      <c r="G41" s="1068"/>
      <c r="H41" s="1069"/>
    </row>
    <row r="42" spans="2:8">
      <c r="B42" s="491"/>
      <c r="C42" s="1062"/>
      <c r="D42" s="497"/>
      <c r="E42" s="1067"/>
      <c r="F42" s="510"/>
      <c r="G42" s="1062">
        <v>0</v>
      </c>
      <c r="H42" s="508">
        <v>0</v>
      </c>
    </row>
    <row r="43" spans="2:8">
      <c r="B43" s="511" t="s">
        <v>633</v>
      </c>
      <c r="C43" s="493">
        <f>+C18+C24+C36</f>
        <v>10788904375</v>
      </c>
      <c r="D43" s="499">
        <f>+D18+D24+D36</f>
        <v>11999888744</v>
      </c>
      <c r="E43" s="1067"/>
      <c r="F43" s="520" t="s">
        <v>634</v>
      </c>
      <c r="G43" s="493">
        <f>+G20+G35+G40</f>
        <v>9474319926</v>
      </c>
      <c r="H43" s="507">
        <f>+H20+H35+H40</f>
        <v>11359110862</v>
      </c>
    </row>
    <row r="44" spans="2:8">
      <c r="B44" s="484"/>
      <c r="C44" s="512"/>
      <c r="D44" s="907"/>
      <c r="E44" s="1067"/>
      <c r="F44" s="493"/>
      <c r="G44" s="908"/>
      <c r="H44" s="513"/>
    </row>
    <row r="45" spans="2:8">
      <c r="B45" s="514" t="s">
        <v>46</v>
      </c>
      <c r="C45" s="515"/>
      <c r="D45" s="515"/>
      <c r="E45" s="912"/>
      <c r="F45" s="516" t="s">
        <v>114</v>
      </c>
      <c r="G45" s="517"/>
      <c r="H45" s="518"/>
    </row>
    <row r="46" spans="2:8">
      <c r="B46" s="484"/>
      <c r="C46" s="834"/>
      <c r="D46" s="494"/>
      <c r="E46" s="493"/>
      <c r="F46" s="1070"/>
      <c r="G46" s="834"/>
      <c r="H46" s="519"/>
    </row>
    <row r="47" spans="2:8">
      <c r="B47" s="487" t="s">
        <v>322</v>
      </c>
      <c r="C47" s="1062"/>
      <c r="D47" s="1062"/>
      <c r="E47" s="520"/>
      <c r="F47" s="489" t="s">
        <v>714</v>
      </c>
      <c r="G47" s="1071"/>
      <c r="H47" s="505"/>
    </row>
    <row r="48" spans="2:8">
      <c r="B48" s="491" t="s">
        <v>675</v>
      </c>
      <c r="C48" s="1062"/>
      <c r="D48" s="1062"/>
      <c r="E48" s="913"/>
      <c r="F48" s="1062" t="s">
        <v>715</v>
      </c>
      <c r="G48" s="1071"/>
      <c r="H48" s="505"/>
    </row>
    <row r="49" spans="2:8">
      <c r="B49" s="491" t="s">
        <v>705</v>
      </c>
      <c r="C49" s="1062">
        <v>911762544.4000001</v>
      </c>
      <c r="D49" s="1062">
        <v>557000000</v>
      </c>
      <c r="E49" s="913"/>
      <c r="F49" s="1062" t="s">
        <v>716</v>
      </c>
      <c r="G49" s="1062"/>
      <c r="H49" s="505"/>
    </row>
    <row r="50" spans="2:8">
      <c r="B50" s="491" t="s">
        <v>706</v>
      </c>
      <c r="C50" s="1062">
        <v>851000000</v>
      </c>
      <c r="D50" s="1062">
        <v>369164803</v>
      </c>
      <c r="E50" s="913"/>
      <c r="F50" s="495" t="s">
        <v>717</v>
      </c>
      <c r="G50" s="495"/>
      <c r="H50" s="505"/>
    </row>
    <row r="51" spans="2:8">
      <c r="B51" s="491" t="s">
        <v>677</v>
      </c>
      <c r="C51" s="1070"/>
      <c r="D51" s="1070"/>
      <c r="E51" s="913"/>
      <c r="F51" s="495" t="s">
        <v>694</v>
      </c>
      <c r="G51" s="509"/>
      <c r="H51" s="505"/>
    </row>
    <row r="52" spans="2:8">
      <c r="B52" s="491"/>
      <c r="C52" s="493">
        <f>+C49+C50</f>
        <v>1762762544.4000001</v>
      </c>
      <c r="D52" s="493">
        <f>+D49+D50</f>
        <v>926164803</v>
      </c>
      <c r="E52" s="913"/>
      <c r="F52" s="1062" t="s">
        <v>718</v>
      </c>
      <c r="G52" s="509"/>
      <c r="H52" s="505"/>
    </row>
    <row r="53" spans="2:8">
      <c r="B53" s="521" t="s">
        <v>707</v>
      </c>
      <c r="C53" s="1070"/>
      <c r="D53" s="1070"/>
      <c r="E53" s="913"/>
      <c r="F53" s="492" t="s">
        <v>693</v>
      </c>
      <c r="G53" s="495"/>
      <c r="H53" s="505"/>
    </row>
    <row r="54" spans="2:8">
      <c r="B54" s="491" t="s">
        <v>678</v>
      </c>
      <c r="C54" s="1070"/>
      <c r="D54" s="1070"/>
      <c r="E54" s="913"/>
      <c r="F54" s="492"/>
      <c r="G54" s="502"/>
      <c r="H54" s="522"/>
    </row>
    <row r="55" spans="2:8">
      <c r="B55" s="491" t="s">
        <v>683</v>
      </c>
      <c r="C55" s="1062">
        <v>271935997</v>
      </c>
      <c r="D55" s="1062">
        <v>0</v>
      </c>
      <c r="E55" s="913"/>
      <c r="F55" s="504" t="s">
        <v>719</v>
      </c>
      <c r="G55" s="509"/>
      <c r="H55" s="505"/>
    </row>
    <row r="56" spans="2:8">
      <c r="B56" s="491" t="s">
        <v>708</v>
      </c>
      <c r="C56" s="1070"/>
      <c r="D56" s="913"/>
      <c r="E56" s="913"/>
      <c r="F56" s="492" t="s">
        <v>720</v>
      </c>
      <c r="G56" s="509"/>
      <c r="H56" s="505"/>
    </row>
    <row r="57" spans="2:8">
      <c r="B57" s="491" t="s">
        <v>684</v>
      </c>
      <c r="C57" s="1070"/>
      <c r="D57" s="1070"/>
      <c r="E57" s="913"/>
      <c r="F57" s="492" t="s">
        <v>483</v>
      </c>
      <c r="G57" s="495"/>
      <c r="H57" s="508"/>
    </row>
    <row r="58" spans="2:8">
      <c r="B58" s="491" t="s">
        <v>685</v>
      </c>
      <c r="C58" s="1062"/>
      <c r="D58" s="495"/>
      <c r="E58" s="913"/>
      <c r="F58" s="1070"/>
      <c r="G58" s="499"/>
      <c r="H58" s="507"/>
    </row>
    <row r="59" spans="2:8">
      <c r="B59" s="491" t="s">
        <v>686</v>
      </c>
      <c r="C59" s="1062"/>
      <c r="D59" s="495"/>
      <c r="E59" s="913"/>
      <c r="F59" s="1066" t="s">
        <v>184</v>
      </c>
      <c r="G59" s="914"/>
      <c r="H59" s="523"/>
    </row>
    <row r="60" spans="2:8">
      <c r="B60" s="491" t="s">
        <v>687</v>
      </c>
      <c r="C60" s="1062"/>
      <c r="D60" s="495"/>
      <c r="E60" s="913"/>
      <c r="F60" s="1062" t="s">
        <v>721</v>
      </c>
      <c r="G60" s="1070"/>
      <c r="H60" s="523"/>
    </row>
    <row r="61" spans="2:8">
      <c r="B61" s="491" t="s">
        <v>688</v>
      </c>
      <c r="C61" s="1062"/>
      <c r="D61" s="495"/>
      <c r="E61" s="913"/>
      <c r="F61" s="524" t="s">
        <v>722</v>
      </c>
      <c r="G61" s="1070"/>
      <c r="H61" s="523"/>
    </row>
    <row r="62" spans="2:8">
      <c r="B62" s="491" t="s">
        <v>709</v>
      </c>
      <c r="C62" s="1062"/>
      <c r="D62" s="495"/>
      <c r="E62" s="913"/>
      <c r="F62" s="1062" t="s">
        <v>723</v>
      </c>
      <c r="G62" s="1062">
        <v>265889988</v>
      </c>
      <c r="H62" s="508">
        <v>0</v>
      </c>
    </row>
    <row r="63" spans="2:8">
      <c r="B63" s="491" t="s">
        <v>689</v>
      </c>
      <c r="C63" s="1062"/>
      <c r="D63" s="495"/>
      <c r="E63" s="913"/>
      <c r="F63" s="1062"/>
      <c r="G63" s="496">
        <f>+G62</f>
        <v>265889988</v>
      </c>
      <c r="H63" s="496">
        <f>+H62</f>
        <v>0</v>
      </c>
    </row>
    <row r="64" spans="2:8">
      <c r="B64" s="491"/>
      <c r="C64" s="493">
        <f>+C55</f>
        <v>271935997</v>
      </c>
      <c r="D64" s="493">
        <f>+D55</f>
        <v>0</v>
      </c>
      <c r="E64" s="913"/>
      <c r="F64" s="525" t="s">
        <v>635</v>
      </c>
      <c r="G64" s="496">
        <f>+G62</f>
        <v>265889988</v>
      </c>
      <c r="H64" s="496">
        <f>+H62</f>
        <v>0</v>
      </c>
    </row>
    <row r="65" spans="2:8">
      <c r="B65" s="491"/>
      <c r="C65" s="1062"/>
      <c r="D65" s="495"/>
      <c r="E65" s="913"/>
      <c r="F65" s="1070"/>
      <c r="G65" s="1070"/>
      <c r="H65" s="523"/>
    </row>
    <row r="66" spans="2:8">
      <c r="B66" s="521" t="s">
        <v>710</v>
      </c>
      <c r="C66" s="1062"/>
      <c r="D66" s="495"/>
      <c r="E66" s="913"/>
      <c r="F66" s="1070"/>
      <c r="G66" s="1070"/>
      <c r="H66" s="523"/>
    </row>
    <row r="67" spans="2:8">
      <c r="B67" s="501" t="s">
        <v>462</v>
      </c>
      <c r="C67" s="1062">
        <v>336953582</v>
      </c>
      <c r="D67" s="495">
        <v>333111194</v>
      </c>
      <c r="E67" s="913"/>
      <c r="F67" s="1070"/>
      <c r="G67" s="1070"/>
      <c r="H67" s="523"/>
    </row>
    <row r="68" spans="2:8">
      <c r="B68" s="491" t="s">
        <v>711</v>
      </c>
      <c r="C68" s="495">
        <v>-141558779</v>
      </c>
      <c r="D68" s="495">
        <v>-98902952</v>
      </c>
      <c r="E68" s="912"/>
      <c r="F68" s="1070"/>
      <c r="G68" s="526"/>
      <c r="H68" s="527"/>
    </row>
    <row r="69" spans="2:8">
      <c r="B69" s="491"/>
      <c r="C69" s="493">
        <f>+C67+C68</f>
        <v>195394803</v>
      </c>
      <c r="D69" s="499">
        <f>+D67+D68</f>
        <v>234208242</v>
      </c>
      <c r="E69" s="912"/>
      <c r="F69" s="528" t="s">
        <v>636</v>
      </c>
      <c r="G69" s="493">
        <f>+G43+G64</f>
        <v>9740209914</v>
      </c>
      <c r="H69" s="529">
        <f>+H43+H64</f>
        <v>11359110862</v>
      </c>
    </row>
    <row r="70" spans="2:8">
      <c r="B70" s="484"/>
      <c r="C70" s="530"/>
      <c r="D70" s="1072"/>
      <c r="E70" s="912"/>
      <c r="F70" s="1073"/>
      <c r="G70" s="520"/>
      <c r="H70" s="531"/>
    </row>
    <row r="71" spans="2:8">
      <c r="B71" s="521" t="s">
        <v>1080</v>
      </c>
      <c r="C71" s="1072"/>
      <c r="D71" s="907"/>
      <c r="E71" s="913"/>
      <c r="F71" s="1070"/>
      <c r="G71" s="913"/>
      <c r="H71" s="523"/>
    </row>
    <row r="72" spans="2:8">
      <c r="B72" s="491" t="s">
        <v>1077</v>
      </c>
      <c r="C72" s="1062">
        <v>41367931</v>
      </c>
      <c r="D72" s="1062">
        <v>35379749</v>
      </c>
      <c r="E72" s="913"/>
      <c r="F72" s="1066" t="s">
        <v>724</v>
      </c>
      <c r="G72" s="913"/>
      <c r="H72" s="523"/>
    </row>
    <row r="73" spans="2:8">
      <c r="B73" s="491" t="s">
        <v>712</v>
      </c>
      <c r="C73" s="1071"/>
      <c r="D73" s="509"/>
      <c r="E73" s="913"/>
      <c r="F73" s="1062"/>
      <c r="G73" s="913"/>
      <c r="H73" s="523"/>
    </row>
    <row r="74" spans="2:8">
      <c r="B74" s="491" t="s">
        <v>1078</v>
      </c>
      <c r="C74" s="1071"/>
      <c r="D74" s="509"/>
      <c r="E74" s="913"/>
      <c r="F74" s="1062"/>
      <c r="G74" s="913"/>
      <c r="H74" s="523"/>
    </row>
    <row r="75" spans="2:8">
      <c r="B75" s="491" t="s">
        <v>1079</v>
      </c>
      <c r="C75" s="532">
        <v>-20569991</v>
      </c>
      <c r="D75" s="532">
        <v>-10228008</v>
      </c>
      <c r="E75" s="913"/>
      <c r="F75" s="1062"/>
      <c r="G75" s="908"/>
      <c r="H75" s="513"/>
    </row>
    <row r="76" spans="2:8">
      <c r="B76" s="484"/>
      <c r="C76" s="493">
        <f>SUM(C72:C75)</f>
        <v>20797940</v>
      </c>
      <c r="D76" s="499">
        <f>+D72+D75</f>
        <v>25151741</v>
      </c>
      <c r="E76" s="913"/>
      <c r="F76" s="1062" t="s">
        <v>725</v>
      </c>
      <c r="G76" s="908"/>
      <c r="H76" s="513"/>
    </row>
    <row r="77" spans="2:8">
      <c r="B77" s="484" t="s">
        <v>1081</v>
      </c>
      <c r="C77" s="1062"/>
      <c r="D77" s="1062"/>
      <c r="E77" s="913"/>
      <c r="F77" s="1062" t="s">
        <v>726</v>
      </c>
      <c r="G77" s="496">
        <v>3299585745</v>
      </c>
      <c r="H77" s="496">
        <v>1826302668</v>
      </c>
    </row>
    <row r="78" spans="2:8">
      <c r="B78" s="491" t="s">
        <v>713</v>
      </c>
      <c r="C78" s="1062"/>
      <c r="D78" s="1062"/>
      <c r="E78" s="913"/>
      <c r="F78" s="1062"/>
      <c r="G78" s="495"/>
      <c r="H78" s="508"/>
    </row>
    <row r="79" spans="2:8">
      <c r="B79" s="491"/>
      <c r="C79" s="533"/>
      <c r="D79" s="534"/>
      <c r="E79" s="913"/>
      <c r="F79" s="1062"/>
      <c r="G79" s="532">
        <v>0</v>
      </c>
      <c r="H79" s="1033">
        <v>0</v>
      </c>
    </row>
    <row r="80" spans="2:8">
      <c r="B80" s="484"/>
      <c r="C80" s="1072"/>
      <c r="D80" s="1071"/>
      <c r="E80" s="913"/>
      <c r="F80" s="1062"/>
      <c r="G80" s="495"/>
      <c r="H80" s="508"/>
    </row>
    <row r="81" spans="1:8">
      <c r="B81" s="525" t="s">
        <v>638</v>
      </c>
      <c r="C81" s="536">
        <f>+C52+C64+C69+C76</f>
        <v>2250891284.4000001</v>
      </c>
      <c r="D81" s="536">
        <f>+D52+D64+D69+D76</f>
        <v>1185524786</v>
      </c>
      <c r="E81" s="913"/>
      <c r="F81" s="1062"/>
      <c r="G81" s="495"/>
      <c r="H81" s="508"/>
    </row>
    <row r="82" spans="1:8">
      <c r="B82" s="484"/>
      <c r="C82" s="909"/>
      <c r="D82" s="909"/>
      <c r="E82" s="1070"/>
      <c r="F82" s="1062"/>
      <c r="G82" s="495"/>
      <c r="H82" s="508"/>
    </row>
    <row r="83" spans="1:8" ht="15.75" thickBot="1">
      <c r="B83" s="835" t="s">
        <v>639</v>
      </c>
      <c r="C83" s="836">
        <f>+C43+C81</f>
        <v>13039795659.4</v>
      </c>
      <c r="D83" s="836">
        <f>+D43+D81</f>
        <v>13185413530</v>
      </c>
      <c r="E83" s="837"/>
      <c r="F83" s="835" t="s">
        <v>727</v>
      </c>
      <c r="G83" s="838">
        <f>+G69+G77</f>
        <v>13039795659</v>
      </c>
      <c r="H83" s="838">
        <f>+H69+H77</f>
        <v>13185413530</v>
      </c>
    </row>
    <row r="84" spans="1:8">
      <c r="B84" s="486"/>
      <c r="C84" s="535"/>
      <c r="D84" s="535"/>
      <c r="E84" s="535"/>
      <c r="F84" s="486"/>
      <c r="G84" s="535"/>
      <c r="H84" s="535"/>
    </row>
    <row r="85" spans="1:8">
      <c r="B85" s="524"/>
      <c r="C85" s="537"/>
      <c r="D85" s="538"/>
      <c r="E85" s="535"/>
      <c r="F85" s="535"/>
      <c r="G85" s="538"/>
      <c r="H85" s="538"/>
    </row>
    <row r="86" spans="1:8">
      <c r="B86" s="539"/>
      <c r="D86" s="540"/>
      <c r="E86" s="540"/>
      <c r="F86" s="470"/>
      <c r="G86" s="1107"/>
      <c r="H86" s="1107"/>
    </row>
    <row r="87" spans="1:8">
      <c r="B87" s="535"/>
      <c r="D87" s="540"/>
      <c r="E87" s="541"/>
      <c r="F87" s="486"/>
      <c r="G87" s="1107"/>
      <c r="H87" s="1107"/>
    </row>
    <row r="88" spans="1:8">
      <c r="B88" s="471"/>
      <c r="D88" s="540"/>
      <c r="E88" s="539"/>
      <c r="H88" s="542"/>
    </row>
    <row r="89" spans="1:8">
      <c r="B89" s="471"/>
      <c r="D89" s="540"/>
      <c r="E89" s="539"/>
      <c r="H89" s="542"/>
    </row>
    <row r="90" spans="1:8">
      <c r="B90" s="471"/>
      <c r="D90" s="540"/>
      <c r="E90" s="539"/>
      <c r="H90" s="542"/>
    </row>
    <row r="91" spans="1:8">
      <c r="B91" s="471"/>
      <c r="D91" s="540"/>
      <c r="E91" s="539"/>
      <c r="H91" s="542"/>
    </row>
    <row r="92" spans="1:8">
      <c r="B92" s="471"/>
      <c r="D92" s="540"/>
      <c r="E92" s="539"/>
      <c r="F92" s="539"/>
      <c r="G92" s="539"/>
      <c r="H92" s="539"/>
    </row>
    <row r="93" spans="1:8">
      <c r="B93" s="471"/>
      <c r="D93" s="540"/>
      <c r="E93" s="539"/>
      <c r="F93" s="539"/>
      <c r="G93" s="539"/>
      <c r="H93" s="539"/>
    </row>
    <row r="94" spans="1:8">
      <c r="A94" s="1094" t="s">
        <v>944</v>
      </c>
      <c r="B94" s="1094"/>
      <c r="C94" s="1094"/>
      <c r="D94" s="1094"/>
      <c r="E94" s="1094"/>
      <c r="F94" s="1094"/>
      <c r="G94" s="1094"/>
      <c r="H94" s="1094"/>
    </row>
    <row r="95" spans="1:8">
      <c r="A95" s="1094" t="s">
        <v>237</v>
      </c>
      <c r="B95" s="1094"/>
      <c r="C95" s="1094"/>
      <c r="D95" s="1094"/>
      <c r="E95" s="1094"/>
      <c r="F95" s="1094"/>
      <c r="G95" s="1094"/>
      <c r="H95" s="1094"/>
    </row>
    <row r="96" spans="1:8">
      <c r="A96" s="1094" t="s">
        <v>1149</v>
      </c>
      <c r="B96" s="1094"/>
      <c r="C96" s="1094"/>
      <c r="D96" s="1094"/>
      <c r="E96" s="1094"/>
      <c r="F96" s="1094"/>
      <c r="G96" s="1094"/>
      <c r="H96" s="1094"/>
    </row>
    <row r="97" spans="2:9">
      <c r="B97" s="471"/>
      <c r="C97" s="539"/>
      <c r="D97" s="539"/>
      <c r="E97" s="471"/>
      <c r="F97" s="471"/>
      <c r="G97" s="471"/>
      <c r="H97" s="471"/>
    </row>
    <row r="98" spans="2:9">
      <c r="B98" s="471"/>
      <c r="C98" s="539"/>
      <c r="D98" s="539"/>
      <c r="E98" s="471"/>
      <c r="F98" s="471"/>
      <c r="G98" s="471"/>
      <c r="H98" s="471"/>
    </row>
    <row r="99" spans="2:9" ht="25.5" customHeight="1">
      <c r="B99" s="471"/>
      <c r="C99" s="535"/>
      <c r="D99" s="535"/>
      <c r="E99" s="471"/>
      <c r="F99" s="471"/>
      <c r="G99" s="471"/>
      <c r="H99" s="471"/>
    </row>
    <row r="100" spans="2:9" ht="18.75" customHeight="1">
      <c r="B100" s="471"/>
      <c r="C100" s="471"/>
      <c r="D100" s="471"/>
      <c r="E100" s="471"/>
      <c r="F100" s="471"/>
      <c r="G100" s="471"/>
      <c r="H100" s="471"/>
      <c r="I100" s="471"/>
    </row>
    <row r="101" spans="2:9" ht="18.75" customHeight="1">
      <c r="B101" s="471"/>
      <c r="C101" s="471"/>
      <c r="D101" s="471"/>
      <c r="E101" s="471"/>
      <c r="F101" s="471"/>
      <c r="G101" s="471"/>
      <c r="H101" s="471"/>
      <c r="I101" s="471"/>
    </row>
    <row r="102" spans="2:9">
      <c r="B102" s="471"/>
      <c r="C102" s="471"/>
      <c r="D102" s="471"/>
      <c r="E102" s="471"/>
      <c r="F102" s="471"/>
      <c r="G102" s="471"/>
      <c r="H102" s="471"/>
      <c r="I102" s="471"/>
    </row>
    <row r="103" spans="2:9">
      <c r="B103" s="471"/>
      <c r="C103" s="471"/>
      <c r="D103" s="471"/>
      <c r="E103" s="471"/>
      <c r="F103" s="471"/>
      <c r="G103" s="471"/>
      <c r="H103" s="471"/>
      <c r="I103" s="471"/>
    </row>
    <row r="104" spans="2:9">
      <c r="B104" s="471"/>
      <c r="C104" s="471"/>
      <c r="D104" s="471"/>
      <c r="E104" s="471"/>
      <c r="F104" s="471"/>
      <c r="G104" s="471"/>
      <c r="H104" s="471"/>
      <c r="I104" s="471"/>
    </row>
    <row r="105" spans="2:9">
      <c r="B105" s="471"/>
      <c r="C105" s="471"/>
      <c r="D105" s="471"/>
      <c r="E105" s="471"/>
      <c r="F105" s="471"/>
      <c r="G105" s="471"/>
      <c r="H105" s="471"/>
      <c r="I105" s="471"/>
    </row>
    <row r="106" spans="2:9">
      <c r="B106" s="471"/>
      <c r="C106" s="471"/>
      <c r="D106" s="471"/>
      <c r="E106" s="471"/>
      <c r="F106" s="471"/>
      <c r="G106" s="471"/>
      <c r="H106" s="471"/>
      <c r="I106" s="471"/>
    </row>
    <row r="107" spans="2:9">
      <c r="B107" s="471"/>
      <c r="C107" s="471"/>
      <c r="D107" s="471"/>
      <c r="E107" s="471"/>
      <c r="F107" s="471"/>
      <c r="G107" s="471"/>
      <c r="H107" s="471"/>
      <c r="I107" s="471"/>
    </row>
    <row r="108" spans="2:9">
      <c r="B108" s="471"/>
      <c r="C108" s="471"/>
      <c r="D108" s="471"/>
      <c r="E108" s="471"/>
      <c r="F108" s="471"/>
      <c r="G108" s="471"/>
      <c r="H108" s="471"/>
      <c r="I108" s="471"/>
    </row>
    <row r="109" spans="2:9">
      <c r="B109" s="471"/>
      <c r="C109" s="471"/>
      <c r="D109" s="471"/>
      <c r="E109" s="471"/>
      <c r="F109" s="471"/>
      <c r="G109" s="471"/>
      <c r="H109" s="471"/>
      <c r="I109" s="471"/>
    </row>
    <row r="110" spans="2:9">
      <c r="B110" s="471"/>
      <c r="C110" s="471"/>
      <c r="D110" s="471"/>
      <c r="E110" s="471"/>
      <c r="F110" s="471"/>
      <c r="G110" s="471"/>
      <c r="H110" s="471"/>
      <c r="I110" s="471"/>
    </row>
    <row r="111" spans="2:9">
      <c r="B111" s="471"/>
      <c r="C111" s="471"/>
      <c r="D111" s="471"/>
      <c r="E111" s="471"/>
      <c r="F111" s="471"/>
      <c r="G111" s="471"/>
      <c r="H111" s="471"/>
      <c r="I111" s="471"/>
    </row>
    <row r="112" spans="2:9">
      <c r="B112" s="471"/>
      <c r="C112" s="471"/>
      <c r="D112" s="471"/>
      <c r="E112" s="471"/>
      <c r="F112" s="471"/>
      <c r="G112" s="471"/>
      <c r="H112" s="471"/>
      <c r="I112" s="471"/>
    </row>
    <row r="113" spans="2:9">
      <c r="B113" s="471"/>
      <c r="C113" s="471"/>
      <c r="D113" s="471"/>
      <c r="E113" s="471"/>
      <c r="F113" s="471"/>
      <c r="G113" s="471"/>
      <c r="H113" s="471"/>
      <c r="I113" s="471"/>
    </row>
    <row r="114" spans="2:9">
      <c r="B114" s="471"/>
      <c r="C114" s="471"/>
      <c r="D114" s="471"/>
      <c r="E114" s="471"/>
      <c r="F114" s="471"/>
      <c r="G114" s="471"/>
      <c r="H114" s="471"/>
      <c r="I114" s="471"/>
    </row>
    <row r="115" spans="2:9">
      <c r="B115" s="471"/>
      <c r="C115" s="471"/>
      <c r="D115" s="471"/>
      <c r="E115" s="471"/>
      <c r="F115" s="471"/>
      <c r="G115" s="471"/>
      <c r="H115" s="471"/>
      <c r="I115" s="471"/>
    </row>
    <row r="116" spans="2:9">
      <c r="B116" s="471"/>
      <c r="C116" s="471"/>
      <c r="D116" s="471"/>
      <c r="E116" s="471"/>
      <c r="F116" s="471"/>
      <c r="G116" s="471"/>
      <c r="H116" s="471"/>
      <c r="I116" s="471"/>
    </row>
    <row r="117" spans="2:9">
      <c r="B117" s="471"/>
      <c r="C117" s="471"/>
      <c r="D117" s="471"/>
      <c r="E117" s="471"/>
      <c r="F117" s="471"/>
      <c r="G117" s="471"/>
      <c r="H117" s="471"/>
      <c r="I117" s="471"/>
    </row>
    <row r="118" spans="2:9">
      <c r="B118" s="471"/>
      <c r="C118" s="471"/>
      <c r="D118" s="471"/>
      <c r="E118" s="471"/>
      <c r="F118" s="471"/>
      <c r="G118" s="471"/>
      <c r="H118" s="471"/>
      <c r="I118" s="471"/>
    </row>
    <row r="119" spans="2:9">
      <c r="B119" s="471"/>
      <c r="C119" s="471"/>
      <c r="D119" s="471"/>
      <c r="E119" s="471"/>
      <c r="F119" s="471"/>
      <c r="G119" s="471"/>
      <c r="H119" s="471"/>
      <c r="I119" s="471"/>
    </row>
    <row r="120" spans="2:9">
      <c r="B120" s="471"/>
      <c r="C120" s="471"/>
      <c r="D120" s="471"/>
      <c r="E120" s="471"/>
      <c r="F120" s="471"/>
      <c r="G120" s="471"/>
      <c r="H120" s="471"/>
      <c r="I120" s="471"/>
    </row>
    <row r="121" spans="2:9">
      <c r="B121" s="471"/>
      <c r="C121" s="471"/>
      <c r="D121" s="471"/>
      <c r="E121" s="471"/>
      <c r="F121" s="471"/>
      <c r="G121" s="471"/>
      <c r="H121" s="471"/>
      <c r="I121" s="471"/>
    </row>
    <row r="122" spans="2:9">
      <c r="B122" s="471"/>
      <c r="C122" s="471"/>
      <c r="D122" s="471"/>
      <c r="E122" s="471"/>
      <c r="F122" s="471"/>
      <c r="G122" s="471"/>
      <c r="H122" s="471"/>
      <c r="I122" s="471"/>
    </row>
    <row r="123" spans="2:9">
      <c r="B123" s="471"/>
      <c r="C123" s="471"/>
      <c r="D123" s="471"/>
      <c r="E123" s="471"/>
      <c r="F123" s="471"/>
      <c r="G123" s="471"/>
      <c r="H123" s="471"/>
      <c r="I123" s="471"/>
    </row>
    <row r="124" spans="2:9">
      <c r="B124" s="471"/>
      <c r="C124" s="471"/>
      <c r="D124" s="471"/>
      <c r="E124" s="471"/>
      <c r="F124" s="471"/>
      <c r="G124" s="471"/>
      <c r="H124" s="471"/>
      <c r="I124" s="471"/>
    </row>
    <row r="125" spans="2:9">
      <c r="B125" s="471"/>
      <c r="C125" s="471"/>
      <c r="D125" s="471"/>
      <c r="E125" s="471"/>
      <c r="F125" s="471"/>
      <c r="G125" s="471"/>
      <c r="H125" s="471"/>
      <c r="I125" s="471"/>
    </row>
    <row r="126" spans="2:9">
      <c r="B126" s="471"/>
      <c r="C126" s="471"/>
      <c r="D126" s="471"/>
      <c r="E126" s="471"/>
      <c r="F126" s="471"/>
      <c r="G126" s="471"/>
      <c r="H126" s="471"/>
      <c r="I126" s="471"/>
    </row>
    <row r="127" spans="2:9">
      <c r="B127" s="471"/>
      <c r="C127" s="471"/>
      <c r="D127" s="471"/>
      <c r="E127" s="471"/>
      <c r="F127" s="471"/>
      <c r="G127" s="471"/>
      <c r="H127" s="471"/>
      <c r="I127" s="471"/>
    </row>
    <row r="128" spans="2:9">
      <c r="B128" s="471"/>
      <c r="C128" s="471"/>
      <c r="D128" s="471"/>
      <c r="E128" s="471"/>
      <c r="F128" s="471"/>
      <c r="G128" s="471"/>
      <c r="H128" s="471"/>
      <c r="I128" s="471"/>
    </row>
    <row r="129" spans="2:9">
      <c r="B129" s="471"/>
      <c r="C129" s="471"/>
      <c r="D129" s="471"/>
      <c r="E129" s="471"/>
      <c r="F129" s="471"/>
      <c r="G129" s="471"/>
      <c r="H129" s="471"/>
      <c r="I129" s="471"/>
    </row>
    <row r="130" spans="2:9">
      <c r="B130" s="471"/>
      <c r="C130" s="471"/>
      <c r="D130" s="471"/>
      <c r="E130" s="471"/>
      <c r="F130" s="471"/>
      <c r="G130" s="471"/>
      <c r="H130" s="471"/>
      <c r="I130" s="471"/>
    </row>
    <row r="131" spans="2:9">
      <c r="B131" s="471"/>
      <c r="C131" s="471"/>
      <c r="D131" s="471"/>
      <c r="E131" s="471"/>
      <c r="F131" s="471"/>
      <c r="G131" s="471"/>
      <c r="H131" s="471"/>
      <c r="I131" s="471"/>
    </row>
    <row r="132" spans="2:9">
      <c r="B132" s="471"/>
      <c r="C132" s="471"/>
      <c r="D132" s="471"/>
      <c r="E132" s="471"/>
      <c r="F132" s="471"/>
      <c r="G132" s="471"/>
      <c r="H132" s="471"/>
      <c r="I132" s="471"/>
    </row>
    <row r="133" spans="2:9">
      <c r="B133" s="471"/>
      <c r="C133" s="471"/>
      <c r="D133" s="471"/>
      <c r="E133" s="471"/>
      <c r="F133" s="471"/>
      <c r="G133" s="471"/>
      <c r="H133" s="471"/>
      <c r="I133" s="471"/>
    </row>
    <row r="134" spans="2:9">
      <c r="B134" s="471"/>
      <c r="C134" s="471"/>
      <c r="D134" s="471"/>
      <c r="E134" s="471"/>
      <c r="F134" s="471"/>
      <c r="G134" s="471"/>
      <c r="H134" s="471"/>
      <c r="I134" s="471"/>
    </row>
    <row r="135" spans="2:9">
      <c r="B135" s="471"/>
      <c r="C135" s="471"/>
      <c r="D135" s="471"/>
      <c r="E135" s="471"/>
      <c r="F135" s="471"/>
      <c r="G135" s="471"/>
      <c r="H135" s="471"/>
      <c r="I135" s="471"/>
    </row>
    <row r="136" spans="2:9">
      <c r="B136" s="471"/>
      <c r="C136" s="471"/>
      <c r="D136" s="471"/>
      <c r="E136" s="471"/>
      <c r="F136" s="471"/>
      <c r="G136" s="471"/>
      <c r="H136" s="471"/>
      <c r="I136" s="471"/>
    </row>
    <row r="137" spans="2:9">
      <c r="B137" s="471"/>
      <c r="C137" s="471"/>
      <c r="D137" s="471"/>
      <c r="E137" s="471"/>
      <c r="F137" s="471"/>
      <c r="G137" s="471"/>
      <c r="H137" s="471"/>
      <c r="I137" s="471"/>
    </row>
    <row r="138" spans="2:9">
      <c r="B138" s="471"/>
      <c r="C138" s="471"/>
      <c r="D138" s="471"/>
      <c r="E138" s="471"/>
      <c r="F138" s="471"/>
      <c r="G138" s="471"/>
      <c r="H138" s="471"/>
      <c r="I138" s="471"/>
    </row>
    <row r="139" spans="2:9">
      <c r="B139" s="471"/>
      <c r="C139" s="471"/>
      <c r="D139" s="471"/>
      <c r="E139" s="471"/>
      <c r="F139" s="471"/>
      <c r="G139" s="471"/>
      <c r="H139" s="471"/>
      <c r="I139" s="471"/>
    </row>
    <row r="140" spans="2:9">
      <c r="B140" s="471"/>
      <c r="C140" s="471"/>
      <c r="D140" s="471"/>
      <c r="E140" s="471"/>
      <c r="F140" s="471"/>
      <c r="G140" s="471"/>
      <c r="H140" s="471"/>
      <c r="I140" s="471"/>
    </row>
    <row r="141" spans="2:9">
      <c r="B141" s="471"/>
      <c r="C141" s="471"/>
      <c r="D141" s="471"/>
      <c r="E141" s="471"/>
      <c r="F141" s="471"/>
      <c r="G141" s="471"/>
      <c r="H141" s="471"/>
      <c r="I141" s="471"/>
    </row>
    <row r="142" spans="2:9">
      <c r="B142" s="471"/>
      <c r="C142" s="471"/>
      <c r="D142" s="471"/>
      <c r="E142" s="471"/>
      <c r="F142" s="471"/>
      <c r="G142" s="471"/>
      <c r="H142" s="471"/>
      <c r="I142" s="471"/>
    </row>
    <row r="143" spans="2:9">
      <c r="B143" s="471"/>
      <c r="C143" s="471"/>
      <c r="D143" s="471"/>
      <c r="E143" s="471"/>
      <c r="F143" s="471"/>
      <c r="G143" s="471"/>
      <c r="H143" s="471"/>
      <c r="I143" s="471"/>
    </row>
    <row r="144" spans="2:9">
      <c r="B144" s="471"/>
      <c r="C144" s="471"/>
      <c r="D144" s="471"/>
      <c r="E144" s="471"/>
      <c r="F144" s="471"/>
      <c r="G144" s="471"/>
      <c r="H144" s="471"/>
      <c r="I144" s="471"/>
    </row>
    <row r="145" spans="2:9">
      <c r="B145" s="471"/>
      <c r="C145" s="471"/>
      <c r="D145" s="471"/>
      <c r="E145" s="471"/>
      <c r="F145" s="471"/>
      <c r="G145" s="471"/>
      <c r="H145" s="471"/>
      <c r="I145" s="471"/>
    </row>
    <row r="146" spans="2:9">
      <c r="B146" s="471"/>
      <c r="C146" s="471"/>
      <c r="D146" s="471"/>
      <c r="E146" s="471"/>
      <c r="F146" s="471"/>
      <c r="G146" s="471"/>
      <c r="H146" s="471"/>
      <c r="I146" s="471"/>
    </row>
    <row r="147" spans="2:9">
      <c r="B147" s="471"/>
      <c r="C147" s="471"/>
      <c r="D147" s="471"/>
      <c r="E147" s="471"/>
      <c r="F147" s="471"/>
      <c r="G147" s="471"/>
      <c r="H147" s="471"/>
      <c r="I147" s="471"/>
    </row>
    <row r="148" spans="2:9">
      <c r="B148" s="471"/>
      <c r="C148" s="471"/>
      <c r="D148" s="471"/>
      <c r="E148" s="471"/>
      <c r="F148" s="471"/>
      <c r="G148" s="471"/>
      <c r="H148" s="471"/>
      <c r="I148" s="471"/>
    </row>
    <row r="149" spans="2:9">
      <c r="B149" s="471"/>
      <c r="C149" s="471"/>
      <c r="D149" s="471"/>
      <c r="E149" s="471"/>
      <c r="F149" s="471"/>
      <c r="G149" s="471"/>
      <c r="H149" s="471"/>
      <c r="I149" s="471"/>
    </row>
    <row r="150" spans="2:9">
      <c r="B150" s="471"/>
      <c r="C150" s="471"/>
      <c r="D150" s="471"/>
      <c r="E150" s="471"/>
      <c r="F150" s="471"/>
      <c r="G150" s="471"/>
      <c r="H150" s="471"/>
      <c r="I150" s="471"/>
    </row>
    <row r="151" spans="2:9">
      <c r="B151" s="471"/>
      <c r="C151" s="471"/>
      <c r="D151" s="471"/>
      <c r="E151" s="471"/>
      <c r="F151" s="471"/>
      <c r="G151" s="471"/>
      <c r="H151" s="471"/>
      <c r="I151" s="471"/>
    </row>
    <row r="152" spans="2:9">
      <c r="B152" s="471"/>
      <c r="C152" s="471"/>
      <c r="D152" s="471"/>
      <c r="E152" s="471"/>
      <c r="F152" s="471"/>
      <c r="G152" s="471"/>
      <c r="H152" s="471"/>
      <c r="I152" s="471"/>
    </row>
    <row r="153" spans="2:9">
      <c r="B153" s="471"/>
      <c r="C153" s="471"/>
      <c r="D153" s="471"/>
      <c r="E153" s="471"/>
      <c r="F153" s="471"/>
      <c r="G153" s="471"/>
      <c r="H153" s="471"/>
      <c r="I153" s="471"/>
    </row>
    <row r="154" spans="2:9">
      <c r="B154" s="471"/>
      <c r="C154" s="471"/>
      <c r="D154" s="471"/>
      <c r="E154" s="471"/>
      <c r="F154" s="471"/>
      <c r="G154" s="471"/>
      <c r="H154" s="471"/>
      <c r="I154" s="471"/>
    </row>
    <row r="155" spans="2:9">
      <c r="B155" s="471"/>
      <c r="C155" s="471"/>
      <c r="D155" s="471"/>
      <c r="E155" s="471"/>
      <c r="F155" s="471"/>
      <c r="G155" s="471"/>
      <c r="H155" s="471"/>
      <c r="I155" s="471"/>
    </row>
    <row r="156" spans="2:9">
      <c r="B156" s="471"/>
      <c r="C156" s="471"/>
      <c r="D156" s="471"/>
      <c r="E156" s="471"/>
      <c r="F156" s="471"/>
      <c r="G156" s="471"/>
      <c r="H156" s="471"/>
      <c r="I156" s="471"/>
    </row>
    <row r="157" spans="2:9">
      <c r="B157" s="471"/>
      <c r="C157" s="471"/>
      <c r="D157" s="471"/>
      <c r="E157" s="471"/>
      <c r="F157" s="471"/>
      <c r="G157" s="471"/>
      <c r="H157" s="471"/>
      <c r="I157" s="471"/>
    </row>
    <row r="158" spans="2:9">
      <c r="B158" s="471"/>
      <c r="C158" s="471"/>
      <c r="D158" s="471"/>
      <c r="E158" s="471"/>
      <c r="F158" s="471"/>
      <c r="G158" s="471"/>
      <c r="H158" s="471"/>
      <c r="I158" s="471"/>
    </row>
    <row r="159" spans="2:9">
      <c r="B159" s="471"/>
      <c r="C159" s="471"/>
      <c r="D159" s="471"/>
      <c r="E159" s="471"/>
      <c r="F159" s="471"/>
      <c r="G159" s="471"/>
      <c r="H159" s="471"/>
      <c r="I159" s="471"/>
    </row>
    <row r="160" spans="2:9">
      <c r="B160" s="471"/>
      <c r="C160" s="471"/>
      <c r="D160" s="471"/>
      <c r="E160" s="471"/>
      <c r="F160" s="471"/>
      <c r="G160" s="471"/>
      <c r="H160" s="471"/>
      <c r="I160" s="471"/>
    </row>
    <row r="161" spans="2:9">
      <c r="B161" s="471"/>
      <c r="C161" s="471"/>
      <c r="D161" s="471"/>
      <c r="E161" s="471"/>
      <c r="F161" s="471"/>
      <c r="G161" s="471"/>
      <c r="H161" s="471"/>
      <c r="I161" s="471"/>
    </row>
    <row r="162" spans="2:9">
      <c r="B162" s="471"/>
      <c r="C162" s="471"/>
      <c r="D162" s="471"/>
      <c r="E162" s="471"/>
      <c r="F162" s="471"/>
      <c r="G162" s="471"/>
      <c r="H162" s="471"/>
      <c r="I162" s="471"/>
    </row>
    <row r="163" spans="2:9">
      <c r="B163" s="471"/>
      <c r="C163" s="471"/>
      <c r="D163" s="471"/>
      <c r="E163" s="471"/>
      <c r="F163" s="471"/>
      <c r="G163" s="471"/>
      <c r="H163" s="471"/>
      <c r="I163" s="471"/>
    </row>
    <row r="164" spans="2:9">
      <c r="B164" s="471"/>
      <c r="C164" s="471"/>
      <c r="D164" s="471"/>
      <c r="E164" s="471"/>
      <c r="F164" s="471"/>
      <c r="G164" s="471"/>
      <c r="H164" s="471"/>
      <c r="I164" s="471"/>
    </row>
    <row r="165" spans="2:9">
      <c r="B165" s="471"/>
      <c r="C165" s="471"/>
      <c r="D165" s="471"/>
      <c r="E165" s="471"/>
      <c r="F165" s="471"/>
      <c r="G165" s="471"/>
      <c r="H165" s="471"/>
      <c r="I165" s="471"/>
    </row>
    <row r="166" spans="2:9">
      <c r="B166" s="471"/>
      <c r="C166" s="471"/>
      <c r="D166" s="471"/>
      <c r="E166" s="471"/>
      <c r="F166" s="471"/>
      <c r="G166" s="471"/>
      <c r="H166" s="471"/>
      <c r="I166" s="471"/>
    </row>
    <row r="167" spans="2:9">
      <c r="B167" s="471"/>
      <c r="C167" s="471"/>
      <c r="D167" s="471"/>
      <c r="E167" s="471"/>
      <c r="F167" s="471"/>
      <c r="G167" s="471"/>
      <c r="H167" s="471"/>
      <c r="I167" s="471"/>
    </row>
    <row r="168" spans="2:9">
      <c r="B168" s="471"/>
      <c r="C168" s="471"/>
      <c r="D168" s="471"/>
      <c r="E168" s="471"/>
      <c r="F168" s="471"/>
      <c r="G168" s="471"/>
      <c r="H168" s="471"/>
      <c r="I168" s="471"/>
    </row>
    <row r="169" spans="2:9">
      <c r="B169" s="471"/>
      <c r="C169" s="471"/>
      <c r="D169" s="471"/>
      <c r="E169" s="471"/>
      <c r="F169" s="471"/>
      <c r="G169" s="471"/>
      <c r="H169" s="471"/>
      <c r="I169" s="471"/>
    </row>
    <row r="170" spans="2:9">
      <c r="B170" s="471"/>
      <c r="C170" s="471"/>
      <c r="D170" s="471"/>
      <c r="E170" s="471"/>
      <c r="F170" s="471"/>
      <c r="G170" s="471"/>
      <c r="H170" s="471"/>
      <c r="I170" s="471"/>
    </row>
    <row r="171" spans="2:9">
      <c r="B171" s="471"/>
      <c r="C171" s="471"/>
      <c r="D171" s="471"/>
      <c r="E171" s="471"/>
      <c r="F171" s="471"/>
      <c r="G171" s="471"/>
      <c r="H171" s="471"/>
      <c r="I171" s="471"/>
    </row>
    <row r="172" spans="2:9">
      <c r="B172" s="471"/>
      <c r="C172" s="471"/>
      <c r="D172" s="471"/>
      <c r="E172" s="471"/>
      <c r="F172" s="471"/>
      <c r="G172" s="471"/>
      <c r="H172" s="471"/>
      <c r="I172" s="471"/>
    </row>
    <row r="173" spans="2:9">
      <c r="B173" s="471"/>
      <c r="C173" s="471"/>
      <c r="D173" s="471"/>
      <c r="E173" s="471"/>
      <c r="F173" s="471"/>
      <c r="G173" s="471"/>
      <c r="H173" s="471"/>
      <c r="I173" s="471"/>
    </row>
    <row r="174" spans="2:9">
      <c r="B174" s="471"/>
      <c r="C174" s="471"/>
      <c r="D174" s="471"/>
      <c r="E174" s="471"/>
      <c r="F174" s="471"/>
      <c r="G174" s="471"/>
      <c r="H174" s="471"/>
      <c r="I174" s="471"/>
    </row>
    <row r="175" spans="2:9">
      <c r="B175" s="471"/>
      <c r="C175" s="471"/>
      <c r="D175" s="471"/>
      <c r="E175" s="471"/>
      <c r="F175" s="471"/>
      <c r="G175" s="471"/>
      <c r="H175" s="471"/>
      <c r="I175" s="471"/>
    </row>
    <row r="176" spans="2:9">
      <c r="B176" s="471"/>
      <c r="C176" s="471"/>
      <c r="D176" s="471"/>
      <c r="E176" s="471"/>
      <c r="F176" s="471"/>
      <c r="G176" s="471"/>
      <c r="H176" s="471"/>
      <c r="I176" s="471"/>
    </row>
    <row r="177" spans="2:9">
      <c r="B177" s="471"/>
      <c r="C177" s="471"/>
      <c r="D177" s="471"/>
      <c r="E177" s="471"/>
      <c r="F177" s="471"/>
      <c r="G177" s="471"/>
      <c r="H177" s="471"/>
      <c r="I177" s="471"/>
    </row>
    <row r="178" spans="2:9">
      <c r="B178" s="471"/>
      <c r="C178" s="471"/>
      <c r="D178" s="471"/>
      <c r="E178" s="471"/>
      <c r="F178" s="471"/>
      <c r="G178" s="471"/>
      <c r="H178" s="471"/>
      <c r="I178" s="471"/>
    </row>
    <row r="179" spans="2:9">
      <c r="B179" s="471"/>
      <c r="C179" s="471"/>
      <c r="D179" s="471"/>
      <c r="E179" s="471"/>
      <c r="F179" s="471"/>
      <c r="G179" s="471"/>
      <c r="H179" s="471"/>
      <c r="I179" s="471"/>
    </row>
    <row r="180" spans="2:9">
      <c r="B180" s="471"/>
      <c r="C180" s="471"/>
      <c r="D180" s="471"/>
      <c r="E180" s="471"/>
      <c r="F180" s="471"/>
      <c r="G180" s="471"/>
      <c r="H180" s="471"/>
      <c r="I180" s="471"/>
    </row>
    <row r="181" spans="2:9">
      <c r="B181" s="471"/>
      <c r="C181" s="471"/>
      <c r="D181" s="471"/>
      <c r="E181" s="471"/>
      <c r="F181" s="471"/>
      <c r="G181" s="471"/>
      <c r="H181" s="471"/>
      <c r="I181" s="471"/>
    </row>
    <row r="182" spans="2:9">
      <c r="B182" s="471"/>
      <c r="C182" s="471"/>
      <c r="D182" s="471"/>
      <c r="E182" s="471"/>
      <c r="F182" s="471"/>
      <c r="G182" s="471"/>
      <c r="H182" s="471"/>
      <c r="I182" s="471"/>
    </row>
    <row r="183" spans="2:9">
      <c r="B183" s="471"/>
      <c r="C183" s="471"/>
      <c r="D183" s="471"/>
      <c r="E183" s="471"/>
      <c r="F183" s="471"/>
      <c r="G183" s="471"/>
      <c r="H183" s="471"/>
      <c r="I183" s="471"/>
    </row>
    <row r="184" spans="2:9">
      <c r="B184" s="471"/>
      <c r="C184" s="471"/>
      <c r="D184" s="471"/>
      <c r="E184" s="471"/>
      <c r="F184" s="471"/>
      <c r="G184" s="471"/>
      <c r="H184" s="471"/>
      <c r="I184" s="471"/>
    </row>
    <row r="185" spans="2:9">
      <c r="B185" s="471"/>
      <c r="C185" s="471"/>
      <c r="D185" s="471"/>
      <c r="E185" s="471"/>
      <c r="F185" s="471"/>
      <c r="G185" s="471"/>
      <c r="H185" s="471"/>
      <c r="I185" s="471"/>
    </row>
    <row r="186" spans="2:9">
      <c r="B186" s="471"/>
      <c r="C186" s="471"/>
      <c r="D186" s="471"/>
      <c r="E186" s="471"/>
      <c r="F186" s="471"/>
      <c r="G186" s="471"/>
      <c r="H186" s="471"/>
      <c r="I186" s="471"/>
    </row>
    <row r="187" spans="2:9">
      <c r="B187" s="471"/>
      <c r="C187" s="471"/>
      <c r="D187" s="471"/>
      <c r="E187" s="471"/>
      <c r="F187" s="471"/>
      <c r="G187" s="471"/>
      <c r="H187" s="471"/>
      <c r="I187" s="471"/>
    </row>
    <row r="188" spans="2:9">
      <c r="B188" s="471"/>
      <c r="C188" s="471"/>
      <c r="D188" s="471"/>
      <c r="E188" s="471"/>
      <c r="F188" s="471"/>
      <c r="G188" s="471"/>
      <c r="H188" s="471"/>
      <c r="I188" s="471"/>
    </row>
    <row r="189" spans="2:9">
      <c r="B189" s="471"/>
      <c r="C189" s="471"/>
      <c r="D189" s="471"/>
      <c r="E189" s="471"/>
      <c r="F189" s="471"/>
      <c r="G189" s="471"/>
      <c r="H189" s="471"/>
      <c r="I189" s="471"/>
    </row>
    <row r="190" spans="2:9">
      <c r="B190" s="471"/>
      <c r="C190" s="471"/>
      <c r="D190" s="471"/>
      <c r="E190" s="471"/>
      <c r="F190" s="471"/>
      <c r="G190" s="471"/>
      <c r="H190" s="471"/>
      <c r="I190" s="471"/>
    </row>
    <row r="191" spans="2:9">
      <c r="B191" s="471"/>
      <c r="C191" s="471"/>
      <c r="D191" s="471"/>
      <c r="E191" s="471"/>
      <c r="F191" s="471"/>
      <c r="G191" s="471"/>
      <c r="H191" s="471"/>
      <c r="I191" s="471"/>
    </row>
    <row r="192" spans="2:9">
      <c r="B192" s="471"/>
      <c r="C192" s="471"/>
      <c r="D192" s="471"/>
      <c r="E192" s="471"/>
      <c r="F192" s="471"/>
      <c r="G192" s="471"/>
      <c r="H192" s="471"/>
      <c r="I192" s="471"/>
    </row>
    <row r="193" spans="2:9">
      <c r="B193" s="471"/>
      <c r="C193" s="471"/>
      <c r="D193" s="471"/>
      <c r="E193" s="471"/>
      <c r="F193" s="471"/>
      <c r="G193" s="471"/>
      <c r="H193" s="471"/>
      <c r="I193" s="471"/>
    </row>
    <row r="194" spans="2:9">
      <c r="B194" s="471"/>
      <c r="C194" s="471"/>
      <c r="D194" s="471"/>
      <c r="E194" s="471"/>
      <c r="F194" s="471"/>
      <c r="G194" s="471"/>
      <c r="H194" s="471"/>
      <c r="I194" s="471"/>
    </row>
    <row r="195" spans="2:9">
      <c r="B195" s="471"/>
      <c r="C195" s="471"/>
      <c r="D195" s="471"/>
      <c r="E195" s="471"/>
      <c r="F195" s="471"/>
      <c r="G195" s="471"/>
      <c r="H195" s="471"/>
      <c r="I195" s="471"/>
    </row>
    <row r="196" spans="2:9">
      <c r="B196" s="471"/>
      <c r="C196" s="471"/>
      <c r="D196" s="471"/>
      <c r="E196" s="471"/>
      <c r="F196" s="471"/>
      <c r="G196" s="471"/>
      <c r="H196" s="471"/>
      <c r="I196" s="471"/>
    </row>
    <row r="197" spans="2:9">
      <c r="B197" s="471"/>
      <c r="C197" s="471"/>
      <c r="D197" s="471"/>
      <c r="E197" s="471"/>
      <c r="F197" s="471"/>
      <c r="G197" s="471"/>
      <c r="H197" s="471"/>
      <c r="I197" s="471"/>
    </row>
    <row r="198" spans="2:9">
      <c r="B198" s="471"/>
      <c r="C198" s="471"/>
      <c r="D198" s="471"/>
      <c r="E198" s="471"/>
      <c r="F198" s="471"/>
      <c r="G198" s="471"/>
      <c r="H198" s="471"/>
      <c r="I198" s="471"/>
    </row>
    <row r="199" spans="2:9">
      <c r="B199" s="471"/>
      <c r="C199" s="471"/>
      <c r="D199" s="471"/>
      <c r="E199" s="471"/>
      <c r="F199" s="471"/>
      <c r="G199" s="471"/>
      <c r="H199" s="471"/>
      <c r="I199" s="471"/>
    </row>
    <row r="200" spans="2:9">
      <c r="B200" s="471"/>
      <c r="C200" s="471"/>
      <c r="D200" s="471"/>
      <c r="E200" s="471"/>
      <c r="F200" s="471"/>
      <c r="G200" s="471"/>
      <c r="H200" s="471"/>
      <c r="I200" s="471"/>
    </row>
    <row r="201" spans="2:9">
      <c r="B201" s="471"/>
      <c r="C201" s="471"/>
      <c r="D201" s="471"/>
      <c r="E201" s="471"/>
      <c r="F201" s="471"/>
      <c r="G201" s="471"/>
      <c r="H201" s="471"/>
      <c r="I201" s="471"/>
    </row>
    <row r="202" spans="2:9">
      <c r="B202" s="471"/>
      <c r="C202" s="471"/>
      <c r="D202" s="471"/>
      <c r="E202" s="471"/>
      <c r="F202" s="471"/>
      <c r="G202" s="471"/>
      <c r="H202" s="471"/>
      <c r="I202" s="471"/>
    </row>
    <row r="203" spans="2:9">
      <c r="B203" s="471"/>
      <c r="C203" s="471"/>
      <c r="D203" s="471"/>
      <c r="E203" s="471"/>
      <c r="F203" s="471"/>
      <c r="G203" s="471"/>
      <c r="H203" s="471"/>
      <c r="I203" s="471"/>
    </row>
    <row r="204" spans="2:9">
      <c r="B204" s="471"/>
      <c r="C204" s="471"/>
      <c r="D204" s="471"/>
      <c r="E204" s="471"/>
      <c r="F204" s="471"/>
      <c r="G204" s="471"/>
      <c r="H204" s="471"/>
      <c r="I204" s="471"/>
    </row>
    <row r="205" spans="2:9">
      <c r="B205" s="471"/>
      <c r="C205" s="471"/>
      <c r="D205" s="471"/>
      <c r="E205" s="471"/>
      <c r="F205" s="471"/>
      <c r="G205" s="471"/>
      <c r="H205" s="471"/>
      <c r="I205" s="471"/>
    </row>
    <row r="206" spans="2:9">
      <c r="B206" s="471"/>
      <c r="C206" s="471"/>
      <c r="D206" s="471"/>
      <c r="E206" s="471"/>
      <c r="F206" s="471"/>
      <c r="G206" s="471"/>
      <c r="H206" s="471"/>
      <c r="I206" s="471"/>
    </row>
    <row r="207" spans="2:9">
      <c r="B207" s="471"/>
      <c r="C207" s="471"/>
      <c r="D207" s="471"/>
      <c r="E207" s="471"/>
      <c r="F207" s="471"/>
      <c r="G207" s="471"/>
      <c r="H207" s="471"/>
      <c r="I207" s="471"/>
    </row>
    <row r="208" spans="2:9">
      <c r="B208" s="471"/>
      <c r="C208" s="471"/>
      <c r="D208" s="471"/>
      <c r="E208" s="471"/>
      <c r="F208" s="471"/>
      <c r="G208" s="471"/>
      <c r="H208" s="471"/>
      <c r="I208" s="471"/>
    </row>
    <row r="209" spans="2:9">
      <c r="B209" s="471"/>
      <c r="C209" s="471"/>
      <c r="D209" s="471"/>
      <c r="E209" s="471"/>
      <c r="F209" s="471"/>
      <c r="G209" s="471"/>
      <c r="H209" s="471"/>
      <c r="I209" s="471"/>
    </row>
    <row r="210" spans="2:9">
      <c r="B210" s="471"/>
      <c r="C210" s="471"/>
      <c r="D210" s="471"/>
      <c r="E210" s="471"/>
      <c r="F210" s="471"/>
      <c r="G210" s="471"/>
      <c r="H210" s="471"/>
      <c r="I210" s="471"/>
    </row>
    <row r="211" spans="2:9">
      <c r="B211" s="471"/>
      <c r="C211" s="471"/>
      <c r="D211" s="471"/>
      <c r="E211" s="471"/>
      <c r="F211" s="471"/>
      <c r="G211" s="471"/>
      <c r="H211" s="471"/>
      <c r="I211" s="471"/>
    </row>
    <row r="212" spans="2:9">
      <c r="B212" s="471"/>
      <c r="C212" s="471"/>
      <c r="D212" s="471"/>
      <c r="E212" s="471"/>
      <c r="F212" s="471"/>
      <c r="G212" s="471"/>
      <c r="H212" s="471"/>
      <c r="I212" s="471"/>
    </row>
    <row r="213" spans="2:9">
      <c r="B213" s="471"/>
      <c r="C213" s="471"/>
      <c r="D213" s="471"/>
      <c r="E213" s="471"/>
      <c r="F213" s="471"/>
      <c r="G213" s="471"/>
      <c r="H213" s="471"/>
      <c r="I213" s="471"/>
    </row>
    <row r="214" spans="2:9">
      <c r="B214" s="471"/>
      <c r="C214" s="471"/>
      <c r="D214" s="471"/>
      <c r="E214" s="471"/>
      <c r="F214" s="471"/>
      <c r="G214" s="471"/>
      <c r="H214" s="471"/>
      <c r="I214" s="471"/>
    </row>
    <row r="215" spans="2:9">
      <c r="B215" s="471"/>
      <c r="C215" s="471"/>
      <c r="D215" s="471"/>
      <c r="E215" s="471"/>
      <c r="F215" s="471"/>
      <c r="G215" s="471"/>
      <c r="H215" s="471"/>
      <c r="I215" s="471"/>
    </row>
    <row r="216" spans="2:9">
      <c r="C216" s="471"/>
      <c r="D216" s="471"/>
      <c r="E216" s="471"/>
      <c r="F216" s="471"/>
      <c r="G216" s="471"/>
      <c r="H216" s="471"/>
      <c r="I216" s="471"/>
    </row>
    <row r="217" spans="2:9">
      <c r="C217" s="471"/>
      <c r="D217" s="471"/>
      <c r="E217" s="471"/>
      <c r="F217" s="471"/>
      <c r="G217" s="471"/>
      <c r="H217" s="471"/>
      <c r="I217" s="471"/>
    </row>
    <row r="218" spans="2:9">
      <c r="C218" s="471"/>
      <c r="D218" s="471"/>
      <c r="E218" s="471"/>
      <c r="F218" s="471"/>
      <c r="G218" s="471"/>
      <c r="H218" s="471"/>
      <c r="I218" s="471"/>
    </row>
    <row r="219" spans="2:9">
      <c r="C219" s="471"/>
      <c r="D219" s="471"/>
      <c r="E219" s="471"/>
      <c r="F219" s="471"/>
      <c r="G219" s="471"/>
      <c r="H219" s="471"/>
      <c r="I219" s="471"/>
    </row>
    <row r="220" spans="2:9">
      <c r="C220" s="471"/>
      <c r="D220" s="471"/>
      <c r="E220" s="471"/>
      <c r="F220" s="471"/>
      <c r="G220" s="471"/>
      <c r="H220" s="471"/>
      <c r="I220" s="471"/>
    </row>
    <row r="221" spans="2:9">
      <c r="C221" s="471"/>
      <c r="D221" s="471"/>
      <c r="F221" s="471"/>
      <c r="G221" s="471"/>
      <c r="H221" s="471"/>
      <c r="I221" s="471"/>
    </row>
    <row r="222" spans="2:9">
      <c r="C222" s="471"/>
      <c r="D222" s="471"/>
      <c r="F222" s="471"/>
      <c r="G222" s="471"/>
      <c r="H222" s="471"/>
      <c r="I222" s="471"/>
    </row>
    <row r="223" spans="2:9">
      <c r="C223" s="471"/>
      <c r="D223" s="471"/>
      <c r="I223" s="471"/>
    </row>
    <row r="224" spans="2:9">
      <c r="C224" s="471"/>
      <c r="D224" s="471"/>
      <c r="I224" s="471"/>
    </row>
    <row r="225" spans="3:9">
      <c r="C225" s="471"/>
      <c r="D225" s="471"/>
      <c r="I225" s="471"/>
    </row>
    <row r="226" spans="3:9">
      <c r="I226" s="471"/>
    </row>
    <row r="227" spans="3:9">
      <c r="I227" s="471"/>
    </row>
    <row r="228" spans="3:9">
      <c r="I228" s="471"/>
    </row>
    <row r="229" spans="3:9">
      <c r="I229" s="471"/>
    </row>
    <row r="230" spans="3:9">
      <c r="I230" s="471"/>
    </row>
  </sheetData>
  <mergeCells count="10">
    <mergeCell ref="A94:H94"/>
    <mergeCell ref="A95:H95"/>
    <mergeCell ref="A96:H96"/>
    <mergeCell ref="G86:H86"/>
    <mergeCell ref="G87:H87"/>
    <mergeCell ref="B5:H5"/>
    <mergeCell ref="B6:H6"/>
    <mergeCell ref="B7:H7"/>
    <mergeCell ref="B9:B10"/>
    <mergeCell ref="F9:F1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3:I94"/>
  <sheetViews>
    <sheetView showGridLines="0" topLeftCell="A7" zoomScaleNormal="100" workbookViewId="0">
      <selection activeCell="C87" sqref="C87"/>
    </sheetView>
  </sheetViews>
  <sheetFormatPr baseColWidth="10" defaultColWidth="11.42578125" defaultRowHeight="15"/>
  <cols>
    <col min="1" max="1" width="4.5703125" style="543" customWidth="1"/>
    <col min="2" max="2" width="83.7109375" style="545" customWidth="1"/>
    <col min="3" max="4" width="25.7109375" style="545" customWidth="1"/>
    <col min="5" max="5" width="16.28515625" style="545" bestFit="1" customWidth="1"/>
    <col min="6" max="6" width="15" style="545" bestFit="1" customWidth="1"/>
    <col min="7" max="16384" width="11.42578125" style="545"/>
  </cols>
  <sheetData>
    <row r="3" spans="1:6" ht="19.5">
      <c r="B3" s="1108"/>
      <c r="C3" s="1108"/>
      <c r="D3" s="1108"/>
      <c r="E3" s="544"/>
      <c r="F3" s="544"/>
    </row>
    <row r="4" spans="1:6" ht="19.5">
      <c r="B4" s="874"/>
      <c r="C4" s="925"/>
      <c r="D4" s="925"/>
      <c r="E4" s="544"/>
      <c r="F4" s="544"/>
    </row>
    <row r="5" spans="1:6">
      <c r="A5" s="546"/>
      <c r="B5" s="1111" t="s">
        <v>1198</v>
      </c>
      <c r="C5" s="1111"/>
      <c r="D5" s="1111"/>
    </row>
    <row r="6" spans="1:6">
      <c r="B6" s="1112" t="s">
        <v>1151</v>
      </c>
      <c r="C6" s="1112"/>
      <c r="D6" s="1112"/>
    </row>
    <row r="7" spans="1:6" ht="15.75" thickBot="1">
      <c r="C7" s="547">
        <v>44196</v>
      </c>
      <c r="D7" s="548">
        <v>43830</v>
      </c>
    </row>
    <row r="8" spans="1:6" s="551" customFormat="1">
      <c r="A8" s="549"/>
      <c r="B8" s="1109"/>
      <c r="C8" s="550" t="s">
        <v>536</v>
      </c>
      <c r="D8" s="550" t="s">
        <v>729</v>
      </c>
    </row>
    <row r="9" spans="1:6" ht="15.75" thickBot="1">
      <c r="B9" s="1110"/>
      <c r="C9" s="937" t="s">
        <v>728</v>
      </c>
      <c r="D9" s="552" t="s">
        <v>730</v>
      </c>
    </row>
    <row r="10" spans="1:6">
      <c r="B10" s="582" t="s">
        <v>731</v>
      </c>
      <c r="C10" s="936"/>
      <c r="D10" s="935"/>
    </row>
    <row r="11" spans="1:6">
      <c r="B11" s="555" t="s">
        <v>732</v>
      </c>
      <c r="C11" s="556"/>
      <c r="D11" s="554"/>
    </row>
    <row r="12" spans="1:6">
      <c r="B12" s="557" t="s">
        <v>737</v>
      </c>
      <c r="C12" s="556">
        <v>0</v>
      </c>
      <c r="D12" s="554">
        <v>0</v>
      </c>
    </row>
    <row r="13" spans="1:6" ht="15" customHeight="1">
      <c r="B13" s="557" t="s">
        <v>736</v>
      </c>
      <c r="C13" s="556">
        <v>87758516</v>
      </c>
      <c r="D13" s="559">
        <v>91774512</v>
      </c>
    </row>
    <row r="14" spans="1:6" ht="15" customHeight="1">
      <c r="B14" s="557"/>
      <c r="C14" s="556"/>
      <c r="D14" s="559"/>
    </row>
    <row r="15" spans="1:6" ht="15" customHeight="1">
      <c r="B15" s="555" t="s">
        <v>733</v>
      </c>
      <c r="C15" s="558"/>
      <c r="D15" s="559"/>
    </row>
    <row r="16" spans="1:6">
      <c r="B16" s="557" t="s">
        <v>734</v>
      </c>
      <c r="C16" s="560">
        <v>0</v>
      </c>
      <c r="D16" s="561">
        <v>0</v>
      </c>
    </row>
    <row r="17" spans="1:4">
      <c r="B17" s="557" t="s">
        <v>989</v>
      </c>
      <c r="C17" s="560">
        <f>516474872-12412024</f>
        <v>504062848</v>
      </c>
      <c r="D17" s="561">
        <v>321921140</v>
      </c>
    </row>
    <row r="18" spans="1:4">
      <c r="B18" s="557"/>
      <c r="C18" s="560"/>
      <c r="D18" s="561"/>
    </row>
    <row r="19" spans="1:4">
      <c r="B19" s="555" t="s">
        <v>735</v>
      </c>
      <c r="C19" s="560"/>
      <c r="D19" s="561"/>
    </row>
    <row r="20" spans="1:4">
      <c r="B20" s="557" t="s">
        <v>738</v>
      </c>
      <c r="C20" s="560">
        <v>0</v>
      </c>
      <c r="D20" s="561">
        <v>0</v>
      </c>
    </row>
    <row r="21" spans="1:4">
      <c r="B21" s="557" t="s">
        <v>739</v>
      </c>
      <c r="C21" s="560">
        <v>0</v>
      </c>
      <c r="D21" s="561">
        <v>0</v>
      </c>
    </row>
    <row r="22" spans="1:4">
      <c r="B22" s="557"/>
      <c r="C22" s="558"/>
      <c r="D22" s="561"/>
    </row>
    <row r="23" spans="1:4" s="564" customFormat="1">
      <c r="A23" s="563"/>
      <c r="B23" s="557" t="s">
        <v>1074</v>
      </c>
      <c r="C23" s="560">
        <v>17899372</v>
      </c>
      <c r="D23" s="561">
        <v>15786066</v>
      </c>
    </row>
    <row r="24" spans="1:4">
      <c r="B24" s="557" t="s">
        <v>1157</v>
      </c>
      <c r="C24" s="560">
        <v>123061392</v>
      </c>
      <c r="D24" s="561">
        <v>123704928</v>
      </c>
    </row>
    <row r="25" spans="1:4">
      <c r="B25" s="557" t="s">
        <v>1156</v>
      </c>
      <c r="C25" s="560">
        <v>1748214224</v>
      </c>
      <c r="D25" s="560">
        <v>1051133223</v>
      </c>
    </row>
    <row r="26" spans="1:4">
      <c r="B26" s="557" t="s">
        <v>1075</v>
      </c>
      <c r="C26" s="864">
        <v>0</v>
      </c>
      <c r="D26" s="561">
        <v>0</v>
      </c>
    </row>
    <row r="27" spans="1:4">
      <c r="B27" s="557" t="s">
        <v>740</v>
      </c>
      <c r="C27" s="566">
        <v>0</v>
      </c>
      <c r="D27" s="561">
        <v>0</v>
      </c>
    </row>
    <row r="28" spans="1:4">
      <c r="B28" s="557" t="s">
        <v>741</v>
      </c>
      <c r="C28" s="566">
        <v>0</v>
      </c>
      <c r="D28" s="561">
        <v>0</v>
      </c>
    </row>
    <row r="29" spans="1:4">
      <c r="B29" s="557" t="s">
        <v>742</v>
      </c>
      <c r="C29" s="864">
        <v>0</v>
      </c>
      <c r="D29" s="561">
        <v>0</v>
      </c>
    </row>
    <row r="30" spans="1:4">
      <c r="B30" s="557" t="s">
        <v>743</v>
      </c>
      <c r="C30" s="864">
        <v>0</v>
      </c>
      <c r="D30" s="561">
        <v>0</v>
      </c>
    </row>
    <row r="31" spans="1:4">
      <c r="B31" s="557"/>
      <c r="C31" s="567"/>
      <c r="D31" s="561"/>
    </row>
    <row r="32" spans="1:4">
      <c r="B32" s="557" t="s">
        <v>744</v>
      </c>
      <c r="C32" s="864">
        <v>0</v>
      </c>
      <c r="D32" s="561">
        <v>0</v>
      </c>
    </row>
    <row r="33" spans="1:6">
      <c r="B33" s="557"/>
      <c r="C33" s="558"/>
      <c r="D33" s="561"/>
    </row>
    <row r="34" spans="1:6" s="551" customFormat="1">
      <c r="A34" s="549"/>
      <c r="B34" s="553" t="s">
        <v>745</v>
      </c>
      <c r="C34" s="562">
        <f>SUM(C10:C32)</f>
        <v>2480996352</v>
      </c>
      <c r="D34" s="568">
        <f>SUM(D10:D32)</f>
        <v>1604319869</v>
      </c>
    </row>
    <row r="35" spans="1:6">
      <c r="B35" s="553" t="s">
        <v>746</v>
      </c>
      <c r="C35" s="565"/>
      <c r="D35" s="559"/>
    </row>
    <row r="36" spans="1:6">
      <c r="B36" s="557" t="s">
        <v>751</v>
      </c>
      <c r="C36" s="575">
        <v>1327941807</v>
      </c>
      <c r="D36" s="559">
        <v>0</v>
      </c>
    </row>
    <row r="37" spans="1:6">
      <c r="B37" s="557" t="s">
        <v>752</v>
      </c>
      <c r="C37" s="556">
        <v>2530200</v>
      </c>
      <c r="D37" s="559">
        <v>2437560</v>
      </c>
    </row>
    <row r="38" spans="1:6">
      <c r="B38" s="557" t="s">
        <v>753</v>
      </c>
      <c r="C38" s="556">
        <f>+'OTROS GASTOS OP, COM Y ADM'!B12</f>
        <v>82438415</v>
      </c>
      <c r="D38" s="559">
        <v>48135598</v>
      </c>
    </row>
    <row r="39" spans="1:6" s="551" customFormat="1">
      <c r="A39" s="549"/>
      <c r="B39" s="553" t="s">
        <v>754</v>
      </c>
      <c r="C39" s="926">
        <f>+C34-C35-C36-C37-C38</f>
        <v>1068085930</v>
      </c>
      <c r="D39" s="570">
        <f>+D34-D35-D36-D37-D38</f>
        <v>1553746711</v>
      </c>
    </row>
    <row r="40" spans="1:6" s="551" customFormat="1">
      <c r="A40" s="549"/>
      <c r="B40" s="553"/>
      <c r="C40" s="562"/>
      <c r="D40" s="570"/>
    </row>
    <row r="41" spans="1:6" s="551" customFormat="1">
      <c r="A41" s="549"/>
      <c r="B41" s="553" t="s">
        <v>747</v>
      </c>
      <c r="C41" s="569"/>
      <c r="D41" s="559"/>
    </row>
    <row r="42" spans="1:6">
      <c r="B42" s="557" t="s">
        <v>755</v>
      </c>
      <c r="C42" s="575">
        <v>0</v>
      </c>
      <c r="D42" s="559">
        <v>0</v>
      </c>
    </row>
    <row r="43" spans="1:6">
      <c r="B43" s="557" t="s">
        <v>756</v>
      </c>
      <c r="C43" s="575">
        <v>0</v>
      </c>
      <c r="D43" s="559">
        <v>0</v>
      </c>
    </row>
    <row r="44" spans="1:6">
      <c r="B44" s="557" t="s">
        <v>757</v>
      </c>
      <c r="C44" s="575">
        <f>+'OTROS GASTOS OP, COM Y ADM'!B15</f>
        <v>5555102</v>
      </c>
      <c r="D44" s="559">
        <v>14879371</v>
      </c>
    </row>
    <row r="45" spans="1:6">
      <c r="B45" s="557"/>
      <c r="C45" s="569">
        <f>+C44</f>
        <v>5555102</v>
      </c>
      <c r="D45" s="570">
        <f>+D44</f>
        <v>14879371</v>
      </c>
    </row>
    <row r="46" spans="1:6" s="551" customFormat="1" ht="15" customHeight="1">
      <c r="A46" s="549"/>
      <c r="B46" s="553" t="s">
        <v>748</v>
      </c>
      <c r="C46" s="571"/>
      <c r="D46" s="570"/>
      <c r="E46" s="572"/>
      <c r="F46" s="572"/>
    </row>
    <row r="47" spans="1:6" ht="15.75" customHeight="1">
      <c r="B47" s="557" t="s">
        <v>990</v>
      </c>
      <c r="C47" s="556">
        <f>23940476+205128750+17933848+35403252+128437218+2213605+3667181+1923077+3846154</f>
        <v>422493561</v>
      </c>
      <c r="D47" s="554">
        <v>766760762</v>
      </c>
      <c r="E47" s="573"/>
      <c r="F47" s="574"/>
    </row>
    <row r="48" spans="1:6" ht="15" customHeight="1">
      <c r="B48" s="557" t="s">
        <v>991</v>
      </c>
      <c r="C48" s="556">
        <f>42655827+10341983</f>
        <v>52997810</v>
      </c>
      <c r="D48" s="554">
        <v>40762352</v>
      </c>
      <c r="E48" s="573"/>
      <c r="F48" s="574"/>
    </row>
    <row r="49" spans="1:6" ht="15.75" customHeight="1">
      <c r="B49" s="557" t="s">
        <v>992</v>
      </c>
      <c r="C49" s="556">
        <f>6219917+96364+181818</f>
        <v>6498099</v>
      </c>
      <c r="D49" s="554">
        <v>19583609</v>
      </c>
      <c r="E49" s="573"/>
      <c r="F49" s="574"/>
    </row>
    <row r="50" spans="1:6" ht="15" customHeight="1">
      <c r="B50" s="557" t="s">
        <v>993</v>
      </c>
      <c r="C50" s="556">
        <v>139410399</v>
      </c>
      <c r="D50" s="554">
        <v>127399875</v>
      </c>
      <c r="E50" s="577"/>
      <c r="F50" s="574"/>
    </row>
    <row r="51" spans="1:6" ht="15.75" customHeight="1">
      <c r="B51" s="557" t="s">
        <v>616</v>
      </c>
      <c r="C51" s="556">
        <f>670032+14150920+50000+24226490+2627273+14974+70000+166160+1445455</f>
        <v>43421304</v>
      </c>
      <c r="D51" s="554">
        <v>37038988</v>
      </c>
      <c r="E51" s="830"/>
      <c r="F51" s="831"/>
    </row>
    <row r="52" spans="1:6">
      <c r="B52" s="557" t="s">
        <v>598</v>
      </c>
      <c r="C52" s="556">
        <v>2727273</v>
      </c>
      <c r="D52" s="554">
        <v>2727273</v>
      </c>
      <c r="E52" s="574"/>
      <c r="F52" s="574"/>
    </row>
    <row r="53" spans="1:6">
      <c r="B53" s="557" t="s">
        <v>994</v>
      </c>
      <c r="C53" s="556">
        <v>193199</v>
      </c>
      <c r="D53" s="554">
        <v>257310</v>
      </c>
      <c r="E53" s="574"/>
      <c r="F53" s="574"/>
    </row>
    <row r="54" spans="1:6">
      <c r="B54" s="557" t="s">
        <v>995</v>
      </c>
      <c r="C54" s="556">
        <v>3584260</v>
      </c>
      <c r="D54" s="554">
        <v>4778050</v>
      </c>
      <c r="E54" s="576"/>
      <c r="F54" s="574"/>
    </row>
    <row r="55" spans="1:6">
      <c r="B55" s="557" t="s">
        <v>758</v>
      </c>
      <c r="C55" s="556">
        <f>+'OTROS GASTOS OP, COM Y ADM'!B44</f>
        <v>151081497</v>
      </c>
      <c r="D55" s="554">
        <v>186671151</v>
      </c>
      <c r="E55" s="574"/>
      <c r="F55" s="574"/>
    </row>
    <row r="56" spans="1:6">
      <c r="B56" s="557"/>
      <c r="C56" s="569">
        <f>SUM(C47:C55)</f>
        <v>822407402</v>
      </c>
      <c r="D56" s="570">
        <f>SUM(D47:D55)</f>
        <v>1185979370</v>
      </c>
      <c r="E56" s="574"/>
      <c r="F56" s="574"/>
    </row>
    <row r="57" spans="1:6" s="551" customFormat="1">
      <c r="A57" s="549"/>
      <c r="B57" s="553" t="s">
        <v>759</v>
      </c>
      <c r="C57" s="926">
        <f>+C39-C45-C56</f>
        <v>240123426</v>
      </c>
      <c r="D57" s="927">
        <f>+D39-D45-D56</f>
        <v>352887970</v>
      </c>
    </row>
    <row r="58" spans="1:6" s="551" customFormat="1">
      <c r="A58" s="549"/>
      <c r="B58" s="553"/>
      <c r="C58" s="569"/>
      <c r="D58" s="570"/>
    </row>
    <row r="59" spans="1:6" s="551" customFormat="1">
      <c r="A59" s="549"/>
      <c r="B59" s="553" t="s">
        <v>749</v>
      </c>
      <c r="C59" s="571"/>
      <c r="D59" s="570"/>
    </row>
    <row r="60" spans="1:6" s="551" customFormat="1">
      <c r="A60" s="549"/>
      <c r="B60" s="553"/>
      <c r="C60" s="571"/>
      <c r="D60" s="570"/>
    </row>
    <row r="61" spans="1:6">
      <c r="B61" s="557" t="s">
        <v>554</v>
      </c>
      <c r="C61" s="556">
        <f>2469218+25685691+5279</f>
        <v>28160188</v>
      </c>
      <c r="D61" s="559">
        <v>77985</v>
      </c>
    </row>
    <row r="62" spans="1:6">
      <c r="B62" s="557" t="s">
        <v>934</v>
      </c>
      <c r="C62" s="579">
        <f>73010718+14335+2722372</f>
        <v>75747425</v>
      </c>
      <c r="D62" s="580">
        <v>70935909</v>
      </c>
    </row>
    <row r="63" spans="1:6">
      <c r="B63" s="557"/>
      <c r="C63" s="579"/>
      <c r="D63" s="580"/>
    </row>
    <row r="64" spans="1:6">
      <c r="B64" s="553" t="s">
        <v>1036</v>
      </c>
      <c r="C64" s="581"/>
      <c r="D64" s="580"/>
    </row>
    <row r="65" spans="2:4">
      <c r="B65" s="582" t="s">
        <v>1035</v>
      </c>
      <c r="C65" s="581"/>
      <c r="D65" s="580"/>
    </row>
    <row r="66" spans="2:4">
      <c r="B66" s="583" t="s">
        <v>760</v>
      </c>
      <c r="C66" s="556">
        <f>2110327+74522231</f>
        <v>76632558</v>
      </c>
      <c r="D66" s="559">
        <v>39894737</v>
      </c>
    </row>
    <row r="67" spans="2:4">
      <c r="B67" s="557" t="s">
        <v>761</v>
      </c>
      <c r="C67" s="584">
        <v>588768240</v>
      </c>
      <c r="D67" s="585">
        <v>621165016</v>
      </c>
    </row>
    <row r="68" spans="2:4">
      <c r="B68" s="586"/>
      <c r="C68" s="587"/>
      <c r="D68" s="588"/>
    </row>
    <row r="69" spans="2:4">
      <c r="B69" s="582" t="s">
        <v>750</v>
      </c>
      <c r="C69" s="589"/>
      <c r="D69" s="590"/>
    </row>
    <row r="70" spans="2:4">
      <c r="B70" s="557" t="s">
        <v>762</v>
      </c>
      <c r="C70" s="584">
        <v>0</v>
      </c>
      <c r="D70" s="559">
        <v>0</v>
      </c>
    </row>
    <row r="71" spans="2:4">
      <c r="B71" s="557" t="s">
        <v>761</v>
      </c>
      <c r="C71" s="584">
        <v>-380810233</v>
      </c>
      <c r="D71" s="585">
        <v>-636343829</v>
      </c>
    </row>
    <row r="72" spans="2:4">
      <c r="B72" s="557"/>
      <c r="C72" s="584"/>
      <c r="D72" s="585"/>
    </row>
    <row r="73" spans="2:4">
      <c r="B73" s="553" t="s">
        <v>763</v>
      </c>
      <c r="C73" s="584">
        <v>0</v>
      </c>
      <c r="D73" s="559">
        <v>0</v>
      </c>
    </row>
    <row r="74" spans="2:4">
      <c r="B74" s="557" t="s">
        <v>1056</v>
      </c>
      <c r="C74" s="584">
        <v>1471154</v>
      </c>
      <c r="D74" s="559">
        <v>294231</v>
      </c>
    </row>
    <row r="75" spans="2:4">
      <c r="B75" s="557" t="s">
        <v>764</v>
      </c>
      <c r="C75" s="584">
        <v>0</v>
      </c>
      <c r="D75" s="559">
        <v>1799890</v>
      </c>
    </row>
    <row r="76" spans="2:4">
      <c r="B76" s="557"/>
      <c r="C76" s="578"/>
      <c r="D76" s="559"/>
    </row>
    <row r="77" spans="2:4">
      <c r="B77" s="553" t="s">
        <v>765</v>
      </c>
      <c r="C77" s="578"/>
      <c r="D77" s="559"/>
    </row>
    <row r="78" spans="2:4">
      <c r="B78" s="557" t="s">
        <v>673</v>
      </c>
      <c r="C78" s="584">
        <v>0</v>
      </c>
      <c r="D78" s="559">
        <v>0</v>
      </c>
    </row>
    <row r="79" spans="2:4">
      <c r="B79" s="557" t="s">
        <v>349</v>
      </c>
      <c r="C79" s="584">
        <v>0</v>
      </c>
      <c r="D79" s="559">
        <v>0</v>
      </c>
    </row>
    <row r="80" spans="2:4">
      <c r="B80" s="557"/>
      <c r="C80" s="578"/>
      <c r="D80" s="559"/>
    </row>
    <row r="81" spans="1:9" s="551" customFormat="1">
      <c r="A81" s="549"/>
      <c r="B81" s="553" t="s">
        <v>1057</v>
      </c>
      <c r="C81" s="591">
        <f>+C57+C61-C62+C66+C67-C70+C71+C74-C75</f>
        <v>478597908</v>
      </c>
      <c r="D81" s="592">
        <f>+D57+D61-D62+D66+D67-D70+D71+D74-D75</f>
        <v>305240311</v>
      </c>
    </row>
    <row r="82" spans="1:9">
      <c r="B82" s="553" t="s">
        <v>244</v>
      </c>
      <c r="C82" s="556">
        <v>50150028</v>
      </c>
      <c r="D82" s="559">
        <v>42093234</v>
      </c>
    </row>
    <row r="83" spans="1:9">
      <c r="B83" s="553" t="s">
        <v>615</v>
      </c>
      <c r="C83" s="579">
        <v>21422394</v>
      </c>
      <c r="D83" s="580">
        <v>13157354</v>
      </c>
    </row>
    <row r="84" spans="1:9" ht="15.75" thickBot="1">
      <c r="B84" s="593" t="s">
        <v>637</v>
      </c>
      <c r="C84" s="594">
        <f>+C81-C82-C83</f>
        <v>407025486</v>
      </c>
      <c r="D84" s="595">
        <f>+D81-D82-D83</f>
        <v>249989723</v>
      </c>
    </row>
    <row r="85" spans="1:9">
      <c r="C85" s="596"/>
    </row>
    <row r="86" spans="1:9">
      <c r="C86" s="596"/>
    </row>
    <row r="87" spans="1:9">
      <c r="C87" s="1024"/>
    </row>
    <row r="92" spans="1:9">
      <c r="B92" s="1094" t="s">
        <v>944</v>
      </c>
      <c r="C92" s="1094"/>
      <c r="D92" s="1094"/>
      <c r="E92" s="921"/>
      <c r="F92" s="921"/>
      <c r="G92" s="921"/>
      <c r="H92" s="921"/>
      <c r="I92" s="921"/>
    </row>
    <row r="93" spans="1:9">
      <c r="B93" s="1094" t="s">
        <v>237</v>
      </c>
      <c r="C93" s="1094"/>
      <c r="D93" s="1094"/>
      <c r="E93" s="921"/>
      <c r="F93" s="921"/>
      <c r="G93" s="921"/>
      <c r="H93" s="921"/>
      <c r="I93" s="921"/>
    </row>
    <row r="94" spans="1:9">
      <c r="B94" s="1094" t="s">
        <v>1149</v>
      </c>
      <c r="C94" s="1094"/>
      <c r="D94" s="1094"/>
      <c r="E94" s="921"/>
      <c r="F94" s="921"/>
      <c r="G94" s="921"/>
      <c r="H94" s="921"/>
      <c r="I94" s="921"/>
    </row>
  </sheetData>
  <mergeCells count="7">
    <mergeCell ref="B93:D93"/>
    <mergeCell ref="B94:D94"/>
    <mergeCell ref="B3:D3"/>
    <mergeCell ref="B8:B9"/>
    <mergeCell ref="B5:D5"/>
    <mergeCell ref="B6:D6"/>
    <mergeCell ref="B92:D92"/>
  </mergeCells>
  <phoneticPr fontId="39" type="noConversion"/>
  <pageMargins left="0.70866141732283472" right="0.39370078740157483" top="1.0236220472440944" bottom="0.59055118110236227" header="0.51181102362204722" footer="0.51181102362204722"/>
  <pageSetup paperSize="9" scale="45" firstPageNumber="0" orientation="portrait" horizontalDpi="300"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B5:L43"/>
  <sheetViews>
    <sheetView showGridLines="0" zoomScale="70" zoomScaleNormal="70" workbookViewId="0">
      <selection activeCell="F32" sqref="F32"/>
    </sheetView>
  </sheetViews>
  <sheetFormatPr baseColWidth="10" defaultColWidth="11.42578125" defaultRowHeight="15"/>
  <cols>
    <col min="1" max="1" width="4.28515625" style="598" customWidth="1"/>
    <col min="2" max="2" width="11.42578125" style="598"/>
    <col min="3" max="3" width="17.5703125" style="598" customWidth="1"/>
    <col min="4" max="4" width="15.7109375" style="598" customWidth="1"/>
    <col min="5" max="5" width="51" style="598" customWidth="1"/>
    <col min="6" max="6" width="24.28515625" style="634" customWidth="1"/>
    <col min="7" max="7" width="24.85546875" style="598" bestFit="1" customWidth="1"/>
    <col min="8" max="8" width="15.7109375" style="598" bestFit="1" customWidth="1"/>
    <col min="9" max="9" width="17.7109375" style="598" customWidth="1"/>
    <col min="10" max="10" width="15.5703125" style="598" bestFit="1" customWidth="1"/>
    <col min="11" max="16384" width="11.42578125" style="598"/>
  </cols>
  <sheetData>
    <row r="5" spans="2:10" ht="24" customHeight="1">
      <c r="B5" s="1113" t="s">
        <v>1041</v>
      </c>
      <c r="C5" s="1113"/>
      <c r="D5" s="1113"/>
      <c r="E5" s="1113"/>
      <c r="F5" s="1113"/>
      <c r="G5" s="1113"/>
    </row>
    <row r="6" spans="2:10" ht="24" customHeight="1">
      <c r="B6" s="1113" t="s">
        <v>1199</v>
      </c>
      <c r="C6" s="1113"/>
      <c r="D6" s="1113"/>
      <c r="E6" s="1113"/>
      <c r="F6" s="1113"/>
      <c r="G6" s="1113"/>
    </row>
    <row r="7" spans="2:10" ht="18">
      <c r="B7" s="1114" t="s">
        <v>1151</v>
      </c>
      <c r="C7" s="1114"/>
      <c r="D7" s="1114"/>
      <c r="E7" s="1114"/>
      <c r="F7" s="1114"/>
      <c r="G7" s="1114"/>
      <c r="H7" s="599"/>
      <c r="I7" s="599"/>
      <c r="J7" s="600"/>
    </row>
    <row r="8" spans="2:10" ht="15.75" thickBot="1">
      <c r="B8" s="600"/>
      <c r="C8" s="600"/>
      <c r="D8" s="600"/>
      <c r="E8" s="600"/>
      <c r="F8" s="601">
        <v>44196</v>
      </c>
      <c r="G8" s="602">
        <v>43830</v>
      </c>
      <c r="H8" s="600"/>
      <c r="I8" s="600"/>
      <c r="J8" s="600"/>
    </row>
    <row r="9" spans="2:10">
      <c r="B9" s="939"/>
      <c r="C9" s="940"/>
      <c r="D9" s="940"/>
      <c r="E9" s="941"/>
      <c r="F9" s="603" t="s">
        <v>766</v>
      </c>
      <c r="G9" s="604" t="s">
        <v>767</v>
      </c>
      <c r="H9" s="600"/>
      <c r="I9" s="600"/>
      <c r="J9" s="600"/>
    </row>
    <row r="10" spans="2:10" ht="15.75" thickBot="1">
      <c r="B10" s="942"/>
      <c r="C10" s="943"/>
      <c r="D10" s="943"/>
      <c r="E10" s="944"/>
      <c r="F10" s="605">
        <v>2020</v>
      </c>
      <c r="G10" s="606">
        <v>2019</v>
      </c>
      <c r="H10" s="600"/>
      <c r="I10" s="600"/>
      <c r="J10" s="600"/>
    </row>
    <row r="11" spans="2:10" ht="21.95" customHeight="1">
      <c r="B11" s="607" t="s">
        <v>1020</v>
      </c>
      <c r="C11" s="608"/>
      <c r="D11" s="608"/>
      <c r="E11" s="608"/>
      <c r="F11" s="609"/>
      <c r="G11" s="609"/>
      <c r="H11" s="600"/>
      <c r="I11" s="600"/>
      <c r="J11" s="600"/>
    </row>
    <row r="12" spans="2:10" ht="21.95" customHeight="1">
      <c r="B12" s="610" t="s">
        <v>1005</v>
      </c>
      <c r="C12" s="599"/>
      <c r="D12" s="599"/>
      <c r="E12" s="599"/>
      <c r="F12" s="611">
        <v>2417079816</v>
      </c>
      <c r="G12" s="611">
        <v>1638900952</v>
      </c>
      <c r="H12" s="600"/>
      <c r="I12" s="600"/>
      <c r="J12" s="600"/>
    </row>
    <row r="13" spans="2:10" ht="21.95" customHeight="1">
      <c r="B13" s="610" t="s">
        <v>1006</v>
      </c>
      <c r="C13" s="599"/>
      <c r="D13" s="599"/>
      <c r="E13" s="599"/>
      <c r="F13" s="611">
        <v>-3279900382</v>
      </c>
      <c r="G13" s="611">
        <v>10835546199</v>
      </c>
      <c r="H13" s="600"/>
      <c r="I13" s="600"/>
      <c r="J13" s="600"/>
    </row>
    <row r="14" spans="2:10" ht="21.95" customHeight="1">
      <c r="B14" s="610" t="s">
        <v>1007</v>
      </c>
      <c r="C14" s="599"/>
      <c r="D14" s="599"/>
      <c r="E14" s="599"/>
      <c r="F14" s="611">
        <v>0</v>
      </c>
      <c r="G14" s="611">
        <v>0</v>
      </c>
      <c r="H14" s="600"/>
      <c r="I14" s="600"/>
      <c r="J14" s="600"/>
    </row>
    <row r="15" spans="2:10" ht="21.95" customHeight="1">
      <c r="B15" s="610" t="s">
        <v>1008</v>
      </c>
      <c r="C15" s="599"/>
      <c r="D15" s="599"/>
      <c r="E15" s="599"/>
      <c r="F15" s="611">
        <v>-271662850</v>
      </c>
      <c r="G15" s="611">
        <v>-259409165</v>
      </c>
      <c r="H15" s="600"/>
      <c r="I15" s="600"/>
      <c r="J15" s="600"/>
    </row>
    <row r="16" spans="2:10" ht="21.95" customHeight="1">
      <c r="B16" s="610" t="s">
        <v>1009</v>
      </c>
      <c r="C16" s="599"/>
      <c r="D16" s="599"/>
      <c r="E16" s="599"/>
      <c r="F16" s="611">
        <v>-551553299</v>
      </c>
      <c r="G16" s="611">
        <v>-946879026</v>
      </c>
      <c r="H16" s="600"/>
      <c r="I16" s="600"/>
      <c r="J16" s="600"/>
    </row>
    <row r="17" spans="2:10" ht="21.95" customHeight="1">
      <c r="B17" s="610" t="s">
        <v>1010</v>
      </c>
      <c r="C17" s="599"/>
      <c r="D17" s="599"/>
      <c r="E17" s="599"/>
      <c r="F17" s="611">
        <v>-66965281</v>
      </c>
      <c r="G17" s="611">
        <v>-4191408</v>
      </c>
      <c r="H17" s="600"/>
      <c r="I17" s="600"/>
      <c r="J17" s="600"/>
    </row>
    <row r="18" spans="2:10" ht="35.25" customHeight="1">
      <c r="B18" s="1115" t="s">
        <v>1021</v>
      </c>
      <c r="C18" s="1116"/>
      <c r="D18" s="1116"/>
      <c r="E18" s="1117"/>
      <c r="F18" s="612">
        <f>SUM(F12:F17)</f>
        <v>-1753001996</v>
      </c>
      <c r="G18" s="612">
        <f>SUM(G12:G17)</f>
        <v>11263967552</v>
      </c>
      <c r="H18" s="600"/>
      <c r="I18" s="613"/>
      <c r="J18" s="600"/>
    </row>
    <row r="19" spans="2:10">
      <c r="B19" s="614" t="s">
        <v>1022</v>
      </c>
      <c r="C19" s="599"/>
      <c r="D19" s="599"/>
      <c r="E19" s="599"/>
      <c r="F19" s="615"/>
      <c r="G19" s="615"/>
      <c r="H19" s="600"/>
      <c r="I19" s="600"/>
      <c r="J19" s="600"/>
    </row>
    <row r="20" spans="2:10" ht="21.6" customHeight="1">
      <c r="B20" s="610" t="s">
        <v>1011</v>
      </c>
      <c r="C20" s="599"/>
      <c r="D20" s="599"/>
      <c r="E20" s="599"/>
      <c r="F20" s="615">
        <v>-567571990</v>
      </c>
      <c r="G20" s="615">
        <v>-64044390</v>
      </c>
      <c r="H20" s="600"/>
      <c r="I20" s="600"/>
      <c r="J20" s="600"/>
    </row>
    <row r="21" spans="2:10" ht="21.6" customHeight="1">
      <c r="B21" s="610" t="s">
        <v>1012</v>
      </c>
      <c r="C21" s="599"/>
      <c r="D21" s="599"/>
      <c r="E21" s="599"/>
      <c r="F21" s="615">
        <v>-626698541</v>
      </c>
      <c r="G21" s="615">
        <v>169220776</v>
      </c>
      <c r="H21" s="600"/>
      <c r="I21" s="600"/>
      <c r="J21" s="600"/>
    </row>
    <row r="22" spans="2:10" ht="21.6" customHeight="1">
      <c r="B22" s="610" t="s">
        <v>1013</v>
      </c>
      <c r="C22" s="599"/>
      <c r="D22" s="599"/>
      <c r="E22" s="599"/>
      <c r="F22" s="611">
        <v>-9830570</v>
      </c>
      <c r="G22" s="611">
        <v>-103179376</v>
      </c>
      <c r="H22" s="600"/>
      <c r="I22" s="600"/>
      <c r="J22" s="600"/>
    </row>
    <row r="23" spans="2:10" ht="21.95" customHeight="1">
      <c r="B23" s="616" t="s">
        <v>1023</v>
      </c>
      <c r="C23" s="617"/>
      <c r="D23" s="617"/>
      <c r="E23" s="618"/>
      <c r="F23" s="612">
        <f>SUM(F20:F22)</f>
        <v>-1204101101</v>
      </c>
      <c r="G23" s="612">
        <f>SUM(G20:G22)</f>
        <v>1997010</v>
      </c>
      <c r="H23" s="600"/>
      <c r="I23" s="600"/>
      <c r="J23" s="600"/>
    </row>
    <row r="24" spans="2:10" ht="21.95" customHeight="1">
      <c r="B24" s="614" t="s">
        <v>1024</v>
      </c>
      <c r="C24" s="599"/>
      <c r="D24" s="599"/>
      <c r="E24" s="599"/>
      <c r="F24" s="615"/>
      <c r="G24" s="615"/>
      <c r="H24" s="600"/>
      <c r="I24" s="600"/>
      <c r="J24" s="600"/>
    </row>
    <row r="25" spans="2:10" ht="21.95" customHeight="1">
      <c r="B25" s="619" t="s">
        <v>1014</v>
      </c>
      <c r="C25" s="620"/>
      <c r="D25" s="620"/>
      <c r="E25" s="620"/>
      <c r="F25" s="611">
        <v>200000000</v>
      </c>
      <c r="G25" s="611">
        <v>0</v>
      </c>
      <c r="H25" s="600"/>
      <c r="I25" s="600"/>
      <c r="J25" s="600"/>
    </row>
    <row r="26" spans="2:10" ht="21.95" customHeight="1">
      <c r="B26" s="619" t="s">
        <v>1015</v>
      </c>
      <c r="C26" s="620"/>
      <c r="D26" s="620"/>
      <c r="E26" s="620"/>
      <c r="F26" s="611">
        <v>0</v>
      </c>
      <c r="G26" s="611">
        <v>0</v>
      </c>
      <c r="H26" s="600"/>
      <c r="I26" s="621"/>
      <c r="J26" s="600"/>
    </row>
    <row r="27" spans="2:10" ht="21.95" customHeight="1">
      <c r="B27" s="619" t="s">
        <v>1016</v>
      </c>
      <c r="C27" s="599"/>
      <c r="D27" s="599"/>
      <c r="E27" s="599"/>
      <c r="F27" s="611">
        <v>0</v>
      </c>
      <c r="G27" s="611">
        <v>0</v>
      </c>
      <c r="H27" s="600"/>
      <c r="I27" s="621"/>
      <c r="J27" s="600"/>
    </row>
    <row r="28" spans="2:10" ht="21.95" customHeight="1">
      <c r="B28" s="619" t="s">
        <v>1017</v>
      </c>
      <c r="C28" s="599"/>
      <c r="D28" s="599"/>
      <c r="E28" s="599"/>
      <c r="F28" s="611">
        <v>260262580</v>
      </c>
      <c r="G28" s="611">
        <v>-105386722</v>
      </c>
      <c r="H28" s="600"/>
      <c r="I28" s="600"/>
      <c r="J28" s="600"/>
    </row>
    <row r="29" spans="2:10" ht="21.95" customHeight="1">
      <c r="B29" s="616" t="s">
        <v>1025</v>
      </c>
      <c r="C29" s="617"/>
      <c r="D29" s="617"/>
      <c r="E29" s="617"/>
      <c r="F29" s="612">
        <f>SUM(F25:F28)</f>
        <v>460262580</v>
      </c>
      <c r="G29" s="612">
        <f>SUM(G25:G28)</f>
        <v>-105386722</v>
      </c>
      <c r="H29" s="600"/>
      <c r="I29" s="600"/>
      <c r="J29" s="600"/>
    </row>
    <row r="30" spans="2:10" s="626" customFormat="1" ht="21.95" customHeight="1">
      <c r="B30" s="616" t="s">
        <v>1026</v>
      </c>
      <c r="C30" s="622"/>
      <c r="D30" s="622"/>
      <c r="E30" s="623"/>
      <c r="F30" s="624">
        <v>207958007</v>
      </c>
      <c r="G30" s="624">
        <v>-15178813</v>
      </c>
      <c r="H30" s="625"/>
      <c r="I30" s="625"/>
      <c r="J30" s="625"/>
    </row>
    <row r="31" spans="2:10" ht="21.95" customHeight="1">
      <c r="B31" s="619" t="s">
        <v>1018</v>
      </c>
      <c r="C31" s="599"/>
      <c r="D31" s="599"/>
      <c r="E31" s="599"/>
      <c r="F31" s="611">
        <f>F18+F23+F29+F30</f>
        <v>-2288882510</v>
      </c>
      <c r="G31" s="611">
        <f>G18+G23+G29+G30</f>
        <v>11145399027</v>
      </c>
      <c r="H31" s="600"/>
      <c r="I31" s="600"/>
      <c r="J31" s="600"/>
    </row>
    <row r="32" spans="2:10" ht="21.95" customHeight="1">
      <c r="B32" s="619" t="s">
        <v>1019</v>
      </c>
      <c r="C32" s="599"/>
      <c r="D32" s="599"/>
      <c r="E32" s="599"/>
      <c r="F32" s="611">
        <v>11601694364</v>
      </c>
      <c r="G32" s="611">
        <v>456295337</v>
      </c>
      <c r="H32" s="600"/>
      <c r="I32" s="600"/>
      <c r="J32" s="600"/>
    </row>
    <row r="33" spans="2:12" ht="31.5" customHeight="1" thickBot="1">
      <c r="B33" s="627" t="s">
        <v>1027</v>
      </c>
      <c r="C33" s="628"/>
      <c r="D33" s="628"/>
      <c r="E33" s="628"/>
      <c r="F33" s="629">
        <f>SUM(F31:F32)</f>
        <v>9312811854</v>
      </c>
      <c r="G33" s="629">
        <f>SUM(G31:G32)</f>
        <v>11601694364</v>
      </c>
      <c r="H33" s="630"/>
      <c r="I33" s="631"/>
      <c r="J33" s="631"/>
      <c r="K33" s="596"/>
      <c r="L33" s="596"/>
    </row>
    <row r="34" spans="2:12">
      <c r="B34" s="600"/>
      <c r="C34" s="600"/>
      <c r="D34" s="600"/>
      <c r="E34" s="600"/>
      <c r="F34" s="598"/>
      <c r="G34" s="600"/>
      <c r="H34" s="630"/>
      <c r="I34" s="631"/>
      <c r="J34" s="631"/>
      <c r="K34" s="596"/>
      <c r="L34" s="596"/>
    </row>
    <row r="35" spans="2:12">
      <c r="B35" s="600"/>
      <c r="C35" s="600"/>
      <c r="D35" s="600"/>
      <c r="E35" s="600"/>
      <c r="F35" s="613"/>
      <c r="G35" s="632"/>
      <c r="H35" s="630"/>
      <c r="I35" s="631"/>
      <c r="J35" s="631"/>
      <c r="K35" s="596"/>
      <c r="L35" s="596"/>
    </row>
    <row r="36" spans="2:12">
      <c r="F36" s="598"/>
      <c r="G36" s="600"/>
      <c r="H36" s="630"/>
      <c r="I36" s="633"/>
      <c r="J36" s="633"/>
    </row>
    <row r="37" spans="2:12">
      <c r="F37" s="598"/>
      <c r="G37" s="600"/>
      <c r="H37" s="600"/>
      <c r="I37" s="600"/>
      <c r="J37" s="600"/>
    </row>
    <row r="38" spans="2:12">
      <c r="F38" s="598"/>
      <c r="G38" s="600"/>
      <c r="H38" s="600"/>
      <c r="I38" s="600"/>
      <c r="J38" s="600"/>
    </row>
    <row r="39" spans="2:12">
      <c r="F39" s="598"/>
      <c r="G39" s="600"/>
      <c r="H39" s="600"/>
      <c r="I39" s="600"/>
      <c r="J39" s="600"/>
    </row>
    <row r="40" spans="2:12">
      <c r="F40" s="598"/>
      <c r="G40" s="600"/>
      <c r="H40" s="600"/>
      <c r="I40" s="600"/>
      <c r="J40" s="600"/>
    </row>
    <row r="41" spans="2:12">
      <c r="B41" s="1094" t="s">
        <v>944</v>
      </c>
      <c r="C41" s="1094"/>
      <c r="D41" s="1094"/>
      <c r="E41" s="1094"/>
      <c r="F41" s="1094"/>
      <c r="G41" s="1094"/>
      <c r="H41" s="600"/>
      <c r="I41" s="600"/>
      <c r="J41" s="600"/>
    </row>
    <row r="42" spans="2:12">
      <c r="B42" s="1094" t="s">
        <v>237</v>
      </c>
      <c r="C42" s="1094"/>
      <c r="D42" s="1094"/>
      <c r="E42" s="1094"/>
      <c r="F42" s="1094"/>
      <c r="G42" s="1094"/>
      <c r="H42" s="600"/>
      <c r="I42" s="600"/>
      <c r="J42" s="600"/>
    </row>
    <row r="43" spans="2:12">
      <c r="B43" s="1094" t="s">
        <v>1149</v>
      </c>
      <c r="C43" s="1094"/>
      <c r="D43" s="1094"/>
      <c r="E43" s="1094"/>
      <c r="F43" s="1094"/>
      <c r="G43" s="1094"/>
    </row>
  </sheetData>
  <mergeCells count="7">
    <mergeCell ref="B5:G5"/>
    <mergeCell ref="B6:G6"/>
    <mergeCell ref="B41:G41"/>
    <mergeCell ref="B42:G42"/>
    <mergeCell ref="B43:G43"/>
    <mergeCell ref="B7:G7"/>
    <mergeCell ref="B18:E18"/>
  </mergeCells>
  <phoneticPr fontId="19" type="noConversion"/>
  <pageMargins left="0.70866141732283472" right="0.39370078740157483" top="1.0236220472440944" bottom="0.59055118110236227" header="0.51181102362204722" footer="0.51181102362204722"/>
  <pageSetup paperSize="9" scale="62" orientation="portrait" r:id="rId1"/>
  <ignoredErrors>
    <ignoredError sqref="G33" formulaRange="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M40"/>
  <sheetViews>
    <sheetView showGridLines="0" zoomScale="60" zoomScaleNormal="60" workbookViewId="0">
      <selection activeCell="N11" sqref="N11"/>
    </sheetView>
  </sheetViews>
  <sheetFormatPr baseColWidth="10" defaultColWidth="11.42578125" defaultRowHeight="12.75"/>
  <cols>
    <col min="1" max="1" width="47.28515625" style="636" bestFit="1" customWidth="1"/>
    <col min="2" max="2" width="18.140625" style="636" bestFit="1" customWidth="1"/>
    <col min="3" max="3" width="20.5703125" style="636" bestFit="1" customWidth="1"/>
    <col min="4" max="4" width="21.28515625" style="636" bestFit="1" customWidth="1"/>
    <col min="5" max="5" width="17.140625" style="636" bestFit="1" customWidth="1"/>
    <col min="6" max="6" width="21.28515625" style="636" bestFit="1" customWidth="1"/>
    <col min="7" max="7" width="20.7109375" style="636" bestFit="1" customWidth="1"/>
    <col min="8" max="8" width="17.140625" style="636" bestFit="1" customWidth="1"/>
    <col min="9" max="9" width="20.7109375" style="636" bestFit="1" customWidth="1"/>
    <col min="10" max="10" width="22.42578125" style="636" bestFit="1" customWidth="1"/>
    <col min="11" max="12" width="21" style="636" bestFit="1" customWidth="1"/>
    <col min="13" max="13" width="12.5703125" style="636" bestFit="1" customWidth="1"/>
    <col min="14" max="16384" width="11.42578125" style="636"/>
  </cols>
  <sheetData>
    <row r="4" spans="1:13" ht="15">
      <c r="A4" s="1124"/>
      <c r="B4" s="1124"/>
      <c r="C4" s="1124"/>
      <c r="D4" s="1124"/>
      <c r="E4" s="1124"/>
      <c r="F4" s="1124"/>
      <c r="G4" s="1124"/>
      <c r="H4" s="1124"/>
      <c r="I4" s="1124"/>
      <c r="J4" s="1124"/>
      <c r="K4" s="635"/>
      <c r="L4" s="635"/>
    </row>
    <row r="5" spans="1:13" ht="15">
      <c r="A5" s="875"/>
      <c r="B5" s="875"/>
      <c r="C5" s="875"/>
      <c r="D5" s="875"/>
      <c r="E5" s="875"/>
      <c r="F5" s="875"/>
      <c r="G5" s="875"/>
      <c r="H5" s="875"/>
      <c r="I5" s="875"/>
      <c r="J5" s="875"/>
      <c r="K5" s="635"/>
      <c r="L5" s="635"/>
    </row>
    <row r="6" spans="1:13" ht="15">
      <c r="A6" s="875"/>
      <c r="B6" s="875"/>
      <c r="C6" s="875"/>
      <c r="D6" s="875"/>
      <c r="E6" s="875"/>
      <c r="F6" s="875"/>
      <c r="G6" s="875"/>
      <c r="H6" s="875"/>
      <c r="I6" s="875"/>
      <c r="J6" s="875"/>
      <c r="K6" s="635"/>
      <c r="L6" s="635"/>
    </row>
    <row r="7" spans="1:13" ht="18">
      <c r="A7" s="1128" t="s">
        <v>1042</v>
      </c>
      <c r="B7" s="1128"/>
      <c r="C7" s="1128"/>
      <c r="D7" s="1128"/>
      <c r="E7" s="1128"/>
      <c r="F7" s="1128"/>
      <c r="G7" s="1128"/>
      <c r="H7" s="1128"/>
      <c r="I7" s="1128"/>
      <c r="J7" s="1128"/>
      <c r="K7" s="1128"/>
      <c r="L7" s="1128"/>
    </row>
    <row r="8" spans="1:13" ht="18">
      <c r="A8" s="1128" t="s">
        <v>1200</v>
      </c>
      <c r="B8" s="1128"/>
      <c r="C8" s="1128"/>
      <c r="D8" s="1128"/>
      <c r="E8" s="1128"/>
      <c r="F8" s="1128"/>
      <c r="G8" s="1128"/>
      <c r="H8" s="1128"/>
      <c r="I8" s="1128"/>
      <c r="J8" s="1128"/>
      <c r="K8" s="1128"/>
      <c r="L8" s="1128"/>
    </row>
    <row r="9" spans="1:13" ht="18">
      <c r="A9" s="1129" t="s">
        <v>1150</v>
      </c>
      <c r="B9" s="1129"/>
      <c r="C9" s="1129"/>
      <c r="D9" s="1129"/>
      <c r="E9" s="1129"/>
      <c r="F9" s="1129"/>
      <c r="G9" s="1129"/>
      <c r="H9" s="1129"/>
      <c r="I9" s="1129"/>
      <c r="J9" s="1129"/>
      <c r="K9" s="1129"/>
      <c r="L9" s="1129"/>
    </row>
    <row r="10" spans="1:13" ht="15.75" thickBot="1">
      <c r="A10" s="635"/>
      <c r="B10" s="637"/>
      <c r="C10" s="637"/>
      <c r="D10" s="637"/>
      <c r="E10" s="637"/>
      <c r="F10" s="637"/>
      <c r="G10" s="637"/>
      <c r="H10" s="637"/>
      <c r="I10" s="637"/>
      <c r="J10" s="637"/>
      <c r="K10" s="637"/>
      <c r="L10" s="637"/>
    </row>
    <row r="11" spans="1:13" ht="15" customHeight="1">
      <c r="A11" s="1125" t="s">
        <v>345</v>
      </c>
      <c r="B11" s="1134" t="s">
        <v>129</v>
      </c>
      <c r="C11" s="1120"/>
      <c r="D11" s="1135"/>
      <c r="E11" s="1134" t="s">
        <v>771</v>
      </c>
      <c r="F11" s="1120"/>
      <c r="G11" s="1120"/>
      <c r="H11" s="1135"/>
      <c r="I11" s="1134" t="s">
        <v>775</v>
      </c>
      <c r="J11" s="1120"/>
      <c r="K11" s="1120" t="s">
        <v>128</v>
      </c>
      <c r="L11" s="1121"/>
    </row>
    <row r="12" spans="1:13" ht="15" customHeight="1">
      <c r="A12" s="1126"/>
      <c r="B12" s="1136"/>
      <c r="C12" s="1122"/>
      <c r="D12" s="1137"/>
      <c r="E12" s="1136"/>
      <c r="F12" s="1122"/>
      <c r="G12" s="1122"/>
      <c r="H12" s="1137"/>
      <c r="I12" s="1136"/>
      <c r="J12" s="1122"/>
      <c r="K12" s="1122"/>
      <c r="L12" s="1123"/>
    </row>
    <row r="13" spans="1:13" ht="15">
      <c r="A13" s="1127"/>
      <c r="B13" s="638" t="s">
        <v>768</v>
      </c>
      <c r="C13" s="638" t="s">
        <v>782</v>
      </c>
      <c r="D13" s="638" t="s">
        <v>770</v>
      </c>
      <c r="E13" s="1130" t="s">
        <v>772</v>
      </c>
      <c r="F13" s="1131" t="s">
        <v>773</v>
      </c>
      <c r="G13" s="1132" t="s">
        <v>53</v>
      </c>
      <c r="H13" s="1133" t="s">
        <v>774</v>
      </c>
      <c r="I13" s="1118" t="s">
        <v>776</v>
      </c>
      <c r="J13" s="1118" t="s">
        <v>777</v>
      </c>
      <c r="K13" s="933" t="s">
        <v>536</v>
      </c>
      <c r="L13" s="934" t="s">
        <v>536</v>
      </c>
    </row>
    <row r="14" spans="1:13" ht="15">
      <c r="A14" s="1127"/>
      <c r="B14" s="638"/>
      <c r="C14" s="638" t="s">
        <v>769</v>
      </c>
      <c r="D14" s="638"/>
      <c r="E14" s="1130"/>
      <c r="F14" s="1131"/>
      <c r="G14" s="1132"/>
      <c r="H14" s="1133"/>
      <c r="I14" s="1119"/>
      <c r="J14" s="1119"/>
      <c r="K14" s="933" t="s">
        <v>728</v>
      </c>
      <c r="L14" s="934" t="s">
        <v>730</v>
      </c>
    </row>
    <row r="15" spans="1:13" ht="24" customHeight="1">
      <c r="A15" s="639" t="s">
        <v>1028</v>
      </c>
      <c r="B15" s="640">
        <v>0</v>
      </c>
      <c r="C15" s="640">
        <v>447720323</v>
      </c>
      <c r="D15" s="640">
        <v>840000000</v>
      </c>
      <c r="E15" s="640">
        <v>32171553</v>
      </c>
      <c r="F15" s="640">
        <v>0</v>
      </c>
      <c r="G15" s="640">
        <v>234596356</v>
      </c>
      <c r="H15" s="640">
        <v>21824713</v>
      </c>
      <c r="I15" s="640">
        <v>0</v>
      </c>
      <c r="J15" s="640">
        <v>249989723</v>
      </c>
      <c r="K15" s="640">
        <f>+C15+D15+E15+G15+H15+I15+J15</f>
        <v>1826302668</v>
      </c>
      <c r="L15" s="641">
        <v>1485356726</v>
      </c>
    </row>
    <row r="16" spans="1:13" ht="24" customHeight="1">
      <c r="A16" s="639" t="s">
        <v>778</v>
      </c>
      <c r="B16" s="640">
        <v>0</v>
      </c>
      <c r="C16" s="643">
        <v>0</v>
      </c>
      <c r="D16" s="643">
        <f>249279677</f>
        <v>249279677</v>
      </c>
      <c r="E16" s="640">
        <f>710046+21422394</f>
        <v>22132440</v>
      </c>
      <c r="F16" s="640"/>
      <c r="G16" s="640">
        <v>481835197</v>
      </c>
      <c r="H16" s="640">
        <v>0</v>
      </c>
      <c r="I16" s="640">
        <v>-249989723</v>
      </c>
      <c r="J16" s="640"/>
      <c r="K16" s="640">
        <f>+C16+D16+E16+G16+H16+I16+J16</f>
        <v>503257591</v>
      </c>
      <c r="L16" s="641">
        <v>18426969</v>
      </c>
      <c r="M16" s="1086"/>
    </row>
    <row r="17" spans="1:13" ht="24" customHeight="1">
      <c r="A17" s="642" t="s">
        <v>1054</v>
      </c>
      <c r="B17" s="643">
        <v>0</v>
      </c>
      <c r="C17" s="643">
        <v>0</v>
      </c>
      <c r="D17" s="643">
        <v>200000000</v>
      </c>
      <c r="E17" s="643">
        <v>0</v>
      </c>
      <c r="F17" s="643">
        <v>0</v>
      </c>
      <c r="G17" s="643">
        <v>0</v>
      </c>
      <c r="H17" s="643">
        <v>0</v>
      </c>
      <c r="I17" s="643">
        <v>0</v>
      </c>
      <c r="J17" s="643">
        <v>0</v>
      </c>
      <c r="K17" s="643">
        <f>+C17+D17+E17+G17+H17+I17+J17</f>
        <v>200000000</v>
      </c>
      <c r="L17" s="915">
        <v>0</v>
      </c>
    </row>
    <row r="18" spans="1:13" ht="24" customHeight="1">
      <c r="A18" s="642" t="s">
        <v>779</v>
      </c>
      <c r="B18" s="643">
        <v>0</v>
      </c>
      <c r="C18" s="643">
        <v>0</v>
      </c>
      <c r="D18" s="643">
        <v>0</v>
      </c>
      <c r="E18" s="643">
        <v>0</v>
      </c>
      <c r="F18" s="643">
        <v>0</v>
      </c>
      <c r="G18" s="643">
        <v>0</v>
      </c>
      <c r="H18" s="643">
        <v>0</v>
      </c>
      <c r="I18" s="916"/>
      <c r="J18" s="643">
        <v>0</v>
      </c>
      <c r="K18" s="643">
        <f t="shared" ref="K18:K23" si="0">+C18+D18+E18+G18+H18+I18+J18</f>
        <v>0</v>
      </c>
      <c r="L18" s="915">
        <v>0</v>
      </c>
    </row>
    <row r="19" spans="1:13" ht="24" customHeight="1">
      <c r="A19" s="642" t="s">
        <v>1055</v>
      </c>
      <c r="B19" s="643">
        <v>0</v>
      </c>
      <c r="C19" s="643">
        <v>0</v>
      </c>
      <c r="D19" s="643">
        <v>0</v>
      </c>
      <c r="E19" s="643">
        <v>0</v>
      </c>
      <c r="F19" s="643">
        <v>0</v>
      </c>
      <c r="G19" s="643">
        <v>0</v>
      </c>
      <c r="H19" s="643">
        <v>0</v>
      </c>
      <c r="I19" s="643">
        <v>0</v>
      </c>
      <c r="J19" s="643">
        <v>0</v>
      </c>
      <c r="K19" s="643">
        <f t="shared" si="0"/>
        <v>0</v>
      </c>
      <c r="L19" s="915">
        <v>72529250</v>
      </c>
    </row>
    <row r="20" spans="1:13" ht="24" customHeight="1">
      <c r="A20" s="642" t="s">
        <v>1192</v>
      </c>
      <c r="B20" s="643">
        <v>0</v>
      </c>
      <c r="C20" s="643">
        <v>0</v>
      </c>
      <c r="D20" s="643">
        <v>0</v>
      </c>
      <c r="E20" s="643">
        <v>0</v>
      </c>
      <c r="F20" s="643">
        <v>0</v>
      </c>
      <c r="G20" s="643">
        <v>0</v>
      </c>
      <c r="H20" s="643">
        <v>0</v>
      </c>
      <c r="I20" s="640">
        <v>249989723</v>
      </c>
      <c r="J20" s="640">
        <v>-249989723</v>
      </c>
      <c r="K20" s="643">
        <f>+C20+D20+E20+G20+H20+I20+J20</f>
        <v>0</v>
      </c>
      <c r="L20" s="915">
        <v>0</v>
      </c>
    </row>
    <row r="21" spans="1:13" ht="36.75" customHeight="1">
      <c r="A21" s="1021" t="s">
        <v>1193</v>
      </c>
      <c r="B21" s="643">
        <v>0</v>
      </c>
      <c r="C21" s="643">
        <v>-447720323</v>
      </c>
      <c r="D21" s="640">
        <v>447720323</v>
      </c>
      <c r="E21" s="643">
        <v>0</v>
      </c>
      <c r="F21" s="643">
        <v>0</v>
      </c>
      <c r="G21" s="643">
        <v>0</v>
      </c>
      <c r="H21" s="643">
        <v>0</v>
      </c>
      <c r="I21" s="640">
        <v>0</v>
      </c>
      <c r="J21" s="640">
        <v>0</v>
      </c>
      <c r="K21" s="643">
        <f t="shared" si="0"/>
        <v>0</v>
      </c>
      <c r="L21" s="915">
        <v>0</v>
      </c>
    </row>
    <row r="22" spans="1:13" ht="26.25" customHeight="1">
      <c r="A22" s="1021" t="s">
        <v>1222</v>
      </c>
      <c r="B22" s="643">
        <v>0</v>
      </c>
      <c r="C22" s="643"/>
      <c r="D22" s="640">
        <v>363000000</v>
      </c>
      <c r="E22" s="643">
        <v>0</v>
      </c>
      <c r="F22" s="643">
        <v>0</v>
      </c>
      <c r="G22" s="643">
        <v>0</v>
      </c>
      <c r="H22" s="643">
        <v>0</v>
      </c>
      <c r="I22" s="640">
        <v>0</v>
      </c>
      <c r="J22" s="640">
        <v>0</v>
      </c>
      <c r="K22" s="643">
        <f t="shared" si="0"/>
        <v>363000000</v>
      </c>
      <c r="L22" s="915">
        <v>0</v>
      </c>
    </row>
    <row r="23" spans="1:13" ht="24" customHeight="1">
      <c r="A23" s="639" t="s">
        <v>637</v>
      </c>
      <c r="B23" s="640">
        <v>0</v>
      </c>
      <c r="C23" s="640">
        <v>0</v>
      </c>
      <c r="D23" s="640">
        <v>0</v>
      </c>
      <c r="E23" s="640">
        <v>0</v>
      </c>
      <c r="F23" s="640">
        <v>0</v>
      </c>
      <c r="G23" s="640">
        <v>0</v>
      </c>
      <c r="H23" s="640">
        <v>0</v>
      </c>
      <c r="I23" s="640">
        <v>0</v>
      </c>
      <c r="J23" s="640">
        <v>407025486</v>
      </c>
      <c r="K23" s="643">
        <f t="shared" si="0"/>
        <v>407025486</v>
      </c>
      <c r="L23" s="641">
        <v>249989723</v>
      </c>
    </row>
    <row r="24" spans="1:13" ht="24" customHeight="1">
      <c r="A24" s="644" t="s">
        <v>780</v>
      </c>
      <c r="B24" s="645">
        <v>0</v>
      </c>
      <c r="C24" s="645">
        <f>SUM(C15:C23)</f>
        <v>0</v>
      </c>
      <c r="D24" s="645">
        <f>SUM(D15:D23)</f>
        <v>2100000000</v>
      </c>
      <c r="E24" s="645">
        <f>SUM(E15:E23)</f>
        <v>54303993</v>
      </c>
      <c r="F24" s="645">
        <v>0</v>
      </c>
      <c r="G24" s="645">
        <f t="shared" ref="G24:J24" si="1">SUM(G15:G23)</f>
        <v>716431553</v>
      </c>
      <c r="H24" s="645">
        <f t="shared" si="1"/>
        <v>21824713</v>
      </c>
      <c r="I24" s="645">
        <f t="shared" si="1"/>
        <v>0</v>
      </c>
      <c r="J24" s="645">
        <f t="shared" si="1"/>
        <v>407025486</v>
      </c>
      <c r="K24" s="645">
        <f>SUM(K15:K23)</f>
        <v>3299585745</v>
      </c>
      <c r="L24" s="646">
        <v>0</v>
      </c>
    </row>
    <row r="25" spans="1:13" ht="24" customHeight="1" thickBot="1">
      <c r="A25" s="647" t="s">
        <v>781</v>
      </c>
      <c r="B25" s="648">
        <v>0</v>
      </c>
      <c r="C25" s="832">
        <v>447720323</v>
      </c>
      <c r="D25" s="832">
        <v>840000000</v>
      </c>
      <c r="E25" s="648">
        <v>32171553</v>
      </c>
      <c r="F25" s="648">
        <v>0</v>
      </c>
      <c r="G25" s="648">
        <v>234596356</v>
      </c>
      <c r="H25" s="648">
        <v>21824713</v>
      </c>
      <c r="I25" s="648">
        <v>0</v>
      </c>
      <c r="J25" s="648">
        <v>249989723</v>
      </c>
      <c r="K25" s="648">
        <v>0</v>
      </c>
      <c r="L25" s="649">
        <v>1826302668</v>
      </c>
      <c r="M25" s="760"/>
    </row>
    <row r="26" spans="1:13" ht="15">
      <c r="A26" s="650"/>
      <c r="B26" s="651"/>
      <c r="C26" s="651"/>
      <c r="D26" s="651"/>
      <c r="E26" s="651"/>
      <c r="F26" s="651"/>
      <c r="G26" s="651"/>
      <c r="H26" s="651"/>
      <c r="I26" s="651"/>
      <c r="J26" s="651"/>
      <c r="K26" s="652"/>
      <c r="L26" s="652"/>
    </row>
    <row r="27" spans="1:13" ht="15">
      <c r="A27" s="637"/>
      <c r="B27" s="637"/>
      <c r="C27" s="653"/>
      <c r="D27" s="654"/>
      <c r="E27" s="637"/>
      <c r="F27" s="637"/>
      <c r="G27" s="637"/>
      <c r="H27" s="637"/>
      <c r="I27" s="637"/>
      <c r="J27" s="637"/>
      <c r="K27" s="637"/>
      <c r="L27" s="637"/>
    </row>
    <row r="28" spans="1:13" s="946" customFormat="1" ht="24" customHeight="1">
      <c r="J28" s="947"/>
    </row>
    <row r="29" spans="1:13" ht="15">
      <c r="A29" s="637"/>
      <c r="B29" s="637"/>
      <c r="C29" s="637"/>
      <c r="D29" s="655"/>
      <c r="E29" s="637"/>
      <c r="F29" s="637"/>
      <c r="G29" s="637"/>
      <c r="H29" s="637"/>
      <c r="I29" s="637"/>
      <c r="J29" s="637"/>
      <c r="K29" s="655"/>
      <c r="L29" s="637"/>
    </row>
    <row r="30" spans="1:13" ht="15">
      <c r="A30" s="637"/>
      <c r="B30" s="637"/>
      <c r="C30" s="637"/>
      <c r="D30" s="655"/>
      <c r="E30" s="637"/>
      <c r="F30" s="637"/>
      <c r="G30" s="637"/>
      <c r="H30" s="637"/>
      <c r="I30" s="637"/>
      <c r="J30" s="637"/>
      <c r="K30" s="637"/>
      <c r="L30" s="637"/>
    </row>
    <row r="31" spans="1:13" ht="15">
      <c r="A31" s="637"/>
      <c r="B31" s="637"/>
      <c r="C31" s="637"/>
      <c r="D31" s="637"/>
      <c r="E31" s="637"/>
      <c r="F31" s="637"/>
      <c r="G31" s="637"/>
      <c r="H31" s="637"/>
      <c r="I31" s="637"/>
      <c r="J31" s="637"/>
      <c r="K31" s="637"/>
      <c r="L31" s="637"/>
    </row>
    <row r="32" spans="1:13" ht="15">
      <c r="A32" s="637"/>
      <c r="B32" s="637"/>
      <c r="C32" s="637"/>
      <c r="D32" s="637"/>
      <c r="E32" s="637"/>
      <c r="F32" s="637"/>
      <c r="G32" s="637"/>
      <c r="H32" s="637"/>
      <c r="I32" s="637"/>
      <c r="J32" s="637"/>
      <c r="K32" s="637"/>
      <c r="L32" s="637"/>
    </row>
    <row r="33" spans="1:12" ht="15">
      <c r="A33" s="637"/>
      <c r="B33" s="637"/>
      <c r="C33" s="637"/>
      <c r="D33" s="637"/>
      <c r="E33" s="637"/>
      <c r="F33" s="637"/>
      <c r="G33" s="637"/>
      <c r="H33" s="637"/>
      <c r="I33" s="637"/>
      <c r="J33" s="637"/>
      <c r="K33" s="637"/>
      <c r="L33" s="637"/>
    </row>
    <row r="34" spans="1:12" ht="15">
      <c r="A34" s="637"/>
      <c r="B34" s="637"/>
      <c r="C34" s="637"/>
      <c r="D34" s="637"/>
      <c r="E34" s="637"/>
      <c r="F34" s="637"/>
      <c r="G34" s="637"/>
      <c r="H34" s="637"/>
      <c r="I34" s="637"/>
      <c r="J34" s="637"/>
      <c r="K34" s="637"/>
      <c r="L34" s="637"/>
    </row>
    <row r="35" spans="1:12" ht="15" customHeight="1">
      <c r="A35" s="1094" t="s">
        <v>944</v>
      </c>
      <c r="B35" s="1094"/>
      <c r="C35" s="1094"/>
      <c r="D35" s="1094"/>
      <c r="E35" s="1094"/>
      <c r="F35" s="1094"/>
      <c r="G35" s="1094"/>
      <c r="H35" s="1094"/>
      <c r="I35" s="1094"/>
      <c r="J35" s="1094"/>
      <c r="K35" s="1094"/>
      <c r="L35" s="1094"/>
    </row>
    <row r="36" spans="1:12" ht="15" customHeight="1">
      <c r="A36" s="1094" t="s">
        <v>237</v>
      </c>
      <c r="B36" s="1094"/>
      <c r="C36" s="1094"/>
      <c r="D36" s="1094"/>
      <c r="E36" s="1094"/>
      <c r="F36" s="1094"/>
      <c r="G36" s="1094"/>
      <c r="H36" s="1094"/>
      <c r="I36" s="1094"/>
      <c r="J36" s="1094"/>
      <c r="K36" s="1094"/>
      <c r="L36" s="1094"/>
    </row>
    <row r="37" spans="1:12">
      <c r="A37" s="1094" t="s">
        <v>1149</v>
      </c>
      <c r="B37" s="1094"/>
      <c r="C37" s="1094"/>
      <c r="D37" s="1094"/>
      <c r="E37" s="1094"/>
      <c r="F37" s="1094"/>
      <c r="G37" s="1094"/>
      <c r="H37" s="1094"/>
      <c r="I37" s="1094"/>
      <c r="J37" s="1094"/>
      <c r="K37" s="1094"/>
      <c r="L37" s="1094"/>
    </row>
    <row r="40" spans="1:12" ht="15">
      <c r="A40" s="637"/>
      <c r="B40" s="637"/>
      <c r="C40" s="637"/>
      <c r="D40" s="637"/>
      <c r="E40" s="637"/>
      <c r="F40" s="637"/>
      <c r="G40" s="637"/>
      <c r="H40" s="637"/>
      <c r="I40" s="637"/>
      <c r="J40" s="637"/>
      <c r="K40" s="637"/>
      <c r="L40" s="637"/>
    </row>
  </sheetData>
  <mergeCells count="18">
    <mergeCell ref="K11:L12"/>
    <mergeCell ref="A4:J4"/>
    <mergeCell ref="A11:A14"/>
    <mergeCell ref="A7:L7"/>
    <mergeCell ref="A8:L8"/>
    <mergeCell ref="A9:L9"/>
    <mergeCell ref="E13:E14"/>
    <mergeCell ref="F13:F14"/>
    <mergeCell ref="G13:G14"/>
    <mergeCell ref="H13:H14"/>
    <mergeCell ref="B11:D12"/>
    <mergeCell ref="E11:H12"/>
    <mergeCell ref="I11:J12"/>
    <mergeCell ref="I13:I14"/>
    <mergeCell ref="J13:J14"/>
    <mergeCell ref="A35:L35"/>
    <mergeCell ref="A36:L36"/>
    <mergeCell ref="A37:L37"/>
  </mergeCells>
  <pageMargins left="0.7" right="0.7" top="0.75" bottom="0.75" header="0.3" footer="0.3"/>
  <pageSetup paperSize="9" orientation="portrait" verticalDpi="3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O193"/>
  <sheetViews>
    <sheetView zoomScale="91" zoomScaleNormal="91" workbookViewId="0">
      <selection activeCell="K40" sqref="K40"/>
    </sheetView>
  </sheetViews>
  <sheetFormatPr baseColWidth="10" defaultRowHeight="12.75"/>
  <sheetData>
    <row r="7" spans="1:15" ht="14.25">
      <c r="A7" s="901" t="s">
        <v>1201</v>
      </c>
    </row>
    <row r="9" spans="1:15">
      <c r="A9" t="s">
        <v>1238</v>
      </c>
    </row>
    <row r="10" spans="1:15">
      <c r="A10" t="s">
        <v>1227</v>
      </c>
    </row>
    <row r="12" spans="1:15">
      <c r="A12" t="s">
        <v>1239</v>
      </c>
    </row>
    <row r="13" spans="1:15">
      <c r="A13" s="1079" t="s">
        <v>1240</v>
      </c>
      <c r="B13" s="1079"/>
      <c r="C13" s="1079"/>
      <c r="D13" s="1079"/>
      <c r="E13" s="1079"/>
      <c r="F13" s="1079"/>
      <c r="G13" s="1079"/>
      <c r="H13" s="1079"/>
      <c r="I13" s="1079"/>
      <c r="J13" s="1079"/>
      <c r="K13" s="1079"/>
      <c r="L13" s="1079"/>
      <c r="M13" s="1079"/>
      <c r="N13" s="1079"/>
      <c r="O13" s="1079"/>
    </row>
    <row r="14" spans="1:15">
      <c r="A14" t="s">
        <v>1241</v>
      </c>
    </row>
    <row r="15" spans="1:15">
      <c r="A15" t="s">
        <v>1242</v>
      </c>
    </row>
    <row r="17" spans="1:12">
      <c r="A17" t="s">
        <v>1228</v>
      </c>
    </row>
    <row r="18" spans="1:12">
      <c r="A18" t="s">
        <v>1229</v>
      </c>
    </row>
    <row r="19" spans="1:12" ht="14.25">
      <c r="A19" s="889" t="s">
        <v>1230</v>
      </c>
      <c r="B19" s="889"/>
      <c r="C19" s="889"/>
      <c r="D19" s="889"/>
      <c r="E19" s="889"/>
      <c r="F19" s="889"/>
      <c r="G19" s="889"/>
      <c r="H19" s="889"/>
      <c r="I19" s="889"/>
      <c r="J19" s="889"/>
      <c r="K19" s="889"/>
      <c r="L19" s="889"/>
    </row>
    <row r="20" spans="1:12">
      <c r="A20" t="s">
        <v>1231</v>
      </c>
    </row>
    <row r="21" spans="1:12">
      <c r="A21" t="s">
        <v>1232</v>
      </c>
    </row>
    <row r="22" spans="1:12">
      <c r="A22" t="s">
        <v>1233</v>
      </c>
    </row>
    <row r="23" spans="1:12">
      <c r="A23" t="s">
        <v>1234</v>
      </c>
    </row>
    <row r="24" spans="1:12">
      <c r="A24" t="s">
        <v>1235</v>
      </c>
    </row>
    <row r="25" spans="1:12">
      <c r="A25" t="s">
        <v>1236</v>
      </c>
    </row>
    <row r="26" spans="1:12">
      <c r="A26" t="s">
        <v>1237</v>
      </c>
    </row>
    <row r="27" spans="1:12">
      <c r="A27" t="s">
        <v>1263</v>
      </c>
    </row>
    <row r="28" spans="1:12">
      <c r="A28" t="s">
        <v>1264</v>
      </c>
    </row>
    <row r="29" spans="1:12">
      <c r="A29" t="s">
        <v>1265</v>
      </c>
    </row>
    <row r="30" spans="1:12">
      <c r="A30" t="s">
        <v>1266</v>
      </c>
    </row>
    <row r="31" spans="1:12">
      <c r="A31" t="s">
        <v>1267</v>
      </c>
    </row>
    <row r="32" spans="1:12">
      <c r="A32" t="s">
        <v>1268</v>
      </c>
    </row>
    <row r="33" spans="1:2" s="886" customFormat="1">
      <c r="A33" s="886" t="s">
        <v>1308</v>
      </c>
    </row>
    <row r="35" spans="1:2">
      <c r="A35" t="s">
        <v>1243</v>
      </c>
      <c r="B35" t="s">
        <v>1244</v>
      </c>
    </row>
    <row r="36" spans="1:2">
      <c r="A36" t="s">
        <v>1245</v>
      </c>
    </row>
    <row r="38" spans="1:2">
      <c r="A38" t="s">
        <v>1274</v>
      </c>
    </row>
    <row r="39" spans="1:2">
      <c r="A39" t="s">
        <v>1246</v>
      </c>
      <c r="B39" t="s">
        <v>1247</v>
      </c>
    </row>
    <row r="41" spans="1:2">
      <c r="A41" t="s">
        <v>1275</v>
      </c>
    </row>
    <row r="42" spans="1:2">
      <c r="A42" t="s">
        <v>1276</v>
      </c>
    </row>
    <row r="43" spans="1:2">
      <c r="A43" t="s">
        <v>1277</v>
      </c>
    </row>
    <row r="45" spans="1:2">
      <c r="A45" t="s">
        <v>1248</v>
      </c>
      <c r="B45" t="s">
        <v>1249</v>
      </c>
    </row>
    <row r="46" spans="1:2" ht="14.25">
      <c r="A46" s="889" t="s">
        <v>1269</v>
      </c>
    </row>
    <row r="47" spans="1:2">
      <c r="A47" t="s">
        <v>1270</v>
      </c>
    </row>
    <row r="48" spans="1:2">
      <c r="A48" t="s">
        <v>1271</v>
      </c>
    </row>
    <row r="50" spans="1:2" ht="14.25">
      <c r="A50" s="885" t="s">
        <v>1272</v>
      </c>
      <c r="B50" t="s">
        <v>1273</v>
      </c>
    </row>
    <row r="51" spans="1:2">
      <c r="A51" t="s">
        <v>1250</v>
      </c>
    </row>
    <row r="53" spans="1:2" ht="14.25">
      <c r="A53" s="885" t="s">
        <v>1251</v>
      </c>
      <c r="B53" t="s">
        <v>1252</v>
      </c>
    </row>
    <row r="54" spans="1:2">
      <c r="A54" t="s">
        <v>1253</v>
      </c>
    </row>
    <row r="56" spans="1:2" ht="14.25">
      <c r="A56" s="885" t="s">
        <v>1254</v>
      </c>
      <c r="B56" t="s">
        <v>1255</v>
      </c>
    </row>
    <row r="57" spans="1:2">
      <c r="A57" t="s">
        <v>1256</v>
      </c>
    </row>
    <row r="59" spans="1:2">
      <c r="A59" t="s">
        <v>1257</v>
      </c>
      <c r="B59" t="s">
        <v>1258</v>
      </c>
    </row>
    <row r="60" spans="1:2">
      <c r="A60" t="s">
        <v>1259</v>
      </c>
    </row>
    <row r="62" spans="1:2">
      <c r="A62" t="s">
        <v>1260</v>
      </c>
      <c r="B62" t="s">
        <v>1261</v>
      </c>
    </row>
    <row r="63" spans="1:2">
      <c r="A63" t="s">
        <v>1262</v>
      </c>
    </row>
    <row r="66" spans="1:1" ht="14.25">
      <c r="A66" s="891"/>
    </row>
    <row r="69" spans="1:1" ht="14.25">
      <c r="A69" s="899"/>
    </row>
    <row r="146" spans="1:12">
      <c r="A146" s="921"/>
      <c r="B146" s="921"/>
      <c r="C146" s="921"/>
      <c r="D146" s="921"/>
      <c r="E146" s="921"/>
      <c r="F146" s="921"/>
      <c r="G146" s="921"/>
      <c r="H146" s="921"/>
      <c r="I146" s="921"/>
      <c r="J146" s="921"/>
      <c r="K146" s="921"/>
      <c r="L146" s="921"/>
    </row>
    <row r="147" spans="1:12">
      <c r="A147" s="921"/>
      <c r="B147" s="921"/>
      <c r="C147" s="921"/>
      <c r="D147" s="921"/>
      <c r="E147" s="921"/>
      <c r="F147" s="921"/>
      <c r="G147" s="921"/>
      <c r="H147" s="921"/>
      <c r="I147" s="921"/>
      <c r="J147" s="921"/>
      <c r="K147" s="921"/>
      <c r="L147" s="921"/>
    </row>
    <row r="148" spans="1:12">
      <c r="A148" s="921"/>
      <c r="B148" s="921"/>
      <c r="C148" s="921"/>
      <c r="D148" s="921"/>
      <c r="E148" s="921"/>
      <c r="F148" s="921"/>
      <c r="G148" s="921"/>
      <c r="H148" s="921"/>
      <c r="I148" s="921"/>
      <c r="J148" s="921"/>
      <c r="K148" s="921"/>
      <c r="L148" s="921"/>
    </row>
    <row r="191" spans="1:8">
      <c r="A191" s="1094" t="s">
        <v>944</v>
      </c>
      <c r="B191" s="1094"/>
      <c r="C191" s="1094"/>
      <c r="D191" s="1094"/>
      <c r="E191" s="1094"/>
      <c r="F191" s="1094"/>
      <c r="G191" s="1094"/>
      <c r="H191" s="1094"/>
    </row>
    <row r="192" spans="1:8">
      <c r="A192" s="1094" t="s">
        <v>237</v>
      </c>
      <c r="B192" s="1094"/>
      <c r="C192" s="1094"/>
      <c r="D192" s="1094"/>
      <c r="E192" s="1094"/>
      <c r="F192" s="1094"/>
      <c r="G192" s="1094"/>
      <c r="H192" s="1094"/>
    </row>
    <row r="193" spans="1:8">
      <c r="A193" s="1094" t="s">
        <v>1149</v>
      </c>
      <c r="B193" s="1094"/>
      <c r="C193" s="1094"/>
      <c r="D193" s="1094"/>
      <c r="E193" s="1094"/>
      <c r="F193" s="1094"/>
      <c r="G193" s="1094"/>
      <c r="H193" s="1094"/>
    </row>
  </sheetData>
  <mergeCells count="3">
    <mergeCell ref="A191:H191"/>
    <mergeCell ref="A192:H192"/>
    <mergeCell ref="A193:H193"/>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F55"/>
  <sheetViews>
    <sheetView zoomScale="75" zoomScaleNormal="75" workbookViewId="0">
      <selection activeCell="A20" sqref="A20"/>
    </sheetView>
  </sheetViews>
  <sheetFormatPr baseColWidth="10" defaultColWidth="11.42578125" defaultRowHeight="12.75"/>
  <cols>
    <col min="1" max="1" width="8" style="22" customWidth="1"/>
    <col min="2" max="2" width="37.28515625" style="22" customWidth="1"/>
    <col min="3" max="3" width="23.5703125" style="22" customWidth="1"/>
    <col min="4" max="4" width="23.85546875" style="22" customWidth="1"/>
    <col min="5" max="5" width="22" style="22" customWidth="1"/>
    <col min="6" max="6" width="19.85546875" style="22" customWidth="1"/>
    <col min="7" max="7" width="20.85546875" style="22" customWidth="1"/>
    <col min="8" max="8" width="21.28515625" style="22" customWidth="1"/>
    <col min="9" max="16384" width="11.42578125" style="22"/>
  </cols>
  <sheetData>
    <row r="1" spans="1:6" ht="18.75" customHeight="1">
      <c r="A1" s="1138" t="s">
        <v>239</v>
      </c>
      <c r="B1" s="1138"/>
      <c r="C1" s="1138"/>
      <c r="D1" s="1138"/>
      <c r="E1" s="1138"/>
      <c r="F1" s="23"/>
    </row>
    <row r="2" spans="1:6" ht="18.75" customHeight="1">
      <c r="A2" s="1138" t="s">
        <v>240</v>
      </c>
      <c r="B2" s="1138"/>
      <c r="C2" s="1138"/>
      <c r="D2" s="1138"/>
      <c r="E2" s="1138"/>
      <c r="F2" s="23"/>
    </row>
    <row r="3" spans="1:6" ht="18.75" customHeight="1">
      <c r="A3" s="1139" t="s">
        <v>250</v>
      </c>
      <c r="B3" s="1139"/>
      <c r="C3" s="1139"/>
      <c r="D3" s="1139"/>
      <c r="E3" s="1139"/>
      <c r="F3" s="23"/>
    </row>
    <row r="4" spans="1:6" ht="18.75" customHeight="1">
      <c r="B4" s="24"/>
      <c r="C4" s="25"/>
      <c r="D4" s="25"/>
    </row>
    <row r="5" spans="1:6" ht="18.75" customHeight="1">
      <c r="A5" s="1140" t="s">
        <v>242</v>
      </c>
      <c r="B5" s="1140"/>
      <c r="C5" s="1140"/>
      <c r="D5" s="1140"/>
      <c r="E5" s="1140"/>
    </row>
    <row r="6" spans="1:6" ht="18.75" customHeight="1">
      <c r="A6" s="1140" t="s">
        <v>243</v>
      </c>
      <c r="B6" s="1140"/>
      <c r="C6" s="1140"/>
      <c r="D6" s="1140"/>
      <c r="E6" s="1140"/>
    </row>
    <row r="7" spans="1:6" ht="18.75" customHeight="1">
      <c r="B7" s="1140" t="s">
        <v>245</v>
      </c>
      <c r="C7" s="1140"/>
      <c r="D7" s="1140"/>
      <c r="E7" s="1140"/>
    </row>
    <row r="8" spans="1:6">
      <c r="A8" s="26"/>
      <c r="B8" s="27"/>
      <c r="C8" s="28"/>
      <c r="D8" s="28"/>
      <c r="E8" s="29"/>
    </row>
    <row r="9" spans="1:6" ht="15.95" customHeight="1">
      <c r="A9" s="30" t="s">
        <v>251</v>
      </c>
      <c r="B9" s="31"/>
      <c r="C9" s="32"/>
      <c r="D9" s="32"/>
      <c r="E9" s="33"/>
    </row>
    <row r="10" spans="1:6" ht="15.95" customHeight="1">
      <c r="A10" s="30" t="s">
        <v>252</v>
      </c>
      <c r="B10" s="31"/>
      <c r="C10" s="32"/>
      <c r="D10" s="34">
        <v>39447</v>
      </c>
      <c r="E10" s="35">
        <v>39082</v>
      </c>
    </row>
    <row r="11" spans="1:6" ht="15.95" customHeight="1">
      <c r="A11" s="30"/>
      <c r="B11" s="31"/>
      <c r="C11" s="32"/>
      <c r="D11" s="36"/>
      <c r="E11" s="29"/>
    </row>
    <row r="12" spans="1:6" ht="15.95" customHeight="1">
      <c r="A12" s="30"/>
      <c r="B12" s="37" t="s">
        <v>253</v>
      </c>
      <c r="C12" s="32"/>
      <c r="D12" s="38">
        <v>-398943038</v>
      </c>
      <c r="E12" s="38">
        <v>-95196156</v>
      </c>
    </row>
    <row r="13" spans="1:6" ht="15.95" customHeight="1">
      <c r="A13" s="39" t="s">
        <v>254</v>
      </c>
      <c r="B13" s="37" t="s">
        <v>255</v>
      </c>
      <c r="C13" s="32"/>
      <c r="D13" s="40"/>
      <c r="E13" s="40"/>
    </row>
    <row r="14" spans="1:6" ht="15.95" customHeight="1">
      <c r="A14" s="30"/>
      <c r="B14" s="31" t="s">
        <v>256</v>
      </c>
      <c r="C14" s="32"/>
      <c r="D14" s="40">
        <f>EGRESOS!$E$45</f>
        <v>0</v>
      </c>
      <c r="E14" s="40">
        <v>962742793</v>
      </c>
    </row>
    <row r="15" spans="1:6" ht="15.95" customHeight="1">
      <c r="A15" s="30"/>
      <c r="B15" s="41" t="s">
        <v>257</v>
      </c>
      <c r="C15" s="32"/>
      <c r="D15" s="40">
        <f>389493090+963890673+317766952</f>
        <v>1671150715</v>
      </c>
      <c r="E15" s="40">
        <v>963893483</v>
      </c>
    </row>
    <row r="16" spans="1:6" ht="15.95" customHeight="1">
      <c r="A16" s="39" t="s">
        <v>258</v>
      </c>
      <c r="B16" s="41" t="s">
        <v>259</v>
      </c>
      <c r="C16" s="32"/>
      <c r="D16" s="42">
        <f>-1719596950+3163718206-D15-D14</f>
        <v>-227029459</v>
      </c>
      <c r="E16" s="42">
        <v>-1214878757</v>
      </c>
    </row>
    <row r="17" spans="1:5" ht="15.95" customHeight="1">
      <c r="A17" s="39" t="s">
        <v>260</v>
      </c>
      <c r="B17" s="31"/>
      <c r="C17" s="32"/>
      <c r="D17" s="43">
        <f>SUM(D12:D16)</f>
        <v>1045178218</v>
      </c>
      <c r="E17" s="43">
        <f>SUM(E12:E16)</f>
        <v>616561363</v>
      </c>
    </row>
    <row r="18" spans="1:5" ht="15.95" customHeight="1">
      <c r="A18" s="30"/>
      <c r="B18" s="31"/>
      <c r="C18" s="32"/>
      <c r="D18" s="40"/>
      <c r="E18" s="40"/>
    </row>
    <row r="19" spans="1:5" ht="15.95" customHeight="1">
      <c r="A19" s="39" t="s">
        <v>261</v>
      </c>
      <c r="B19" s="31"/>
      <c r="C19" s="32"/>
      <c r="D19" s="40"/>
      <c r="E19" s="40"/>
    </row>
    <row r="20" spans="1:5" ht="15.95" customHeight="1">
      <c r="A20" s="30"/>
      <c r="B20" s="31" t="s">
        <v>262</v>
      </c>
      <c r="C20" s="32"/>
      <c r="D20" s="44">
        <v>1551176615</v>
      </c>
      <c r="E20" s="44">
        <v>-255213742</v>
      </c>
    </row>
    <row r="21" spans="1:5" ht="15.95" customHeight="1">
      <c r="A21" s="30"/>
      <c r="B21" s="31" t="s">
        <v>263</v>
      </c>
      <c r="C21" s="32"/>
      <c r="D21" s="44">
        <f>499446968+642008455+20253784-67632736-32560026</f>
        <v>1061516445</v>
      </c>
      <c r="E21" s="44">
        <f>487201438-786250327+251636227+399323937</f>
        <v>351911275</v>
      </c>
    </row>
    <row r="22" spans="1:5" ht="15.95" customHeight="1">
      <c r="A22" s="30"/>
      <c r="B22" s="41" t="s">
        <v>264</v>
      </c>
      <c r="C22" s="32"/>
      <c r="D22" s="44">
        <v>-362027853</v>
      </c>
      <c r="E22" s="44">
        <v>762371871</v>
      </c>
    </row>
    <row r="23" spans="1:5" ht="15.95" customHeight="1">
      <c r="A23" s="30"/>
      <c r="B23" s="41" t="s">
        <v>265</v>
      </c>
      <c r="C23" s="32"/>
      <c r="D23" s="45">
        <v>0</v>
      </c>
      <c r="E23" s="45">
        <v>0</v>
      </c>
    </row>
    <row r="24" spans="1:5" ht="15.95" customHeight="1">
      <c r="A24" s="30"/>
      <c r="B24" s="41" t="s">
        <v>266</v>
      </c>
      <c r="C24" s="32"/>
      <c r="D24" s="46">
        <v>-882732802</v>
      </c>
      <c r="E24" s="46">
        <f>-6391778+830325621+16831811</f>
        <v>840765654</v>
      </c>
    </row>
    <row r="25" spans="1:5" ht="15.95" customHeight="1">
      <c r="A25" s="30"/>
      <c r="B25" s="41" t="s">
        <v>267</v>
      </c>
      <c r="C25" s="32"/>
      <c r="D25" s="47">
        <v>0</v>
      </c>
      <c r="E25" s="47">
        <v>0</v>
      </c>
    </row>
    <row r="26" spans="1:5" ht="15.95" customHeight="1">
      <c r="A26" s="39" t="s">
        <v>268</v>
      </c>
      <c r="B26" s="31"/>
      <c r="C26" s="32"/>
      <c r="D26" s="44"/>
      <c r="E26" s="44"/>
    </row>
    <row r="27" spans="1:5" ht="15.95" customHeight="1">
      <c r="A27" s="39" t="s">
        <v>269</v>
      </c>
      <c r="B27" s="31"/>
      <c r="C27" s="32"/>
      <c r="D27" s="48">
        <f>SUM(D20:D25)</f>
        <v>1367932405</v>
      </c>
      <c r="E27" s="48">
        <f>SUM(E20:E25)</f>
        <v>1699835058</v>
      </c>
    </row>
    <row r="28" spans="1:5" ht="15.95" customHeight="1">
      <c r="A28" s="30"/>
      <c r="B28" s="31"/>
      <c r="C28" s="32"/>
      <c r="D28" s="40"/>
      <c r="E28" s="40"/>
    </row>
    <row r="29" spans="1:5" ht="15.95" customHeight="1">
      <c r="A29" s="39" t="s">
        <v>270</v>
      </c>
      <c r="B29" s="31"/>
      <c r="C29" s="32"/>
      <c r="D29" s="44"/>
      <c r="E29" s="44"/>
    </row>
    <row r="30" spans="1:5" ht="15.95" customHeight="1">
      <c r="A30" s="30"/>
      <c r="B30" s="31" t="s">
        <v>271</v>
      </c>
      <c r="C30" s="32"/>
      <c r="D30" s="44">
        <f>-515967018-215817121-2089668-39865751</f>
        <v>-773739558</v>
      </c>
      <c r="E30" s="44">
        <f>-1217067691-209710028-8109024-123152008-14341871+86275037</f>
        <v>-1486105585</v>
      </c>
    </row>
    <row r="31" spans="1:5" ht="15.95" customHeight="1">
      <c r="A31" s="30"/>
      <c r="B31" s="31" t="s">
        <v>272</v>
      </c>
      <c r="C31" s="32"/>
      <c r="D31" s="44">
        <v>3008412</v>
      </c>
      <c r="E31" s="44">
        <v>7546083</v>
      </c>
    </row>
    <row r="32" spans="1:5" ht="15.95" customHeight="1">
      <c r="A32" s="30"/>
      <c r="B32" s="31" t="s">
        <v>273</v>
      </c>
      <c r="C32" s="32"/>
      <c r="D32" s="49">
        <v>0</v>
      </c>
      <c r="E32" s="49">
        <v>0</v>
      </c>
    </row>
    <row r="33" spans="1:5" ht="15.95" customHeight="1">
      <c r="A33" s="39" t="s">
        <v>268</v>
      </c>
      <c r="B33" s="31"/>
      <c r="C33" s="32"/>
      <c r="D33" s="44"/>
      <c r="E33" s="44"/>
    </row>
    <row r="34" spans="1:5" ht="15.95" customHeight="1">
      <c r="A34" s="39" t="s">
        <v>274</v>
      </c>
      <c r="B34" s="31"/>
      <c r="C34" s="32"/>
      <c r="D34" s="48">
        <f>SUM(D30:D32)</f>
        <v>-770731146</v>
      </c>
      <c r="E34" s="48">
        <f>SUM(E30:E32)</f>
        <v>-1478559502</v>
      </c>
    </row>
    <row r="35" spans="1:5" ht="15.95" customHeight="1">
      <c r="A35" s="30"/>
      <c r="B35" s="31"/>
      <c r="C35" s="32"/>
      <c r="D35" s="44"/>
      <c r="E35" s="44"/>
    </row>
    <row r="36" spans="1:5" ht="15.95" customHeight="1">
      <c r="A36" s="39" t="s">
        <v>275</v>
      </c>
      <c r="B36" s="31"/>
      <c r="C36" s="32"/>
      <c r="D36" s="44"/>
      <c r="E36" s="44"/>
    </row>
    <row r="37" spans="1:5" ht="15.95" customHeight="1">
      <c r="A37" s="39"/>
      <c r="B37" s="31" t="s">
        <v>276</v>
      </c>
      <c r="C37" s="32"/>
      <c r="D37" s="50">
        <v>231066315</v>
      </c>
      <c r="E37" s="63">
        <v>220000000</v>
      </c>
    </row>
    <row r="38" spans="1:5" ht="15.95" customHeight="1">
      <c r="A38" s="30"/>
      <c r="B38" s="31" t="s">
        <v>277</v>
      </c>
      <c r="C38" s="32"/>
      <c r="D38" s="51">
        <v>-7671567</v>
      </c>
      <c r="E38" s="51">
        <v>-28964137</v>
      </c>
    </row>
    <row r="39" spans="1:5" ht="15.95" customHeight="1">
      <c r="A39" s="39" t="s">
        <v>268</v>
      </c>
      <c r="B39" s="31"/>
      <c r="C39" s="32"/>
      <c r="D39" s="44"/>
      <c r="E39" s="44"/>
    </row>
    <row r="40" spans="1:5" ht="15.95" customHeight="1">
      <c r="A40" s="39" t="s">
        <v>278</v>
      </c>
      <c r="B40" s="31"/>
      <c r="C40" s="32"/>
      <c r="D40" s="48">
        <f>SUM(D37:D38)</f>
        <v>223394748</v>
      </c>
      <c r="E40" s="48">
        <f>SUM(E37:E38)</f>
        <v>191035863</v>
      </c>
    </row>
    <row r="41" spans="1:5" ht="15.95" customHeight="1">
      <c r="A41" s="39"/>
      <c r="B41" s="31"/>
      <c r="C41" s="32"/>
      <c r="D41" s="44"/>
      <c r="E41" s="52"/>
    </row>
    <row r="42" spans="1:5" ht="15.95" customHeight="1">
      <c r="A42" s="39"/>
      <c r="B42" s="31"/>
      <c r="C42" s="32"/>
      <c r="D42" s="44"/>
      <c r="E42" s="52"/>
    </row>
    <row r="43" spans="1:5" ht="15.95" customHeight="1">
      <c r="A43" s="39" t="s">
        <v>279</v>
      </c>
      <c r="B43" s="31"/>
      <c r="C43" s="32"/>
      <c r="D43" s="53">
        <f>D17+D27+D34+D40</f>
        <v>1865774225</v>
      </c>
      <c r="E43" s="54">
        <f>E17+E27+E34+E40</f>
        <v>1028872782</v>
      </c>
    </row>
    <row r="44" spans="1:5" ht="15.95" customHeight="1">
      <c r="A44" s="39" t="s">
        <v>280</v>
      </c>
      <c r="B44" s="31"/>
      <c r="C44" s="32"/>
      <c r="D44" s="48">
        <v>1188149970</v>
      </c>
      <c r="E44" s="48">
        <v>159277188</v>
      </c>
    </row>
    <row r="45" spans="1:5" ht="15.95" customHeight="1">
      <c r="A45" s="39"/>
      <c r="B45" s="31"/>
      <c r="C45" s="32"/>
      <c r="D45" s="44"/>
      <c r="E45" s="52"/>
    </row>
    <row r="46" spans="1:5" ht="15.95" customHeight="1">
      <c r="A46" s="39" t="s">
        <v>281</v>
      </c>
      <c r="B46" s="31"/>
      <c r="C46" s="32"/>
      <c r="D46" s="55">
        <f>SUM(D43:D44)</f>
        <v>3053924195</v>
      </c>
      <c r="E46" s="56">
        <f>SUM(E43:E44)</f>
        <v>1188149970</v>
      </c>
    </row>
    <row r="47" spans="1:5">
      <c r="A47" s="57"/>
      <c r="B47" s="58"/>
      <c r="C47" s="59"/>
      <c r="D47" s="59"/>
      <c r="E47" s="60"/>
    </row>
    <row r="48" spans="1:5">
      <c r="A48" s="61"/>
      <c r="B48" s="31"/>
      <c r="C48" s="32"/>
      <c r="D48" s="32"/>
      <c r="E48" s="31"/>
    </row>
    <row r="49" spans="1:5">
      <c r="A49" s="61"/>
      <c r="B49" s="31"/>
      <c r="C49" s="32"/>
      <c r="D49" s="32"/>
      <c r="E49" s="31"/>
    </row>
    <row r="50" spans="1:5">
      <c r="B50" s="31"/>
      <c r="C50" s="32"/>
      <c r="D50" s="32"/>
      <c r="E50" s="31"/>
    </row>
    <row r="51" spans="1:5">
      <c r="B51" s="31"/>
      <c r="C51" s="32"/>
      <c r="D51" s="32"/>
      <c r="E51" s="31"/>
    </row>
    <row r="52" spans="1:5">
      <c r="A52" s="1141" t="s">
        <v>282</v>
      </c>
      <c r="B52" s="1141"/>
      <c r="C52" s="1142" t="s">
        <v>233</v>
      </c>
      <c r="D52" s="1142"/>
      <c r="E52" s="25" t="s">
        <v>234</v>
      </c>
    </row>
    <row r="53" spans="1:5">
      <c r="A53" s="1141" t="s">
        <v>235</v>
      </c>
      <c r="B53" s="1141"/>
      <c r="C53" s="1142" t="s">
        <v>236</v>
      </c>
      <c r="D53" s="1142"/>
      <c r="E53" s="25" t="s">
        <v>237</v>
      </c>
    </row>
    <row r="54" spans="1:5">
      <c r="A54" s="1141" t="s">
        <v>238</v>
      </c>
      <c r="B54" s="1141"/>
      <c r="C54" s="1141"/>
      <c r="D54" s="1141"/>
    </row>
    <row r="55" spans="1:5">
      <c r="B55" s="62"/>
      <c r="C55" s="23"/>
      <c r="D55" s="23"/>
    </row>
  </sheetData>
  <mergeCells count="12">
    <mergeCell ref="A54:B54"/>
    <mergeCell ref="C54:D54"/>
    <mergeCell ref="B7:E7"/>
    <mergeCell ref="A52:B52"/>
    <mergeCell ref="C52:D52"/>
    <mergeCell ref="A53:B53"/>
    <mergeCell ref="C53:D53"/>
    <mergeCell ref="A1:E1"/>
    <mergeCell ref="A2:E2"/>
    <mergeCell ref="A3:E3"/>
    <mergeCell ref="A5:E5"/>
    <mergeCell ref="A6:E6"/>
  </mergeCells>
  <phoneticPr fontId="19" type="noConversion"/>
  <printOptions horizontalCentered="1"/>
  <pageMargins left="0.25972222222222224" right="0.19652777777777777" top="0.8" bottom="0.77986111111111112" header="0.51180555555555562" footer="0.51180555555555562"/>
  <pageSetup paperSize="9" scale="80" firstPageNumber="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K25"/>
  <sheetViews>
    <sheetView zoomScale="110" zoomScaleNormal="110" workbookViewId="0">
      <selection activeCell="F16" sqref="F16"/>
    </sheetView>
  </sheetViews>
  <sheetFormatPr baseColWidth="10" defaultRowHeight="12.75"/>
  <cols>
    <col min="1" max="1" width="27" bestFit="1" customWidth="1"/>
    <col min="2" max="2" width="19.42578125" customWidth="1"/>
    <col min="3" max="3" width="21.85546875" customWidth="1"/>
    <col min="4" max="4" width="21.28515625" customWidth="1"/>
  </cols>
  <sheetData>
    <row r="5" spans="1:11" ht="14.25">
      <c r="A5" s="901" t="s">
        <v>1121</v>
      </c>
    </row>
    <row r="6" spans="1:11" ht="14.25">
      <c r="A6" s="885"/>
    </row>
    <row r="7" spans="1:11" ht="14.25">
      <c r="A7" s="900" t="s">
        <v>1122</v>
      </c>
    </row>
    <row r="9" spans="1:11" ht="81" customHeight="1">
      <c r="A9" s="1143" t="s">
        <v>1215</v>
      </c>
      <c r="B9" s="1143"/>
      <c r="C9" s="1143"/>
      <c r="D9" s="1143"/>
    </row>
    <row r="10" spans="1:11" ht="13.5" thickBot="1"/>
    <row r="11" spans="1:11" s="597" customFormat="1" ht="15.75" thickBot="1">
      <c r="A11" s="427"/>
      <c r="B11" s="428" t="s">
        <v>1202</v>
      </c>
      <c r="C11" s="428" t="s">
        <v>1163</v>
      </c>
      <c r="D11" s="881"/>
      <c r="E11" s="881"/>
      <c r="F11" s="881"/>
      <c r="G11" s="881"/>
      <c r="H11" s="881"/>
      <c r="I11" s="881"/>
      <c r="J11" s="881"/>
      <c r="K11" s="881"/>
    </row>
    <row r="12" spans="1:11" s="597" customFormat="1" ht="15.75" thickBot="1">
      <c r="A12" s="879" t="s">
        <v>996</v>
      </c>
      <c r="B12" s="880">
        <v>6891.96</v>
      </c>
      <c r="C12" s="880">
        <v>6442.33</v>
      </c>
      <c r="D12" s="881"/>
      <c r="E12" s="881"/>
      <c r="F12" s="881"/>
      <c r="G12" s="881"/>
      <c r="H12" s="881"/>
      <c r="I12" s="881"/>
      <c r="J12" s="881"/>
      <c r="K12" s="881"/>
    </row>
    <row r="13" spans="1:11" s="597" customFormat="1" ht="15.75" thickBot="1">
      <c r="A13" s="879" t="s">
        <v>997</v>
      </c>
      <c r="B13" s="880">
        <v>6941.65</v>
      </c>
      <c r="C13" s="880">
        <v>6463.95</v>
      </c>
      <c r="D13" s="881"/>
      <c r="E13" s="881"/>
      <c r="F13" s="881"/>
      <c r="G13" s="881"/>
      <c r="H13" s="881"/>
      <c r="I13" s="881"/>
      <c r="J13" s="881"/>
      <c r="K13" s="881"/>
    </row>
    <row r="20" spans="1:9">
      <c r="D20" s="938"/>
    </row>
    <row r="21" spans="1:9">
      <c r="D21" s="938"/>
    </row>
    <row r="22" spans="1:9">
      <c r="D22" s="938"/>
    </row>
    <row r="23" spans="1:9">
      <c r="A23" s="938" t="s">
        <v>944</v>
      </c>
      <c r="B23" s="938"/>
      <c r="C23" s="938"/>
      <c r="E23" s="921"/>
      <c r="F23" s="921"/>
      <c r="G23" s="921"/>
      <c r="H23" s="921"/>
      <c r="I23" s="921"/>
    </row>
    <row r="24" spans="1:9">
      <c r="A24" s="938" t="s">
        <v>237</v>
      </c>
      <c r="B24" s="938"/>
      <c r="C24" s="938"/>
      <c r="E24" s="921"/>
      <c r="F24" s="921"/>
      <c r="G24" s="921"/>
      <c r="H24" s="921"/>
      <c r="I24" s="921"/>
    </row>
    <row r="25" spans="1:9">
      <c r="A25" s="938" t="s">
        <v>1149</v>
      </c>
      <c r="B25" s="938"/>
      <c r="C25" s="938"/>
      <c r="E25" s="921"/>
      <c r="F25" s="921"/>
      <c r="G25" s="921"/>
      <c r="H25" s="921"/>
      <c r="I25" s="921"/>
    </row>
  </sheetData>
  <mergeCells count="1">
    <mergeCell ref="A9:D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Q133"/>
  <sheetViews>
    <sheetView showGridLines="0" zoomScale="80" zoomScaleNormal="80" workbookViewId="0">
      <selection activeCell="D34" sqref="D34"/>
    </sheetView>
  </sheetViews>
  <sheetFormatPr baseColWidth="10" defaultColWidth="11.42578125" defaultRowHeight="14.25"/>
  <cols>
    <col min="1" max="1" width="1.7109375" style="239" customWidth="1"/>
    <col min="2" max="2" width="0.85546875" style="148" customWidth="1"/>
    <col min="3" max="3" width="25.7109375" style="237" customWidth="1"/>
    <col min="4" max="4" width="50.28515625" style="238" bestFit="1" customWidth="1"/>
    <col min="5" max="5" width="25.7109375" style="148" hidden="1" customWidth="1"/>
    <col min="6" max="6" width="8.85546875" style="148" hidden="1" customWidth="1"/>
    <col min="7" max="7" width="25.28515625" style="148" bestFit="1" customWidth="1"/>
    <col min="8" max="8" width="10.5703125" style="148" bestFit="1" customWidth="1"/>
    <col min="9" max="9" width="19.5703125" style="179" customWidth="1"/>
    <col min="10" max="10" width="9.85546875" style="179" customWidth="1"/>
    <col min="11" max="11" width="6.42578125" style="148" customWidth="1"/>
    <col min="12" max="12" width="28.140625" style="148" bestFit="1" customWidth="1"/>
    <col min="13" max="13" width="20.140625" style="148" bestFit="1" customWidth="1"/>
    <col min="14" max="15" width="1.7109375" style="148" customWidth="1"/>
    <col min="16" max="16" width="16.28515625" style="148" customWidth="1"/>
    <col min="17" max="17" width="15.28515625" style="240" bestFit="1" customWidth="1"/>
    <col min="18" max="16384" width="11.42578125" style="148"/>
  </cols>
  <sheetData>
    <row r="1" spans="1:17" s="134" customFormat="1" ht="15">
      <c r="A1" s="239"/>
      <c r="B1" s="148"/>
      <c r="C1" s="132"/>
      <c r="D1" s="132"/>
      <c r="E1" s="132"/>
      <c r="F1" s="132"/>
      <c r="G1" s="132"/>
      <c r="H1" s="132"/>
      <c r="I1" s="258"/>
      <c r="J1" s="258"/>
      <c r="K1" s="132"/>
      <c r="L1" s="132"/>
      <c r="M1" s="133" t="s">
        <v>392</v>
      </c>
      <c r="N1" s="132"/>
      <c r="O1" s="239"/>
      <c r="Q1" s="135"/>
    </row>
    <row r="2" spans="1:17" s="134" customFormat="1" ht="5.25" customHeight="1">
      <c r="A2" s="239"/>
      <c r="B2" s="148"/>
      <c r="D2" s="148"/>
      <c r="E2" s="148"/>
      <c r="F2" s="148"/>
      <c r="G2" s="148"/>
      <c r="H2" s="148"/>
      <c r="I2" s="179"/>
      <c r="J2" s="179"/>
      <c r="K2" s="148"/>
      <c r="L2" s="148"/>
      <c r="M2" s="148"/>
      <c r="N2" s="148"/>
      <c r="O2" s="239"/>
      <c r="Q2" s="135"/>
    </row>
    <row r="3" spans="1:17" s="134" customFormat="1" ht="2.25" customHeight="1">
      <c r="A3" s="239"/>
      <c r="B3" s="148"/>
      <c r="C3" s="132"/>
      <c r="D3" s="132"/>
      <c r="E3" s="132"/>
      <c r="F3" s="132"/>
      <c r="G3" s="132"/>
      <c r="H3" s="132"/>
      <c r="I3" s="258"/>
      <c r="J3" s="258"/>
      <c r="K3" s="132"/>
      <c r="L3" s="132"/>
      <c r="M3" s="132"/>
      <c r="N3" s="132"/>
      <c r="O3" s="239"/>
      <c r="Q3" s="135"/>
    </row>
    <row r="4" spans="1:17" s="134" customFormat="1" ht="15">
      <c r="A4" s="239"/>
      <c r="B4" s="148"/>
      <c r="C4" s="136"/>
      <c r="D4" s="157"/>
      <c r="E4" s="259"/>
      <c r="F4" s="259"/>
      <c r="G4" s="259"/>
      <c r="H4" s="259"/>
      <c r="I4" s="259"/>
      <c r="J4" s="259"/>
      <c r="K4" s="259"/>
      <c r="L4" s="157"/>
      <c r="M4" s="139"/>
      <c r="N4" s="148"/>
      <c r="O4" s="239"/>
      <c r="Q4" s="135"/>
    </row>
    <row r="5" spans="1:17" s="134" customFormat="1" ht="15">
      <c r="A5" s="239"/>
      <c r="B5" s="148"/>
      <c r="C5" s="140" t="s">
        <v>393</v>
      </c>
      <c r="D5" s="157"/>
      <c r="E5" s="259"/>
      <c r="F5" s="259"/>
      <c r="G5" s="259"/>
      <c r="H5" s="259"/>
      <c r="I5" s="259"/>
      <c r="J5" s="259"/>
      <c r="K5" s="259"/>
      <c r="L5" s="157"/>
      <c r="M5" s="139"/>
      <c r="N5" s="148"/>
      <c r="O5" s="239"/>
      <c r="Q5" s="135"/>
    </row>
    <row r="6" spans="1:17" s="134" customFormat="1" ht="15">
      <c r="A6" s="239"/>
      <c r="B6" s="148"/>
      <c r="C6" s="136"/>
      <c r="D6" s="157"/>
      <c r="E6" s="259"/>
      <c r="F6" s="259"/>
      <c r="G6" s="259"/>
      <c r="H6" s="259"/>
      <c r="I6" s="259"/>
      <c r="J6" s="259"/>
      <c r="K6" s="259"/>
      <c r="L6" s="157"/>
      <c r="M6" s="139"/>
      <c r="N6" s="148"/>
      <c r="O6" s="239"/>
      <c r="Q6" s="135"/>
    </row>
    <row r="7" spans="1:17" s="134" customFormat="1" ht="15.75" thickBot="1">
      <c r="A7" s="239"/>
      <c r="B7" s="148"/>
      <c r="C7" s="142"/>
      <c r="D7" s="159"/>
      <c r="E7" s="260"/>
      <c r="F7" s="260"/>
      <c r="G7" s="260"/>
      <c r="H7" s="260"/>
      <c r="I7" s="260"/>
      <c r="J7" s="260"/>
      <c r="K7" s="260"/>
      <c r="L7" s="159"/>
      <c r="M7" s="145"/>
      <c r="N7" s="148"/>
      <c r="O7" s="239"/>
      <c r="Q7" s="135"/>
    </row>
    <row r="8" spans="1:17" s="134" customFormat="1" ht="15">
      <c r="A8" s="239"/>
      <c r="B8" s="148"/>
      <c r="C8" s="136"/>
      <c r="D8" s="157"/>
      <c r="E8" s="259"/>
      <c r="F8" s="259"/>
      <c r="G8" s="259"/>
      <c r="H8" s="259"/>
      <c r="I8" s="259"/>
      <c r="J8" s="259"/>
      <c r="K8" s="259"/>
      <c r="L8" s="157"/>
      <c r="M8" s="139"/>
      <c r="N8" s="148"/>
      <c r="O8" s="239"/>
      <c r="Q8" s="135"/>
    </row>
    <row r="9" spans="1:17" s="134" customFormat="1" ht="15">
      <c r="A9" s="239"/>
      <c r="B9" s="148"/>
      <c r="C9" s="146" t="s">
        <v>535</v>
      </c>
      <c r="D9" s="147" t="str">
        <f>'Balance (2)'!D9</f>
        <v>Metal Dorado S.A.</v>
      </c>
      <c r="E9" s="148"/>
      <c r="F9" s="148"/>
      <c r="G9" s="148"/>
      <c r="H9" s="148"/>
      <c r="I9" s="179"/>
      <c r="J9" s="179"/>
      <c r="K9" s="148"/>
      <c r="L9" s="149" t="s">
        <v>396</v>
      </c>
      <c r="M9" s="261" t="s">
        <v>397</v>
      </c>
      <c r="N9" s="148"/>
      <c r="O9" s="239"/>
      <c r="Q9" s="135"/>
    </row>
    <row r="10" spans="1:17" s="134" customFormat="1" ht="15">
      <c r="A10" s="239"/>
      <c r="B10" s="148"/>
      <c r="C10" s="146" t="s">
        <v>536</v>
      </c>
      <c r="D10" s="151" t="s">
        <v>399</v>
      </c>
      <c r="E10" s="148"/>
      <c r="F10" s="148"/>
      <c r="G10" s="148"/>
      <c r="H10" s="148"/>
      <c r="I10" s="179"/>
      <c r="J10" s="179"/>
      <c r="K10" s="148"/>
      <c r="L10" s="262" t="s">
        <v>400</v>
      </c>
      <c r="M10" s="263">
        <v>41017</v>
      </c>
      <c r="N10" s="148"/>
      <c r="O10" s="239"/>
      <c r="Q10" s="135"/>
    </row>
    <row r="11" spans="1:17" s="134" customFormat="1" ht="15">
      <c r="A11" s="239"/>
      <c r="B11" s="148"/>
      <c r="C11" s="146" t="s">
        <v>537</v>
      </c>
      <c r="D11" s="151" t="s">
        <v>402</v>
      </c>
      <c r="E11" s="148"/>
      <c r="F11" s="148"/>
      <c r="G11" s="148"/>
      <c r="H11" s="148"/>
      <c r="I11" s="179"/>
      <c r="J11" s="179"/>
      <c r="K11" s="148"/>
      <c r="L11" s="262" t="s">
        <v>403</v>
      </c>
      <c r="M11" s="264"/>
      <c r="N11" s="148"/>
      <c r="O11" s="239"/>
      <c r="Q11" s="135"/>
    </row>
    <row r="12" spans="1:17" s="134" customFormat="1" ht="12.75" customHeight="1">
      <c r="A12" s="239"/>
      <c r="B12" s="148"/>
      <c r="C12" s="156"/>
      <c r="D12" s="148"/>
      <c r="E12" s="157"/>
      <c r="F12" s="157"/>
      <c r="G12" s="157"/>
      <c r="H12" s="157"/>
      <c r="I12" s="259"/>
      <c r="J12" s="259"/>
      <c r="K12" s="157"/>
      <c r="L12" s="157"/>
      <c r="M12" s="157"/>
      <c r="N12" s="148"/>
      <c r="O12" s="239"/>
      <c r="Q12" s="135"/>
    </row>
    <row r="13" spans="1:17" s="134" customFormat="1" ht="15.75" thickBot="1">
      <c r="A13" s="239"/>
      <c r="B13" s="148"/>
      <c r="C13" s="158" t="s">
        <v>404</v>
      </c>
      <c r="D13" s="159"/>
      <c r="E13" s="260"/>
      <c r="F13" s="260"/>
      <c r="G13" s="260"/>
      <c r="H13" s="260"/>
      <c r="I13" s="260"/>
      <c r="J13" s="260"/>
      <c r="K13" s="260"/>
      <c r="L13" s="159"/>
      <c r="M13" s="159"/>
      <c r="N13" s="148"/>
      <c r="O13" s="239"/>
      <c r="Q13" s="135"/>
    </row>
    <row r="14" spans="1:17" s="134" customFormat="1">
      <c r="A14" s="239"/>
      <c r="B14" s="148"/>
      <c r="C14" s="137"/>
      <c r="D14" s="157"/>
      <c r="E14" s="148"/>
      <c r="F14" s="148"/>
      <c r="G14" s="148"/>
      <c r="H14" s="148"/>
      <c r="I14" s="179"/>
      <c r="J14" s="179"/>
      <c r="K14" s="148"/>
      <c r="L14" s="157"/>
      <c r="M14" s="157"/>
      <c r="N14" s="148"/>
      <c r="O14" s="239"/>
      <c r="Q14" s="135"/>
    </row>
    <row r="15" spans="1:17" s="134" customFormat="1" ht="15">
      <c r="A15" s="239"/>
      <c r="B15" s="148"/>
      <c r="C15" s="166" t="s">
        <v>405</v>
      </c>
      <c r="D15" s="265">
        <f>+'Balance (2)'!I22</f>
        <v>33597584779</v>
      </c>
      <c r="E15" s="148"/>
      <c r="F15" s="148"/>
      <c r="G15" s="148"/>
      <c r="H15" s="148"/>
      <c r="I15" s="179"/>
      <c r="J15" s="179"/>
      <c r="K15" s="148"/>
      <c r="L15" s="266" t="s">
        <v>406</v>
      </c>
      <c r="M15" s="266"/>
      <c r="N15" s="148"/>
      <c r="O15" s="239"/>
      <c r="Q15" s="135"/>
    </row>
    <row r="16" spans="1:17" s="134" customFormat="1" ht="15">
      <c r="A16" s="239"/>
      <c r="B16" s="148"/>
      <c r="C16" s="166" t="s">
        <v>407</v>
      </c>
      <c r="D16" s="265">
        <f>+D15*1%</f>
        <v>335975847.79000002</v>
      </c>
      <c r="E16" s="148"/>
      <c r="F16" s="267"/>
      <c r="G16" s="267"/>
      <c r="H16" s="267"/>
      <c r="I16" s="268"/>
      <c r="J16" s="268"/>
      <c r="K16" s="267"/>
      <c r="L16" s="267" t="s">
        <v>538</v>
      </c>
      <c r="M16" s="269" t="s">
        <v>399</v>
      </c>
      <c r="N16" s="148"/>
      <c r="O16" s="239"/>
      <c r="Q16" s="135"/>
    </row>
    <row r="17" spans="1:17" s="134" customFormat="1" ht="15">
      <c r="A17" s="239"/>
      <c r="B17" s="148"/>
      <c r="C17" s="152" t="s">
        <v>409</v>
      </c>
      <c r="D17" s="265">
        <f>+D16*50%</f>
        <v>167987923.89500001</v>
      </c>
      <c r="E17" s="148"/>
      <c r="F17" s="267"/>
      <c r="G17" s="267"/>
      <c r="H17" s="267"/>
      <c r="I17" s="268"/>
      <c r="J17" s="268"/>
      <c r="K17" s="267"/>
      <c r="L17" s="267" t="s">
        <v>539</v>
      </c>
      <c r="M17" s="269">
        <v>41013</v>
      </c>
      <c r="N17" s="148"/>
      <c r="O17" s="239"/>
      <c r="Q17" s="135"/>
    </row>
    <row r="18" spans="1:17" s="134" customFormat="1" ht="15">
      <c r="A18" s="239"/>
      <c r="B18" s="148"/>
      <c r="C18" s="166" t="s">
        <v>411</v>
      </c>
      <c r="D18" s="265">
        <f>+D17*5%</f>
        <v>8399396.1947500017</v>
      </c>
      <c r="E18" s="148"/>
      <c r="F18" s="267"/>
      <c r="G18" s="267"/>
      <c r="H18" s="267"/>
      <c r="I18" s="268"/>
      <c r="J18" s="268"/>
      <c r="K18" s="267"/>
      <c r="L18" s="267" t="s">
        <v>540</v>
      </c>
      <c r="M18" s="269">
        <v>41016</v>
      </c>
      <c r="N18" s="148"/>
      <c r="O18" s="239"/>
      <c r="Q18" s="135"/>
    </row>
    <row r="19" spans="1:17" s="134" customFormat="1" ht="6.75" customHeight="1" thickBot="1">
      <c r="A19" s="239"/>
      <c r="B19" s="148"/>
      <c r="C19" s="167"/>
      <c r="D19" s="157"/>
      <c r="E19" s="148"/>
      <c r="F19" s="148"/>
      <c r="G19" s="148"/>
      <c r="H19" s="148"/>
      <c r="I19" s="179"/>
      <c r="J19" s="179"/>
      <c r="K19" s="148"/>
      <c r="L19" s="157"/>
      <c r="M19" s="157"/>
      <c r="N19" s="148"/>
      <c r="O19" s="239"/>
      <c r="Q19" s="135"/>
    </row>
    <row r="20" spans="1:17" s="174" customFormat="1" ht="30.75" thickBot="1">
      <c r="A20" s="239"/>
      <c r="B20" s="148"/>
      <c r="C20" s="168" t="s">
        <v>413</v>
      </c>
      <c r="D20" s="270" t="s">
        <v>414</v>
      </c>
      <c r="E20" s="271" t="s">
        <v>415</v>
      </c>
      <c r="F20" s="272" t="s">
        <v>416</v>
      </c>
      <c r="G20" s="271" t="s">
        <v>417</v>
      </c>
      <c r="H20" s="272" t="s">
        <v>416</v>
      </c>
      <c r="I20" s="271" t="s">
        <v>418</v>
      </c>
      <c r="J20" s="272" t="s">
        <v>416</v>
      </c>
      <c r="K20" s="273" t="s">
        <v>419</v>
      </c>
      <c r="L20" s="274" t="s">
        <v>420</v>
      </c>
      <c r="M20" s="275" t="s">
        <v>416</v>
      </c>
      <c r="N20" s="276"/>
      <c r="O20" s="277"/>
      <c r="Q20" s="175"/>
    </row>
    <row r="21" spans="1:17" s="179" customFormat="1" ht="4.5" customHeight="1" thickBot="1">
      <c r="A21" s="239"/>
      <c r="B21" s="148"/>
      <c r="C21" s="149"/>
      <c r="D21" s="176"/>
      <c r="E21" s="177"/>
      <c r="F21" s="177"/>
      <c r="G21" s="178"/>
      <c r="H21" s="177"/>
      <c r="I21" s="177"/>
      <c r="J21" s="177"/>
      <c r="K21" s="177"/>
      <c r="L21" s="177"/>
      <c r="O21" s="278"/>
      <c r="Q21" s="180"/>
    </row>
    <row r="22" spans="1:17" s="131" customFormat="1" ht="15">
      <c r="A22" s="239"/>
      <c r="B22" s="148"/>
      <c r="C22" s="279" t="s">
        <v>541</v>
      </c>
      <c r="D22" s="280" t="s">
        <v>196</v>
      </c>
      <c r="E22" s="281"/>
      <c r="F22" s="282" t="e">
        <f>+E22/$E$22</f>
        <v>#DIV/0!</v>
      </c>
      <c r="G22" s="281">
        <f>+G23+G32</f>
        <v>16592321778</v>
      </c>
      <c r="H22" s="283">
        <f>G22/G22</f>
        <v>1</v>
      </c>
      <c r="I22" s="281">
        <f>+I23+I32</f>
        <v>24572657587</v>
      </c>
      <c r="J22" s="283">
        <f>I22/I22</f>
        <v>1</v>
      </c>
      <c r="K22" s="284"/>
      <c r="L22" s="281">
        <f>+I22-G22</f>
        <v>7980335809</v>
      </c>
      <c r="M22" s="285">
        <f>L22/G22</f>
        <v>0.48096558852789628</v>
      </c>
      <c r="O22" s="130"/>
      <c r="Q22" s="187"/>
    </row>
    <row r="23" spans="1:17" s="131" customFormat="1" ht="15">
      <c r="A23" s="239"/>
      <c r="B23" s="148"/>
      <c r="C23" s="286" t="s">
        <v>542</v>
      </c>
      <c r="D23" s="287" t="s">
        <v>543</v>
      </c>
      <c r="E23" s="288"/>
      <c r="F23" s="289" t="e">
        <f>E23/E22</f>
        <v>#DIV/0!</v>
      </c>
      <c r="G23" s="288">
        <f>+G24+G27</f>
        <v>16407138338</v>
      </c>
      <c r="H23" s="290">
        <f t="shared" ref="H23:J35" si="0">G23/G$22</f>
        <v>0.98883920873294917</v>
      </c>
      <c r="I23" s="288">
        <f>+I24+I27</f>
        <v>24366156077</v>
      </c>
      <c r="J23" s="290">
        <f t="shared" si="0"/>
        <v>0.99159628911651587</v>
      </c>
      <c r="K23" s="291"/>
      <c r="L23" s="288">
        <f>+I23-G23</f>
        <v>7959017739</v>
      </c>
      <c r="M23" s="292">
        <f t="shared" ref="M23:M86" si="1">L23/G23</f>
        <v>0.48509481513704295</v>
      </c>
      <c r="O23" s="130"/>
      <c r="Q23" s="187"/>
    </row>
    <row r="24" spans="1:17" s="131" customFormat="1" ht="15">
      <c r="A24" s="239"/>
      <c r="B24" s="148"/>
      <c r="C24" s="286" t="s">
        <v>544</v>
      </c>
      <c r="D24" s="287" t="s">
        <v>545</v>
      </c>
      <c r="E24" s="293"/>
      <c r="F24" s="289" t="e">
        <f>E24/#REF!</f>
        <v>#REF!</v>
      </c>
      <c r="G24" s="293">
        <f>+G25</f>
        <v>16630904</v>
      </c>
      <c r="H24" s="290">
        <f t="shared" si="0"/>
        <v>1.0023253057960314E-3</v>
      </c>
      <c r="I24" s="293">
        <f>+I25</f>
        <v>11951961</v>
      </c>
      <c r="J24" s="290">
        <f t="shared" si="0"/>
        <v>4.8639268901557906E-4</v>
      </c>
      <c r="K24" s="291"/>
      <c r="L24" s="288">
        <f>+I24-G24</f>
        <v>-4678943</v>
      </c>
      <c r="M24" s="292">
        <f t="shared" si="1"/>
        <v>-0.28134026869495488</v>
      </c>
      <c r="O24" s="130"/>
      <c r="Q24" s="187"/>
    </row>
    <row r="25" spans="1:17" s="131" customFormat="1" ht="15">
      <c r="A25" s="239"/>
      <c r="B25" s="148"/>
      <c r="C25" s="294"/>
      <c r="D25" s="295" t="s">
        <v>546</v>
      </c>
      <c r="E25" s="296"/>
      <c r="F25" s="297" t="e">
        <f>E25/E$22</f>
        <v>#DIV/0!</v>
      </c>
      <c r="G25" s="296">
        <v>16630904</v>
      </c>
      <c r="H25" s="298">
        <f t="shared" si="0"/>
        <v>1.0023253057960314E-3</v>
      </c>
      <c r="I25" s="296">
        <v>11951961</v>
      </c>
      <c r="J25" s="298">
        <f t="shared" si="0"/>
        <v>4.8639268901557906E-4</v>
      </c>
      <c r="K25" s="299"/>
      <c r="L25" s="296">
        <f>+I25-G25</f>
        <v>-4678943</v>
      </c>
      <c r="M25" s="300">
        <f t="shared" si="1"/>
        <v>-0.28134026869495488</v>
      </c>
      <c r="O25" s="130"/>
      <c r="Q25" s="187"/>
    </row>
    <row r="26" spans="1:17" s="131" customFormat="1" ht="15">
      <c r="A26" s="239"/>
      <c r="B26" s="148"/>
      <c r="C26" s="294"/>
      <c r="D26" s="295"/>
      <c r="E26" s="296"/>
      <c r="F26" s="297" t="e">
        <f>E26/E$22</f>
        <v>#DIV/0!</v>
      </c>
      <c r="G26" s="296"/>
      <c r="H26" s="297"/>
      <c r="I26" s="296"/>
      <c r="J26" s="298"/>
      <c r="K26" s="299"/>
      <c r="L26" s="296"/>
      <c r="M26" s="300"/>
      <c r="O26" s="130"/>
      <c r="P26" s="301">
        <f>+I28+I24</f>
        <v>24366156077</v>
      </c>
      <c r="Q26" s="187"/>
    </row>
    <row r="27" spans="1:17" s="131" customFormat="1" ht="15">
      <c r="A27" s="239"/>
      <c r="B27" s="148"/>
      <c r="C27" s="294" t="s">
        <v>547</v>
      </c>
      <c r="D27" s="299" t="s">
        <v>548</v>
      </c>
      <c r="E27" s="296"/>
      <c r="F27" s="297" t="e">
        <f>E27/E$22</f>
        <v>#DIV/0!</v>
      </c>
      <c r="G27" s="293">
        <f>+G28</f>
        <v>16390507434</v>
      </c>
      <c r="H27" s="298">
        <f t="shared" si="0"/>
        <v>0.98783688342715315</v>
      </c>
      <c r="I27" s="293">
        <f>+I28</f>
        <v>24354204116</v>
      </c>
      <c r="J27" s="298">
        <f t="shared" si="0"/>
        <v>0.99110989642750036</v>
      </c>
      <c r="K27" s="291"/>
      <c r="L27" s="296">
        <f>+I27-G27</f>
        <v>7963696682</v>
      </c>
      <c r="M27" s="300">
        <f t="shared" si="1"/>
        <v>0.48587249138366123</v>
      </c>
      <c r="O27" s="130"/>
      <c r="Q27" s="187"/>
    </row>
    <row r="28" spans="1:17" s="131" customFormat="1" ht="15">
      <c r="A28" s="239"/>
      <c r="B28" s="148"/>
      <c r="C28" s="294" t="s">
        <v>549</v>
      </c>
      <c r="D28" s="299" t="s">
        <v>550</v>
      </c>
      <c r="E28" s="296"/>
      <c r="F28" s="297" t="e">
        <f>E28/E$22</f>
        <v>#DIV/0!</v>
      </c>
      <c r="G28" s="293">
        <f>+SUM(G29:G30)</f>
        <v>16390507434</v>
      </c>
      <c r="H28" s="290">
        <f t="shared" si="0"/>
        <v>0.98783688342715315</v>
      </c>
      <c r="I28" s="293">
        <f>+SUM(I29:I30)</f>
        <v>24354204116</v>
      </c>
      <c r="J28" s="298">
        <f t="shared" si="0"/>
        <v>0.99110989642750036</v>
      </c>
      <c r="K28" s="302"/>
      <c r="L28" s="296">
        <f>+I28-G28</f>
        <v>7963696682</v>
      </c>
      <c r="M28" s="300">
        <f t="shared" si="1"/>
        <v>0.48587249138366123</v>
      </c>
      <c r="O28" s="130"/>
      <c r="Q28" s="187"/>
    </row>
    <row r="29" spans="1:17" s="131" customFormat="1">
      <c r="A29" s="239"/>
      <c r="B29" s="148"/>
      <c r="C29" s="294"/>
      <c r="D29" s="295" t="s">
        <v>551</v>
      </c>
      <c r="E29" s="296"/>
      <c r="F29" s="297" t="e">
        <f>E29/E$22</f>
        <v>#DIV/0!</v>
      </c>
      <c r="G29" s="296">
        <v>10823672464</v>
      </c>
      <c r="H29" s="298">
        <f t="shared" si="0"/>
        <v>0.65233019277333837</v>
      </c>
      <c r="I29" s="296">
        <v>15245947376</v>
      </c>
      <c r="J29" s="298">
        <f t="shared" si="0"/>
        <v>0.62044356911829379</v>
      </c>
      <c r="K29" s="295"/>
      <c r="L29" s="296">
        <f>+I29-G29</f>
        <v>4422274912</v>
      </c>
      <c r="M29" s="300">
        <f t="shared" si="1"/>
        <v>0.40857434726602054</v>
      </c>
      <c r="O29" s="130"/>
      <c r="Q29" s="187"/>
    </row>
    <row r="30" spans="1:17" s="131" customFormat="1" ht="15">
      <c r="A30" s="239"/>
      <c r="B30" s="148"/>
      <c r="C30" s="303"/>
      <c r="D30" s="295" t="s">
        <v>552</v>
      </c>
      <c r="E30" s="293"/>
      <c r="F30" s="289" t="e">
        <f>E30/#REF!</f>
        <v>#REF!</v>
      </c>
      <c r="G30" s="296">
        <v>5566834970</v>
      </c>
      <c r="H30" s="298">
        <f t="shared" si="0"/>
        <v>0.33550669065381478</v>
      </c>
      <c r="I30" s="296">
        <v>9108256740</v>
      </c>
      <c r="J30" s="298">
        <f t="shared" si="0"/>
        <v>0.37066632730920657</v>
      </c>
      <c r="K30" s="302"/>
      <c r="L30" s="296">
        <f>+I30-G30</f>
        <v>3541421770</v>
      </c>
      <c r="M30" s="300">
        <f t="shared" si="1"/>
        <v>0.63616431762122094</v>
      </c>
      <c r="O30" s="130"/>
      <c r="Q30" s="187"/>
    </row>
    <row r="31" spans="1:17" s="131" customFormat="1" ht="15">
      <c r="A31" s="239"/>
      <c r="B31" s="148"/>
      <c r="C31" s="294"/>
      <c r="D31" s="295"/>
      <c r="E31" s="296"/>
      <c r="F31" s="297" t="e">
        <f>E31/E$22</f>
        <v>#DIV/0!</v>
      </c>
      <c r="G31" s="296"/>
      <c r="H31" s="297"/>
      <c r="I31" s="296"/>
      <c r="J31" s="298"/>
      <c r="K31" s="291"/>
      <c r="L31" s="296"/>
      <c r="M31" s="300"/>
      <c r="O31" s="304"/>
      <c r="Q31" s="187"/>
    </row>
    <row r="32" spans="1:17" s="131" customFormat="1" ht="15">
      <c r="A32" s="239"/>
      <c r="B32" s="148"/>
      <c r="C32" s="294" t="s">
        <v>553</v>
      </c>
      <c r="D32" s="299" t="s">
        <v>554</v>
      </c>
      <c r="E32" s="296"/>
      <c r="F32" s="297" t="e">
        <f>E32/E$22</f>
        <v>#DIV/0!</v>
      </c>
      <c r="G32" s="293">
        <f>+SUM(G33:G38)</f>
        <v>185183440</v>
      </c>
      <c r="H32" s="298">
        <f t="shared" si="0"/>
        <v>1.1160791267050848E-2</v>
      </c>
      <c r="I32" s="293">
        <f>+SUM(I33:I38)</f>
        <v>206501510</v>
      </c>
      <c r="J32" s="298">
        <f t="shared" si="0"/>
        <v>8.4037108834840984E-3</v>
      </c>
      <c r="K32" s="291"/>
      <c r="L32" s="296">
        <f>+I32-G32</f>
        <v>21318070</v>
      </c>
      <c r="M32" s="300">
        <f t="shared" si="1"/>
        <v>0.11511866287827896</v>
      </c>
      <c r="O32" s="305"/>
      <c r="Q32" s="187"/>
    </row>
    <row r="33" spans="1:17" s="131" customFormat="1" ht="15">
      <c r="A33" s="239"/>
      <c r="B33" s="148"/>
      <c r="C33" s="294"/>
      <c r="D33" s="295" t="s">
        <v>555</v>
      </c>
      <c r="E33" s="296"/>
      <c r="F33" s="297"/>
      <c r="G33" s="296">
        <v>28665568</v>
      </c>
      <c r="H33" s="298">
        <f t="shared" si="0"/>
        <v>1.7276405546816295E-3</v>
      </c>
      <c r="I33" s="296">
        <v>2386732</v>
      </c>
      <c r="J33" s="298"/>
      <c r="K33" s="291"/>
      <c r="L33" s="296"/>
      <c r="M33" s="300">
        <f t="shared" si="1"/>
        <v>0</v>
      </c>
      <c r="O33" s="305"/>
      <c r="Q33" s="187"/>
    </row>
    <row r="34" spans="1:17" s="131" customFormat="1" ht="15">
      <c r="A34" s="239"/>
      <c r="B34" s="148"/>
      <c r="C34" s="294"/>
      <c r="D34" s="295" t="s">
        <v>556</v>
      </c>
      <c r="E34" s="296"/>
      <c r="F34" s="297" t="e">
        <f>E34/E$22</f>
        <v>#DIV/0!</v>
      </c>
      <c r="G34" s="296">
        <v>36706781</v>
      </c>
      <c r="H34" s="298">
        <f t="shared" si="0"/>
        <v>2.2122751409432073E-3</v>
      </c>
      <c r="I34" s="296">
        <v>90957833</v>
      </c>
      <c r="J34" s="298">
        <f t="shared" si="0"/>
        <v>3.7015871269911252E-3</v>
      </c>
      <c r="K34" s="299"/>
      <c r="L34" s="296">
        <f>+I34-G34</f>
        <v>54251052</v>
      </c>
      <c r="M34" s="300">
        <f t="shared" si="1"/>
        <v>1.4779572199479982</v>
      </c>
      <c r="O34" s="130"/>
      <c r="Q34" s="187"/>
    </row>
    <row r="35" spans="1:17" s="131" customFormat="1" ht="15">
      <c r="A35" s="239"/>
      <c r="B35" s="148"/>
      <c r="C35" s="294"/>
      <c r="D35" s="295" t="s">
        <v>557</v>
      </c>
      <c r="E35" s="296"/>
      <c r="F35" s="297" t="e">
        <f>E35/E$22</f>
        <v>#DIV/0!</v>
      </c>
      <c r="G35" s="296">
        <v>71956484</v>
      </c>
      <c r="H35" s="298">
        <f t="shared" si="0"/>
        <v>4.3367338798484577E-3</v>
      </c>
      <c r="I35" s="296">
        <v>86360512</v>
      </c>
      <c r="J35" s="298">
        <f t="shared" si="0"/>
        <v>3.5144962116628545E-3</v>
      </c>
      <c r="K35" s="291"/>
      <c r="L35" s="296">
        <f>+I35-G35</f>
        <v>14404028</v>
      </c>
      <c r="M35" s="300">
        <f t="shared" si="1"/>
        <v>0.20017692915623839</v>
      </c>
      <c r="O35" s="130"/>
      <c r="Q35" s="187"/>
    </row>
    <row r="36" spans="1:17" s="131" customFormat="1">
      <c r="A36" s="239"/>
      <c r="B36" s="148"/>
      <c r="C36" s="294"/>
      <c r="D36" s="295" t="s">
        <v>558</v>
      </c>
      <c r="E36" s="296"/>
      <c r="F36" s="297" t="e">
        <f>E36/E$22</f>
        <v>#DIV/0!</v>
      </c>
      <c r="G36" s="296">
        <v>42532402</v>
      </c>
      <c r="H36" s="298">
        <f>G36/G$22</f>
        <v>2.5633785656444009E-3</v>
      </c>
      <c r="I36" s="296">
        <v>24303444</v>
      </c>
      <c r="J36" s="298">
        <f>I36/I$22</f>
        <v>9.8904418107618824E-4</v>
      </c>
      <c r="K36" s="295"/>
      <c r="L36" s="296">
        <f>+I36-G36</f>
        <v>-18228958</v>
      </c>
      <c r="M36" s="300">
        <f>L36/G36</f>
        <v>-0.42858990188233431</v>
      </c>
      <c r="O36" s="130"/>
      <c r="Q36" s="187"/>
    </row>
    <row r="37" spans="1:17" s="131" customFormat="1" ht="15">
      <c r="A37" s="239"/>
      <c r="B37" s="148"/>
      <c r="C37" s="303"/>
      <c r="D37" s="295" t="s">
        <v>559</v>
      </c>
      <c r="E37" s="288"/>
      <c r="F37" s="289" t="e">
        <f>E37/E$22</f>
        <v>#DIV/0!</v>
      </c>
      <c r="G37" s="288">
        <v>0</v>
      </c>
      <c r="H37" s="298">
        <f>G37/G$22</f>
        <v>0</v>
      </c>
      <c r="I37" s="306">
        <v>2492989</v>
      </c>
      <c r="J37" s="298">
        <f>I37/I$22</f>
        <v>1.0145378012832032E-4</v>
      </c>
      <c r="K37" s="302"/>
      <c r="L37" s="296">
        <f>+I37-G37</f>
        <v>2492989</v>
      </c>
      <c r="M37" s="300">
        <v>1</v>
      </c>
      <c r="O37" s="130"/>
      <c r="Q37" s="187"/>
    </row>
    <row r="38" spans="1:17" s="131" customFormat="1" ht="15">
      <c r="A38" s="239"/>
      <c r="B38" s="148"/>
      <c r="C38" s="303"/>
      <c r="D38" s="295" t="s">
        <v>560</v>
      </c>
      <c r="E38" s="293"/>
      <c r="F38" s="289"/>
      <c r="G38" s="296">
        <v>5322205</v>
      </c>
      <c r="H38" s="289"/>
      <c r="I38" s="296">
        <v>0</v>
      </c>
      <c r="J38" s="298">
        <f>I38/I$22</f>
        <v>0</v>
      </c>
      <c r="K38" s="302"/>
      <c r="L38" s="296">
        <f>+I38-G38</f>
        <v>-5322205</v>
      </c>
      <c r="M38" s="300">
        <f>L38/G38</f>
        <v>-1</v>
      </c>
      <c r="O38" s="130"/>
      <c r="Q38" s="187"/>
    </row>
    <row r="39" spans="1:17" s="131" customFormat="1" ht="15.75" thickBot="1">
      <c r="A39" s="239"/>
      <c r="B39" s="148"/>
      <c r="C39" s="307"/>
      <c r="D39" s="308"/>
      <c r="E39" s="309"/>
      <c r="F39" s="310"/>
      <c r="G39" s="309"/>
      <c r="H39" s="310"/>
      <c r="I39" s="311"/>
      <c r="J39" s="298"/>
      <c r="K39" s="312"/>
      <c r="L39" s="296"/>
      <c r="M39" s="300"/>
      <c r="O39" s="130"/>
      <c r="Q39" s="187"/>
    </row>
    <row r="40" spans="1:17" ht="15" thickBot="1">
      <c r="C40" s="313"/>
      <c r="D40" s="314"/>
      <c r="E40" s="315"/>
      <c r="F40" s="315"/>
      <c r="G40" s="315"/>
      <c r="H40" s="315"/>
      <c r="I40" s="316"/>
      <c r="J40" s="316"/>
      <c r="K40" s="315"/>
      <c r="L40" s="315"/>
      <c r="M40" s="315"/>
      <c r="N40" s="131"/>
      <c r="O40" s="239"/>
    </row>
    <row r="41" spans="1:17" s="131" customFormat="1" ht="12.75" customHeight="1">
      <c r="A41" s="239"/>
      <c r="B41" s="148"/>
      <c r="C41" s="317"/>
      <c r="D41" s="318"/>
      <c r="E41" s="227"/>
      <c r="F41" s="228"/>
      <c r="G41" s="227"/>
      <c r="H41" s="319"/>
      <c r="I41" s="320"/>
      <c r="J41" s="321"/>
      <c r="K41" s="229"/>
      <c r="L41" s="227"/>
      <c r="M41" s="322"/>
      <c r="O41" s="130"/>
      <c r="P41" s="323"/>
      <c r="Q41" s="187"/>
    </row>
    <row r="42" spans="1:17" s="131" customFormat="1" ht="12.75" customHeight="1">
      <c r="A42" s="239"/>
      <c r="B42" s="148"/>
      <c r="C42" s="324" t="s">
        <v>561</v>
      </c>
      <c r="D42" s="325" t="s">
        <v>140</v>
      </c>
      <c r="E42" s="199"/>
      <c r="F42" s="192" t="e">
        <f>E42/#REF!</f>
        <v>#REF!</v>
      </c>
      <c r="G42" s="293">
        <f>+G43</f>
        <v>14627696707</v>
      </c>
      <c r="H42" s="326">
        <f t="shared" ref="H42:H83" si="2">G42/G$22</f>
        <v>0.88159432433350438</v>
      </c>
      <c r="I42" s="190">
        <f>+I43</f>
        <v>20231887095</v>
      </c>
      <c r="J42" s="327">
        <f t="shared" ref="J42:J105" si="3">I42/I$22</f>
        <v>0.82334957150518162</v>
      </c>
      <c r="K42" s="216"/>
      <c r="L42" s="199">
        <f>+I42-G42</f>
        <v>5604190388</v>
      </c>
      <c r="M42" s="328">
        <f t="shared" si="1"/>
        <v>0.38312186123726144</v>
      </c>
      <c r="O42" s="329"/>
      <c r="Q42" s="187"/>
    </row>
    <row r="43" spans="1:17" s="131" customFormat="1" ht="12.75" customHeight="1">
      <c r="A43" s="239"/>
      <c r="B43" s="148"/>
      <c r="C43" s="324"/>
      <c r="D43" s="325" t="s">
        <v>562</v>
      </c>
      <c r="E43" s="199"/>
      <c r="F43" s="192"/>
      <c r="G43" s="293">
        <f>+G44+G48+G61+G85+G91+G110</f>
        <v>14627696707</v>
      </c>
      <c r="H43" s="326">
        <f t="shared" si="2"/>
        <v>0.88159432433350438</v>
      </c>
      <c r="I43" s="190">
        <f>+I44+I48+I61+I85+I91+I110</f>
        <v>20231887095</v>
      </c>
      <c r="J43" s="327"/>
      <c r="K43" s="216"/>
      <c r="L43" s="199">
        <f>+I43-G43</f>
        <v>5604190388</v>
      </c>
      <c r="M43" s="328">
        <f t="shared" si="1"/>
        <v>0.38312186123726144</v>
      </c>
      <c r="O43" s="329"/>
      <c r="Q43" s="187"/>
    </row>
    <row r="44" spans="1:17" s="131" customFormat="1" ht="12.75" customHeight="1">
      <c r="A44" s="239"/>
      <c r="B44" s="148"/>
      <c r="C44" s="324" t="s">
        <v>563</v>
      </c>
      <c r="D44" s="325" t="s">
        <v>564</v>
      </c>
      <c r="E44" s="199"/>
      <c r="F44" s="192" t="e">
        <f>E44/#REF!</f>
        <v>#REF!</v>
      </c>
      <c r="G44" s="190">
        <f>+SUM(G45:G46)</f>
        <v>6482242524</v>
      </c>
      <c r="H44" s="326">
        <f t="shared" si="2"/>
        <v>0.3906772428072664</v>
      </c>
      <c r="I44" s="190">
        <f>+SUM(I45:I46)</f>
        <v>8149471539</v>
      </c>
      <c r="J44" s="327">
        <f t="shared" si="3"/>
        <v>0.33164795098562816</v>
      </c>
      <c r="K44" s="325"/>
      <c r="L44" s="199">
        <f>+I44-G44</f>
        <v>1667229015</v>
      </c>
      <c r="M44" s="328">
        <f t="shared" si="1"/>
        <v>0.25719941961862952</v>
      </c>
      <c r="O44" s="329"/>
      <c r="Q44" s="187"/>
    </row>
    <row r="45" spans="1:17" s="131" customFormat="1" ht="12.75" customHeight="1">
      <c r="A45" s="239"/>
      <c r="B45" s="148"/>
      <c r="C45" s="324"/>
      <c r="D45" s="249" t="s">
        <v>565</v>
      </c>
      <c r="E45" s="199"/>
      <c r="F45" s="192"/>
      <c r="G45" s="199">
        <v>2992250</v>
      </c>
      <c r="H45" s="326">
        <f t="shared" si="2"/>
        <v>1.8033943893057015E-4</v>
      </c>
      <c r="I45" s="190"/>
      <c r="J45" s="327"/>
      <c r="K45" s="325"/>
      <c r="L45" s="232"/>
      <c r="M45" s="328">
        <f t="shared" si="1"/>
        <v>0</v>
      </c>
      <c r="O45" s="329"/>
      <c r="Q45" s="187"/>
    </row>
    <row r="46" spans="1:17" s="131" customFormat="1" ht="12.75" customHeight="1">
      <c r="A46" s="239"/>
      <c r="B46" s="148"/>
      <c r="C46" s="330"/>
      <c r="D46" s="249" t="s">
        <v>566</v>
      </c>
      <c r="E46" s="199"/>
      <c r="F46" s="192" t="e">
        <f>E46/#REF!</f>
        <v>#REF!</v>
      </c>
      <c r="G46" s="199">
        <v>6479250274</v>
      </c>
      <c r="H46" s="326">
        <f t="shared" si="2"/>
        <v>0.39049690336833581</v>
      </c>
      <c r="I46" s="199">
        <v>8149471539</v>
      </c>
      <c r="J46" s="327">
        <f t="shared" si="3"/>
        <v>0.33164795098562816</v>
      </c>
      <c r="K46" s="325"/>
      <c r="L46" s="199">
        <f>+I46-G46</f>
        <v>1670221265</v>
      </c>
      <c r="M46" s="328">
        <f t="shared" si="1"/>
        <v>0.25778001996655087</v>
      </c>
      <c r="O46" s="130"/>
      <c r="Q46" s="187"/>
    </row>
    <row r="47" spans="1:17" s="131" customFormat="1" ht="12.75" customHeight="1">
      <c r="A47" s="239"/>
      <c r="B47" s="148"/>
      <c r="C47" s="330"/>
      <c r="D47" s="249"/>
      <c r="E47" s="199"/>
      <c r="F47" s="192"/>
      <c r="G47" s="199"/>
      <c r="H47" s="331"/>
      <c r="I47" s="199"/>
      <c r="J47" s="327"/>
      <c r="K47" s="325"/>
      <c r="L47" s="232"/>
      <c r="M47" s="328"/>
      <c r="O47" s="329"/>
      <c r="Q47" s="187"/>
    </row>
    <row r="48" spans="1:17" s="131" customFormat="1" ht="12.75" customHeight="1">
      <c r="A48" s="239"/>
      <c r="B48" s="148"/>
      <c r="C48" s="324" t="s">
        <v>567</v>
      </c>
      <c r="D48" s="325" t="s">
        <v>568</v>
      </c>
      <c r="E48" s="199"/>
      <c r="F48" s="192" t="e">
        <f>E48/#REF!</f>
        <v>#REF!</v>
      </c>
      <c r="G48" s="190">
        <f>+SUM(G49:G59)</f>
        <v>3435210390</v>
      </c>
      <c r="H48" s="326">
        <f t="shared" si="2"/>
        <v>0.20703614816310972</v>
      </c>
      <c r="I48" s="190">
        <f>+SUM(I49:I59)</f>
        <v>4632070488</v>
      </c>
      <c r="J48" s="327">
        <f t="shared" si="3"/>
        <v>0.18850506794391528</v>
      </c>
      <c r="K48" s="325"/>
      <c r="L48" s="199">
        <f>+I48-G48</f>
        <v>1196860098</v>
      </c>
      <c r="M48" s="328">
        <f t="shared" si="1"/>
        <v>0.34840954763181187</v>
      </c>
      <c r="O48" s="130"/>
      <c r="P48" s="332"/>
      <c r="Q48" s="187"/>
    </row>
    <row r="49" spans="1:17" s="131" customFormat="1" ht="12.75" customHeight="1">
      <c r="A49" s="239"/>
      <c r="B49" s="148"/>
      <c r="C49" s="330"/>
      <c r="D49" s="249" t="s">
        <v>569</v>
      </c>
      <c r="E49" s="199"/>
      <c r="F49" s="192" t="e">
        <f>E49/#REF!</f>
        <v>#REF!</v>
      </c>
      <c r="G49" s="199">
        <v>746501237</v>
      </c>
      <c r="H49" s="326">
        <f t="shared" si="2"/>
        <v>4.4990764221424201E-2</v>
      </c>
      <c r="I49" s="199">
        <v>1145548718</v>
      </c>
      <c r="J49" s="327">
        <f t="shared" si="3"/>
        <v>4.6618836971302806E-2</v>
      </c>
      <c r="K49" s="230"/>
      <c r="L49" s="199">
        <f>+I49-G49</f>
        <v>399047481</v>
      </c>
      <c r="M49" s="328">
        <f t="shared" si="1"/>
        <v>0.53455702579096998</v>
      </c>
      <c r="O49" s="130"/>
      <c r="Q49" s="187"/>
    </row>
    <row r="50" spans="1:17" s="131" customFormat="1" ht="12.75" customHeight="1">
      <c r="A50" s="239"/>
      <c r="B50" s="148"/>
      <c r="C50" s="330"/>
      <c r="D50" s="333" t="s">
        <v>570</v>
      </c>
      <c r="E50" s="199"/>
      <c r="F50" s="192" t="e">
        <f>E50/#REF!</f>
        <v>#REF!</v>
      </c>
      <c r="G50" s="199">
        <v>195137774</v>
      </c>
      <c r="H50" s="326">
        <f t="shared" si="2"/>
        <v>1.1760727438322465E-2</v>
      </c>
      <c r="I50" s="199">
        <v>405430294</v>
      </c>
      <c r="J50" s="327">
        <f t="shared" si="3"/>
        <v>1.649924484417551E-2</v>
      </c>
      <c r="K50" s="216"/>
      <c r="L50" s="199">
        <f>+I50-G50</f>
        <v>210292520</v>
      </c>
      <c r="M50" s="328">
        <f t="shared" si="1"/>
        <v>1.077661775520715</v>
      </c>
      <c r="O50" s="334"/>
      <c r="P50" s="332"/>
      <c r="Q50" s="187"/>
    </row>
    <row r="51" spans="1:17" s="131" customFormat="1" ht="12.75" customHeight="1">
      <c r="A51" s="239"/>
      <c r="B51" s="148"/>
      <c r="C51" s="330"/>
      <c r="D51" s="249" t="s">
        <v>571</v>
      </c>
      <c r="E51" s="199"/>
      <c r="F51" s="192" t="e">
        <f>E51/#REF!</f>
        <v>#REF!</v>
      </c>
      <c r="G51" s="199">
        <v>27092468</v>
      </c>
      <c r="H51" s="326">
        <f t="shared" si="2"/>
        <v>1.6328316411945612E-3</v>
      </c>
      <c r="I51" s="199">
        <v>59617436</v>
      </c>
      <c r="J51" s="327">
        <f t="shared" si="3"/>
        <v>2.4261696476631897E-3</v>
      </c>
      <c r="K51" s="325"/>
      <c r="L51" s="199">
        <f t="shared" ref="L51:L59" si="4">+I51-G51</f>
        <v>32524968</v>
      </c>
      <c r="M51" s="328">
        <f t="shared" si="1"/>
        <v>1.2005169850159092</v>
      </c>
      <c r="O51" s="130"/>
      <c r="Q51" s="187"/>
    </row>
    <row r="52" spans="1:17" s="131" customFormat="1" ht="12.75" customHeight="1">
      <c r="A52" s="239"/>
      <c r="B52" s="148"/>
      <c r="C52" s="330"/>
      <c r="D52" s="249" t="s">
        <v>572</v>
      </c>
      <c r="E52" s="199"/>
      <c r="F52" s="192" t="e">
        <f>E52/#REF!</f>
        <v>#REF!</v>
      </c>
      <c r="G52" s="199">
        <v>20558505</v>
      </c>
      <c r="H52" s="326">
        <f t="shared" si="2"/>
        <v>1.2390372652523421E-3</v>
      </c>
      <c r="I52" s="199">
        <v>54778465</v>
      </c>
      <c r="J52" s="327">
        <f t="shared" si="3"/>
        <v>2.2292446311944778E-3</v>
      </c>
      <c r="K52" s="230"/>
      <c r="L52" s="199">
        <f t="shared" si="4"/>
        <v>34219960</v>
      </c>
      <c r="M52" s="328">
        <f t="shared" si="1"/>
        <v>1.6645159752618199</v>
      </c>
      <c r="O52" s="335"/>
      <c r="Q52" s="187"/>
    </row>
    <row r="53" spans="1:17" s="131" customFormat="1" ht="12.75" customHeight="1">
      <c r="A53" s="239"/>
      <c r="B53" s="148" t="s">
        <v>228</v>
      </c>
      <c r="C53" s="330"/>
      <c r="D53" s="249" t="s">
        <v>573</v>
      </c>
      <c r="E53" s="199"/>
      <c r="F53" s="192" t="e">
        <f>E53/#REF!</f>
        <v>#REF!</v>
      </c>
      <c r="G53" s="199">
        <v>1943369503</v>
      </c>
      <c r="H53" s="326">
        <f t="shared" si="2"/>
        <v>0.11712462722225782</v>
      </c>
      <c r="I53" s="199">
        <v>2209556575</v>
      </c>
      <c r="J53" s="327">
        <f t="shared" si="3"/>
        <v>8.9919316507667907E-2</v>
      </c>
      <c r="K53" s="230"/>
      <c r="L53" s="199">
        <f t="shared" si="4"/>
        <v>266187072</v>
      </c>
      <c r="M53" s="328">
        <f t="shared" si="1"/>
        <v>0.13697193024233642</v>
      </c>
      <c r="O53" s="329"/>
      <c r="Q53" s="187"/>
    </row>
    <row r="54" spans="1:17" s="131" customFormat="1" ht="12.75" customHeight="1">
      <c r="A54" s="239"/>
      <c r="B54" s="148"/>
      <c r="C54" s="330"/>
      <c r="D54" s="249" t="s">
        <v>574</v>
      </c>
      <c r="E54" s="199"/>
      <c r="F54" s="192"/>
      <c r="G54" s="199">
        <v>11517900</v>
      </c>
      <c r="H54" s="326">
        <f t="shared" si="2"/>
        <v>6.9417048163034967E-4</v>
      </c>
      <c r="I54" s="199">
        <v>29716047</v>
      </c>
      <c r="J54" s="327">
        <f>I54/I$22</f>
        <v>1.2093135182789946E-3</v>
      </c>
      <c r="K54" s="230"/>
      <c r="L54" s="199">
        <f t="shared" si="4"/>
        <v>18198147</v>
      </c>
      <c r="M54" s="328">
        <f t="shared" si="1"/>
        <v>1.5799882791133801</v>
      </c>
      <c r="O54" s="130"/>
      <c r="Q54" s="187"/>
    </row>
    <row r="55" spans="1:17" s="131" customFormat="1" ht="12.75" customHeight="1">
      <c r="A55" s="239"/>
      <c r="B55" s="148"/>
      <c r="C55" s="330"/>
      <c r="D55" s="249" t="s">
        <v>575</v>
      </c>
      <c r="E55" s="199"/>
      <c r="F55" s="192" t="e">
        <f>E55/#REF!</f>
        <v>#REF!</v>
      </c>
      <c r="G55" s="199">
        <v>6073229</v>
      </c>
      <c r="H55" s="326">
        <f t="shared" si="2"/>
        <v>3.6602647183787035E-4</v>
      </c>
      <c r="I55" s="199">
        <v>5637715</v>
      </c>
      <c r="J55" s="327">
        <f t="shared" si="3"/>
        <v>2.2943041386710224E-4</v>
      </c>
      <c r="K55" s="230"/>
      <c r="L55" s="199">
        <f t="shared" si="4"/>
        <v>-435514</v>
      </c>
      <c r="M55" s="328">
        <f t="shared" si="1"/>
        <v>-7.1710452545095865E-2</v>
      </c>
      <c r="O55" s="335"/>
      <c r="P55" s="323"/>
      <c r="Q55" s="187"/>
    </row>
    <row r="56" spans="1:17" s="131" customFormat="1" ht="12.75" customHeight="1">
      <c r="A56" s="239"/>
      <c r="B56" s="148"/>
      <c r="C56" s="330"/>
      <c r="D56" s="249" t="s">
        <v>576</v>
      </c>
      <c r="E56" s="199"/>
      <c r="F56" s="192" t="e">
        <f>E56/#REF!</f>
        <v>#REF!</v>
      </c>
      <c r="G56" s="199">
        <v>53315618</v>
      </c>
      <c r="H56" s="326">
        <f t="shared" si="2"/>
        <v>3.2132704942289601E-3</v>
      </c>
      <c r="I56" s="199">
        <v>74728412</v>
      </c>
      <c r="J56" s="327">
        <f t="shared" si="3"/>
        <v>3.0411204704018082E-3</v>
      </c>
      <c r="K56" s="216"/>
      <c r="L56" s="199">
        <f t="shared" si="4"/>
        <v>21412794</v>
      </c>
      <c r="M56" s="328">
        <f t="shared" si="1"/>
        <v>0.40162329169662819</v>
      </c>
      <c r="O56" s="130"/>
      <c r="Q56" s="187"/>
    </row>
    <row r="57" spans="1:17" s="131" customFormat="1" ht="12.75" customHeight="1">
      <c r="A57" s="239"/>
      <c r="B57" s="148"/>
      <c r="C57" s="330"/>
      <c r="D57" s="249" t="s">
        <v>577</v>
      </c>
      <c r="E57" s="199"/>
      <c r="F57" s="192" t="e">
        <f>E57/#REF!</f>
        <v>#REF!</v>
      </c>
      <c r="G57" s="199">
        <v>330697377</v>
      </c>
      <c r="H57" s="326">
        <f t="shared" si="2"/>
        <v>1.9930747572559523E-2</v>
      </c>
      <c r="I57" s="199">
        <v>463055591</v>
      </c>
      <c r="J57" s="327">
        <f t="shared" si="3"/>
        <v>1.8844343122453977E-2</v>
      </c>
      <c r="K57" s="216"/>
      <c r="L57" s="199">
        <f t="shared" si="4"/>
        <v>132358214</v>
      </c>
      <c r="M57" s="328">
        <f t="shared" si="1"/>
        <v>0.40023968499756196</v>
      </c>
      <c r="O57" s="335"/>
      <c r="Q57" s="187"/>
    </row>
    <row r="58" spans="1:17" s="131" customFormat="1" ht="12.75" customHeight="1">
      <c r="A58" s="239"/>
      <c r="B58" s="148"/>
      <c r="C58" s="330"/>
      <c r="D58" s="249" t="s">
        <v>578</v>
      </c>
      <c r="E58" s="199"/>
      <c r="F58" s="192" t="e">
        <f>E58/#REF!</f>
        <v>#REF!</v>
      </c>
      <c r="G58" s="199">
        <v>100946779</v>
      </c>
      <c r="H58" s="326">
        <f t="shared" si="2"/>
        <v>6.0839453544016247E-3</v>
      </c>
      <c r="I58" s="199">
        <v>140148445</v>
      </c>
      <c r="J58" s="327">
        <f t="shared" si="3"/>
        <v>5.7034305102653853E-3</v>
      </c>
      <c r="K58" s="216"/>
      <c r="L58" s="199">
        <f t="shared" si="4"/>
        <v>39201666</v>
      </c>
      <c r="M58" s="328">
        <f t="shared" si="1"/>
        <v>0.38833993900885139</v>
      </c>
      <c r="O58" s="130"/>
      <c r="Q58" s="187"/>
    </row>
    <row r="59" spans="1:17" s="131" customFormat="1">
      <c r="A59" s="239"/>
      <c r="B59" s="148"/>
      <c r="C59" s="330"/>
      <c r="D59" s="249" t="s">
        <v>579</v>
      </c>
      <c r="E59" s="199"/>
      <c r="F59" s="192" t="e">
        <f>E59/#REF!</f>
        <v>#REF!</v>
      </c>
      <c r="G59" s="199">
        <v>0</v>
      </c>
      <c r="H59" s="326">
        <f t="shared" si="2"/>
        <v>0</v>
      </c>
      <c r="I59" s="199">
        <v>43852790</v>
      </c>
      <c r="J59" s="327">
        <f t="shared" si="3"/>
        <v>1.7846173066441142E-3</v>
      </c>
      <c r="K59" s="216"/>
      <c r="L59" s="199">
        <f t="shared" si="4"/>
        <v>43852790</v>
      </c>
      <c r="M59" s="328">
        <v>1</v>
      </c>
      <c r="O59" s="130"/>
      <c r="Q59" s="187"/>
    </row>
    <row r="60" spans="1:17" s="131" customFormat="1" ht="12.75" customHeight="1">
      <c r="A60" s="239"/>
      <c r="B60" s="148"/>
      <c r="C60" s="330"/>
      <c r="D60" s="249"/>
      <c r="E60" s="199"/>
      <c r="F60" s="192" t="e">
        <f>E60/#REF!</f>
        <v>#REF!</v>
      </c>
      <c r="G60" s="199"/>
      <c r="H60" s="331"/>
      <c r="I60" s="199"/>
      <c r="J60" s="327"/>
      <c r="K60" s="216"/>
      <c r="L60" s="232"/>
      <c r="M60" s="328"/>
      <c r="O60" s="130"/>
      <c r="Q60" s="187"/>
    </row>
    <row r="61" spans="1:17" s="131" customFormat="1" ht="12.75" customHeight="1">
      <c r="A61" s="239"/>
      <c r="B61" s="148"/>
      <c r="C61" s="336"/>
      <c r="D61" s="325" t="s">
        <v>580</v>
      </c>
      <c r="E61" s="231"/>
      <c r="F61" s="191" t="e">
        <f>E61/#REF!</f>
        <v>#REF!</v>
      </c>
      <c r="G61" s="231">
        <f>+SUM(G62:G83)</f>
        <v>2001662621</v>
      </c>
      <c r="H61" s="326">
        <f t="shared" si="2"/>
        <v>0.12063788587164657</v>
      </c>
      <c r="I61" s="231">
        <f>+SUM(I62:I83)</f>
        <v>3230405156</v>
      </c>
      <c r="J61" s="337">
        <f t="shared" si="3"/>
        <v>0.13146340173270571</v>
      </c>
      <c r="K61" s="230"/>
      <c r="L61" s="199">
        <f t="shared" ref="L61:L83" si="5">+I61-G61</f>
        <v>1228742535</v>
      </c>
      <c r="M61" s="338">
        <f t="shared" si="1"/>
        <v>0.613860958439709</v>
      </c>
      <c r="O61" s="329"/>
      <c r="Q61" s="187"/>
    </row>
    <row r="62" spans="1:17" s="131" customFormat="1" ht="12.75" customHeight="1">
      <c r="A62" s="239"/>
      <c r="B62" s="148"/>
      <c r="C62" s="330"/>
      <c r="D62" s="249" t="s">
        <v>581</v>
      </c>
      <c r="E62" s="199"/>
      <c r="F62" s="192" t="e">
        <f>E62/#REF!</f>
        <v>#REF!</v>
      </c>
      <c r="G62" s="199">
        <v>120000000</v>
      </c>
      <c r="H62" s="326">
        <f t="shared" si="2"/>
        <v>7.2322608978756513E-3</v>
      </c>
      <c r="I62" s="199">
        <v>430000000</v>
      </c>
      <c r="J62" s="327">
        <f t="shared" si="3"/>
        <v>1.7499124727456773E-2</v>
      </c>
      <c r="K62" s="216"/>
      <c r="L62" s="199">
        <f t="shared" si="5"/>
        <v>310000000</v>
      </c>
      <c r="M62" s="328">
        <f t="shared" si="1"/>
        <v>2.5833333333333335</v>
      </c>
      <c r="O62" s="329"/>
      <c r="Q62" s="187"/>
    </row>
    <row r="63" spans="1:17" s="131" customFormat="1" ht="12.75" customHeight="1">
      <c r="A63" s="239"/>
      <c r="B63" s="148"/>
      <c r="C63" s="330"/>
      <c r="D63" s="249" t="s">
        <v>582</v>
      </c>
      <c r="E63" s="199"/>
      <c r="F63" s="192" t="e">
        <f>E63/#REF!</f>
        <v>#REF!</v>
      </c>
      <c r="G63" s="199">
        <v>960223495</v>
      </c>
      <c r="H63" s="326">
        <f t="shared" si="2"/>
        <v>5.7871556967583296E-2</v>
      </c>
      <c r="I63" s="199">
        <v>1053254123</v>
      </c>
      <c r="J63" s="327">
        <f t="shared" si="3"/>
        <v>4.2862849460663016E-2</v>
      </c>
      <c r="K63" s="216"/>
      <c r="L63" s="199">
        <f t="shared" si="5"/>
        <v>93030628</v>
      </c>
      <c r="M63" s="328">
        <f t="shared" si="1"/>
        <v>9.688434878382142E-2</v>
      </c>
      <c r="O63" s="329"/>
      <c r="Q63" s="187"/>
    </row>
    <row r="64" spans="1:17" s="131" customFormat="1" ht="12.75" customHeight="1">
      <c r="A64" s="239"/>
      <c r="B64" s="148"/>
      <c r="C64" s="330"/>
      <c r="D64" s="249" t="s">
        <v>583</v>
      </c>
      <c r="E64" s="199"/>
      <c r="F64" s="192" t="e">
        <f>E64/#REF!</f>
        <v>#REF!</v>
      </c>
      <c r="G64" s="199">
        <v>72285714</v>
      </c>
      <c r="H64" s="326">
        <f t="shared" si="2"/>
        <v>4.3565761903101878E-3</v>
      </c>
      <c r="I64" s="199">
        <v>104000000</v>
      </c>
      <c r="J64" s="327">
        <f t="shared" si="3"/>
        <v>4.2323464457104751E-3</v>
      </c>
      <c r="K64" s="230"/>
      <c r="L64" s="199">
        <f t="shared" si="5"/>
        <v>31714286</v>
      </c>
      <c r="M64" s="328">
        <f t="shared" si="1"/>
        <v>0.438735183552313</v>
      </c>
      <c r="O64" s="329"/>
      <c r="Q64" s="187"/>
    </row>
    <row r="65" spans="1:17" s="131" customFormat="1" ht="12.75" customHeight="1">
      <c r="A65" s="239"/>
      <c r="B65" s="148"/>
      <c r="C65" s="330"/>
      <c r="D65" s="249" t="s">
        <v>584</v>
      </c>
      <c r="E65" s="199"/>
      <c r="F65" s="192" t="e">
        <f>E65/#REF!</f>
        <v>#REF!</v>
      </c>
      <c r="G65" s="199">
        <v>2647942</v>
      </c>
      <c r="H65" s="326">
        <f t="shared" si="2"/>
        <v>1.5958839488702207E-4</v>
      </c>
      <c r="I65" s="199">
        <v>2188059</v>
      </c>
      <c r="J65" s="327">
        <f t="shared" si="3"/>
        <v>8.9044458958219394E-5</v>
      </c>
      <c r="K65" s="216"/>
      <c r="L65" s="199">
        <f t="shared" si="5"/>
        <v>-459883</v>
      </c>
      <c r="M65" s="328">
        <f t="shared" si="1"/>
        <v>-0.17367563186806961</v>
      </c>
      <c r="O65" s="130"/>
      <c r="P65" s="323"/>
      <c r="Q65" s="187"/>
    </row>
    <row r="66" spans="1:17" s="131" customFormat="1">
      <c r="A66" s="239"/>
      <c r="B66" s="148"/>
      <c r="C66" s="339"/>
      <c r="D66" s="333" t="s">
        <v>585</v>
      </c>
      <c r="E66" s="199"/>
      <c r="F66" s="192" t="e">
        <f>E66/#REF!</f>
        <v>#REF!</v>
      </c>
      <c r="G66" s="199">
        <v>19996244</v>
      </c>
      <c r="H66" s="326">
        <f t="shared" si="2"/>
        <v>1.205150446546505E-3</v>
      </c>
      <c r="I66" s="199">
        <v>31174534</v>
      </c>
      <c r="J66" s="327">
        <f t="shared" si="3"/>
        <v>1.2686675785728882E-3</v>
      </c>
      <c r="K66" s="216"/>
      <c r="L66" s="199">
        <f t="shared" si="5"/>
        <v>11178290</v>
      </c>
      <c r="M66" s="328">
        <f t="shared" si="1"/>
        <v>0.55901948385906874</v>
      </c>
      <c r="O66" s="329"/>
      <c r="Q66" s="187"/>
    </row>
    <row r="67" spans="1:17" s="131" customFormat="1" ht="12.75" customHeight="1">
      <c r="A67" s="239"/>
      <c r="B67" s="148"/>
      <c r="C67" s="336"/>
      <c r="D67" s="249" t="s">
        <v>586</v>
      </c>
      <c r="E67" s="231"/>
      <c r="F67" s="192" t="e">
        <f>E67/#REF!</f>
        <v>#REF!</v>
      </c>
      <c r="G67" s="232">
        <v>74384729</v>
      </c>
      <c r="H67" s="326">
        <f t="shared" si="2"/>
        <v>4.4830813912148078E-3</v>
      </c>
      <c r="I67" s="232">
        <v>68101378</v>
      </c>
      <c r="J67" s="327">
        <f t="shared" si="3"/>
        <v>2.7714290877527458E-3</v>
      </c>
      <c r="K67" s="230"/>
      <c r="L67" s="199">
        <f t="shared" si="5"/>
        <v>-6283351</v>
      </c>
      <c r="M67" s="328">
        <f t="shared" si="1"/>
        <v>-8.447098059603067E-2</v>
      </c>
      <c r="O67" s="329"/>
      <c r="Q67" s="187"/>
    </row>
    <row r="68" spans="1:17" s="131" customFormat="1" ht="12.75" customHeight="1">
      <c r="A68" s="239"/>
      <c r="B68" s="148"/>
      <c r="C68" s="330"/>
      <c r="D68" s="249" t="s">
        <v>587</v>
      </c>
      <c r="E68" s="199"/>
      <c r="F68" s="192" t="e">
        <f>E68/#REF!</f>
        <v>#REF!</v>
      </c>
      <c r="G68" s="199">
        <v>258125958</v>
      </c>
      <c r="H68" s="326">
        <f t="shared" si="2"/>
        <v>1.5556952273084105E-2</v>
      </c>
      <c r="I68" s="199">
        <v>277948193</v>
      </c>
      <c r="J68" s="327">
        <f t="shared" si="3"/>
        <v>1.1311279295530762E-2</v>
      </c>
      <c r="K68" s="216"/>
      <c r="L68" s="199">
        <f t="shared" si="5"/>
        <v>19822235</v>
      </c>
      <c r="M68" s="328">
        <f t="shared" si="1"/>
        <v>7.679287722004309E-2</v>
      </c>
      <c r="O68" s="130"/>
      <c r="Q68" s="187"/>
    </row>
    <row r="69" spans="1:17" s="131" customFormat="1" ht="12.75" customHeight="1">
      <c r="A69" s="239"/>
      <c r="B69" s="148"/>
      <c r="C69" s="330"/>
      <c r="D69" s="249" t="s">
        <v>588</v>
      </c>
      <c r="E69" s="199"/>
      <c r="F69" s="192" t="e">
        <f>E69/#REF!</f>
        <v>#REF!</v>
      </c>
      <c r="G69" s="199">
        <v>33541390</v>
      </c>
      <c r="H69" s="326">
        <f t="shared" si="2"/>
        <v>2.0215006946449781E-3</v>
      </c>
      <c r="I69" s="199">
        <v>14703057</v>
      </c>
      <c r="J69" s="327">
        <f t="shared" si="3"/>
        <v>5.9835029841373588E-4</v>
      </c>
      <c r="K69" s="216"/>
      <c r="L69" s="199">
        <f t="shared" si="5"/>
        <v>-18838333</v>
      </c>
      <c r="M69" s="328">
        <f t="shared" si="1"/>
        <v>-0.56164437430887626</v>
      </c>
      <c r="O69" s="130"/>
      <c r="Q69" s="187"/>
    </row>
    <row r="70" spans="1:17" s="131" customFormat="1" ht="12.75" customHeight="1">
      <c r="A70" s="239"/>
      <c r="B70" s="148"/>
      <c r="C70" s="330"/>
      <c r="D70" s="249" t="s">
        <v>589</v>
      </c>
      <c r="E70" s="199"/>
      <c r="F70" s="192" t="e">
        <f>E70/#REF!</f>
        <v>#REF!</v>
      </c>
      <c r="G70" s="199">
        <v>187118392</v>
      </c>
      <c r="H70" s="326">
        <f t="shared" si="2"/>
        <v>1.1277408581124734E-2</v>
      </c>
      <c r="I70" s="199">
        <v>104459570</v>
      </c>
      <c r="J70" s="327">
        <f t="shared" si="3"/>
        <v>4.2510489404802366E-3</v>
      </c>
      <c r="K70" s="216"/>
      <c r="L70" s="199">
        <f t="shared" si="5"/>
        <v>-82658822</v>
      </c>
      <c r="M70" s="328">
        <f t="shared" si="1"/>
        <v>-0.441746111200015</v>
      </c>
      <c r="O70" s="130"/>
      <c r="Q70" s="187"/>
    </row>
    <row r="71" spans="1:17" s="131" customFormat="1" ht="12.75" customHeight="1">
      <c r="A71" s="239"/>
      <c r="B71" s="148"/>
      <c r="C71" s="330"/>
      <c r="D71" s="333" t="s">
        <v>590</v>
      </c>
      <c r="E71" s="199"/>
      <c r="F71" s="192" t="e">
        <f>E71/#REF!</f>
        <v>#REF!</v>
      </c>
      <c r="G71" s="199">
        <v>32119427</v>
      </c>
      <c r="H71" s="326">
        <f t="shared" si="2"/>
        <v>1.9358006329522619E-3</v>
      </c>
      <c r="I71" s="199">
        <v>34082802</v>
      </c>
      <c r="J71" s="327">
        <f t="shared" si="3"/>
        <v>1.3870214029284027E-3</v>
      </c>
      <c r="K71" s="216"/>
      <c r="L71" s="199">
        <f t="shared" si="5"/>
        <v>1963375</v>
      </c>
      <c r="M71" s="328">
        <f t="shared" si="1"/>
        <v>6.1127335802098837E-2</v>
      </c>
      <c r="O71" s="130"/>
      <c r="Q71" s="187"/>
    </row>
    <row r="72" spans="1:17" s="131" customFormat="1" ht="12.75" customHeight="1">
      <c r="A72" s="239"/>
      <c r="B72" s="148"/>
      <c r="C72" s="330"/>
      <c r="D72" s="249" t="s">
        <v>591</v>
      </c>
      <c r="E72" s="199"/>
      <c r="F72" s="192" t="e">
        <f>E72/#REF!</f>
        <v>#REF!</v>
      </c>
      <c r="G72" s="199">
        <v>21292067</v>
      </c>
      <c r="H72" s="326">
        <f t="shared" si="2"/>
        <v>1.2832481966587378E-3</v>
      </c>
      <c r="I72" s="199">
        <v>40948467</v>
      </c>
      <c r="J72" s="327">
        <f t="shared" si="3"/>
        <v>1.6664240265840645E-3</v>
      </c>
      <c r="K72" s="216"/>
      <c r="L72" s="199">
        <f t="shared" si="5"/>
        <v>19656400</v>
      </c>
      <c r="M72" s="328">
        <f t="shared" si="1"/>
        <v>0.92317951094179818</v>
      </c>
      <c r="O72" s="130"/>
      <c r="Q72" s="187"/>
    </row>
    <row r="73" spans="1:17" s="131" customFormat="1" ht="12.75" customHeight="1">
      <c r="A73" s="239"/>
      <c r="B73" s="148"/>
      <c r="C73" s="330"/>
      <c r="D73" s="249" t="s">
        <v>592</v>
      </c>
      <c r="E73" s="199"/>
      <c r="F73" s="192" t="e">
        <f>E73/#REF!</f>
        <v>#REF!</v>
      </c>
      <c r="G73" s="199">
        <v>22049346</v>
      </c>
      <c r="H73" s="326">
        <f t="shared" si="2"/>
        <v>1.3288885241627575E-3</v>
      </c>
      <c r="I73" s="199">
        <v>40218759</v>
      </c>
      <c r="J73" s="327">
        <f t="shared" si="3"/>
        <v>1.6367280933128482E-3</v>
      </c>
      <c r="K73" s="216"/>
      <c r="L73" s="199">
        <f t="shared" si="5"/>
        <v>18169413</v>
      </c>
      <c r="M73" s="328">
        <f t="shared" si="1"/>
        <v>0.82403410060325599</v>
      </c>
      <c r="O73" s="130"/>
      <c r="Q73" s="187"/>
    </row>
    <row r="74" spans="1:17" s="131" customFormat="1" ht="12.75" customHeight="1">
      <c r="A74" s="239"/>
      <c r="B74" s="148"/>
      <c r="C74" s="330"/>
      <c r="D74" s="249" t="s">
        <v>593</v>
      </c>
      <c r="E74" s="199"/>
      <c r="F74" s="192" t="e">
        <f>E74/#REF!</f>
        <v>#REF!</v>
      </c>
      <c r="G74" s="199">
        <v>95511307</v>
      </c>
      <c r="H74" s="326">
        <f t="shared" si="2"/>
        <v>5.7563557576758078E-3</v>
      </c>
      <c r="I74" s="199">
        <v>128805825</v>
      </c>
      <c r="J74" s="327">
        <f t="shared" si="3"/>
        <v>5.2418353425534182E-3</v>
      </c>
      <c r="K74" s="216"/>
      <c r="L74" s="199">
        <f t="shared" si="5"/>
        <v>33294518</v>
      </c>
      <c r="M74" s="328">
        <f t="shared" si="1"/>
        <v>0.34859242372214633</v>
      </c>
      <c r="O74" s="130"/>
      <c r="Q74" s="187"/>
    </row>
    <row r="75" spans="1:17" s="131" customFormat="1" ht="12.75" customHeight="1">
      <c r="A75" s="239"/>
      <c r="B75" s="148"/>
      <c r="C75" s="330"/>
      <c r="D75" s="249" t="s">
        <v>594</v>
      </c>
      <c r="E75" s="199"/>
      <c r="F75" s="192" t="e">
        <f>E75/#REF!</f>
        <v>#REF!</v>
      </c>
      <c r="G75" s="199">
        <v>12469893</v>
      </c>
      <c r="H75" s="326">
        <f t="shared" si="2"/>
        <v>7.5154599620494411E-4</v>
      </c>
      <c r="I75" s="199">
        <v>50762497</v>
      </c>
      <c r="J75" s="327">
        <f t="shared" si="3"/>
        <v>2.0658122476282566E-3</v>
      </c>
      <c r="K75" s="216"/>
      <c r="L75" s="199">
        <f t="shared" si="5"/>
        <v>38292604</v>
      </c>
      <c r="M75" s="328">
        <f t="shared" si="1"/>
        <v>3.0708045369755781</v>
      </c>
      <c r="O75" s="130"/>
      <c r="Q75" s="187"/>
    </row>
    <row r="76" spans="1:17" s="131" customFormat="1" ht="12.75" customHeight="1">
      <c r="A76" s="239"/>
      <c r="B76" s="148"/>
      <c r="C76" s="330"/>
      <c r="D76" s="249" t="s">
        <v>595</v>
      </c>
      <c r="E76" s="199"/>
      <c r="F76" s="192" t="e">
        <f>E76/#REF!</f>
        <v>#REF!</v>
      </c>
      <c r="G76" s="199">
        <v>7459089</v>
      </c>
      <c r="H76" s="326">
        <f t="shared" si="2"/>
        <v>4.4955064757061996E-4</v>
      </c>
      <c r="I76" s="199">
        <v>4709999</v>
      </c>
      <c r="J76" s="327">
        <f t="shared" si="3"/>
        <v>1.9167641852836436E-4</v>
      </c>
      <c r="K76" s="216"/>
      <c r="L76" s="199">
        <f t="shared" si="5"/>
        <v>-2749090</v>
      </c>
      <c r="M76" s="328">
        <f t="shared" si="1"/>
        <v>-0.36855573113553142</v>
      </c>
      <c r="O76" s="130"/>
      <c r="Q76" s="187"/>
    </row>
    <row r="77" spans="1:17" s="131" customFormat="1" ht="12.75" customHeight="1">
      <c r="A77" s="239"/>
      <c r="B77" s="148"/>
      <c r="C77" s="330"/>
      <c r="D77" s="249" t="s">
        <v>596</v>
      </c>
      <c r="E77" s="199"/>
      <c r="F77" s="192" t="e">
        <f>E77/#REF!</f>
        <v>#REF!</v>
      </c>
      <c r="G77" s="199">
        <v>900000</v>
      </c>
      <c r="H77" s="326">
        <f t="shared" si="2"/>
        <v>5.4241956734067382E-5</v>
      </c>
      <c r="I77" s="199">
        <v>44062954</v>
      </c>
      <c r="J77" s="327">
        <f t="shared" si="3"/>
        <v>1.7931700648981172E-3</v>
      </c>
      <c r="K77" s="230"/>
      <c r="L77" s="199">
        <f t="shared" si="5"/>
        <v>43162954</v>
      </c>
      <c r="M77" s="328">
        <f t="shared" si="1"/>
        <v>47.958837777777781</v>
      </c>
      <c r="O77" s="130"/>
      <c r="Q77" s="187"/>
    </row>
    <row r="78" spans="1:17" s="131" customFormat="1" ht="12.75" customHeight="1">
      <c r="A78" s="239"/>
      <c r="B78" s="148"/>
      <c r="C78" s="330"/>
      <c r="D78" s="333" t="s">
        <v>597</v>
      </c>
      <c r="E78" s="199"/>
      <c r="F78" s="192" t="e">
        <f>E78/#REF!</f>
        <v>#REF!</v>
      </c>
      <c r="G78" s="199">
        <v>0</v>
      </c>
      <c r="H78" s="326">
        <f t="shared" si="2"/>
        <v>0</v>
      </c>
      <c r="I78" s="199">
        <v>1800000</v>
      </c>
      <c r="J78" s="327">
        <f t="shared" si="3"/>
        <v>7.3252150021912071E-5</v>
      </c>
      <c r="K78" s="216"/>
      <c r="L78" s="199">
        <f t="shared" si="5"/>
        <v>1800000</v>
      </c>
      <c r="M78" s="328">
        <v>1</v>
      </c>
      <c r="O78" s="130"/>
      <c r="Q78" s="187"/>
    </row>
    <row r="79" spans="1:17" s="131" customFormat="1" ht="12.75" customHeight="1">
      <c r="A79" s="239"/>
      <c r="B79" s="148"/>
      <c r="C79" s="330"/>
      <c r="D79" s="249" t="s">
        <v>598</v>
      </c>
      <c r="E79" s="199"/>
      <c r="F79" s="192" t="e">
        <f>E79/#REF!</f>
        <v>#REF!</v>
      </c>
      <c r="G79" s="199">
        <v>67242647</v>
      </c>
      <c r="H79" s="326">
        <f t="shared" si="2"/>
        <v>4.0526363880646291E-3</v>
      </c>
      <c r="I79" s="199">
        <v>74019382</v>
      </c>
      <c r="J79" s="327">
        <f t="shared" si="3"/>
        <v>3.012266041551788E-3</v>
      </c>
      <c r="K79" s="216"/>
      <c r="L79" s="199">
        <f t="shared" si="5"/>
        <v>6776735</v>
      </c>
      <c r="M79" s="328">
        <f t="shared" si="1"/>
        <v>0.10078031282736385</v>
      </c>
      <c r="O79" s="130"/>
      <c r="Q79" s="187"/>
    </row>
    <row r="80" spans="1:17" s="131" customFormat="1" ht="12.75" customHeight="1">
      <c r="A80" s="239"/>
      <c r="B80" s="148"/>
      <c r="C80" s="330"/>
      <c r="D80" s="249" t="s">
        <v>599</v>
      </c>
      <c r="E80" s="199"/>
      <c r="F80" s="192" t="e">
        <f>E80/#REF!</f>
        <v>#REF!</v>
      </c>
      <c r="G80" s="199">
        <v>2372528</v>
      </c>
      <c r="H80" s="326">
        <f t="shared" si="2"/>
        <v>1.4298951236262604E-4</v>
      </c>
      <c r="I80" s="199">
        <v>4643051</v>
      </c>
      <c r="J80" s="327">
        <f t="shared" si="3"/>
        <v>1.8895192689521604E-4</v>
      </c>
      <c r="K80" s="249"/>
      <c r="L80" s="199">
        <f t="shared" si="5"/>
        <v>2270523</v>
      </c>
      <c r="M80" s="328">
        <f t="shared" si="1"/>
        <v>0.95700577611728921</v>
      </c>
      <c r="O80" s="130"/>
      <c r="Q80" s="187"/>
    </row>
    <row r="81" spans="1:17" s="131" customFormat="1" ht="12.75" customHeight="1">
      <c r="A81" s="239"/>
      <c r="B81" s="148"/>
      <c r="C81" s="330"/>
      <c r="D81" s="249" t="s">
        <v>600</v>
      </c>
      <c r="E81" s="199"/>
      <c r="F81" s="192" t="e">
        <f>E81/#REF!</f>
        <v>#REF!</v>
      </c>
      <c r="G81" s="199">
        <v>11135544</v>
      </c>
      <c r="H81" s="326">
        <f t="shared" si="2"/>
        <v>6.711263287314485E-4</v>
      </c>
      <c r="I81" s="199">
        <v>20312506</v>
      </c>
      <c r="J81" s="327">
        <f t="shared" si="3"/>
        <v>8.2663040935166061E-4</v>
      </c>
      <c r="K81" s="325"/>
      <c r="L81" s="199">
        <f t="shared" si="5"/>
        <v>9176962</v>
      </c>
      <c r="M81" s="328">
        <f t="shared" si="1"/>
        <v>0.82411438543101267</v>
      </c>
      <c r="O81" s="130"/>
      <c r="Q81" s="187"/>
    </row>
    <row r="82" spans="1:17" s="131" customFormat="1" ht="12.75" customHeight="1">
      <c r="A82" s="239"/>
      <c r="B82" s="148"/>
      <c r="C82" s="330"/>
      <c r="D82" s="249" t="s">
        <v>184</v>
      </c>
      <c r="E82" s="199"/>
      <c r="F82" s="192" t="e">
        <f>E82/#REF!</f>
        <v>#REF!</v>
      </c>
      <c r="G82" s="131">
        <v>0</v>
      </c>
      <c r="H82" s="326">
        <f t="shared" si="2"/>
        <v>0</v>
      </c>
      <c r="I82" s="199">
        <v>700000000</v>
      </c>
      <c r="J82" s="327">
        <f t="shared" si="3"/>
        <v>2.8486947230743586E-2</v>
      </c>
      <c r="K82" s="230"/>
      <c r="L82" s="199">
        <f t="shared" si="5"/>
        <v>700000000</v>
      </c>
      <c r="M82" s="328">
        <v>1</v>
      </c>
      <c r="O82" s="130"/>
      <c r="Q82" s="187"/>
    </row>
    <row r="83" spans="1:17" s="131" customFormat="1" ht="12.75" customHeight="1">
      <c r="A83" s="239"/>
      <c r="B83" s="148"/>
      <c r="C83" s="330"/>
      <c r="D83" s="249" t="s">
        <v>601</v>
      </c>
      <c r="E83" s="199"/>
      <c r="F83" s="192" t="e">
        <f>E83/#REF!</f>
        <v>#REF!</v>
      </c>
      <c r="G83" s="199">
        <v>786909</v>
      </c>
      <c r="H83" s="326">
        <f t="shared" si="2"/>
        <v>4.7426093257386923E-5</v>
      </c>
      <c r="I83" s="199">
        <v>210000</v>
      </c>
      <c r="J83" s="327">
        <f t="shared" si="3"/>
        <v>8.5460841692230753E-6</v>
      </c>
      <c r="K83" s="216"/>
      <c r="L83" s="199">
        <f t="shared" si="5"/>
        <v>-576909</v>
      </c>
      <c r="M83" s="328">
        <f t="shared" si="1"/>
        <v>-0.73313305604587065</v>
      </c>
      <c r="O83" s="130"/>
      <c r="Q83" s="187"/>
    </row>
    <row r="84" spans="1:17" s="131" customFormat="1" ht="12.75" customHeight="1">
      <c r="A84" s="239"/>
      <c r="B84" s="148"/>
      <c r="C84" s="330"/>
      <c r="D84" s="249"/>
      <c r="E84" s="199"/>
      <c r="F84" s="192" t="e">
        <f>E84/#REF!</f>
        <v>#REF!</v>
      </c>
      <c r="G84" s="199"/>
      <c r="H84" s="331"/>
      <c r="I84" s="199"/>
      <c r="J84" s="327"/>
      <c r="K84" s="216"/>
      <c r="L84" s="232"/>
      <c r="M84" s="328"/>
      <c r="O84" s="130"/>
      <c r="Q84" s="187"/>
    </row>
    <row r="85" spans="1:17" s="131" customFormat="1" ht="12.75" customHeight="1">
      <c r="A85" s="239"/>
      <c r="B85" s="148"/>
      <c r="C85" s="339"/>
      <c r="D85" s="340" t="s">
        <v>602</v>
      </c>
      <c r="E85" s="199"/>
      <c r="F85" s="192" t="e">
        <f>E85/#REF!</f>
        <v>#REF!</v>
      </c>
      <c r="G85" s="190">
        <f>+SUM(G86:G89)</f>
        <v>1853490831</v>
      </c>
      <c r="H85" s="326">
        <f>G85/G$22</f>
        <v>0.11170774384676956</v>
      </c>
      <c r="I85" s="190">
        <f>+SUM(I86:I89)</f>
        <v>2152716054</v>
      </c>
      <c r="J85" s="327">
        <f t="shared" si="3"/>
        <v>8.760615519010366E-2</v>
      </c>
      <c r="K85" s="216"/>
      <c r="L85" s="199">
        <f>+I85-G85</f>
        <v>299225223</v>
      </c>
      <c r="M85" s="328">
        <f t="shared" si="1"/>
        <v>0.16143873926722435</v>
      </c>
      <c r="O85" s="130"/>
      <c r="Q85" s="187"/>
    </row>
    <row r="86" spans="1:17" s="131" customFormat="1" ht="12.75" customHeight="1">
      <c r="A86" s="239"/>
      <c r="B86" s="148"/>
      <c r="C86" s="330"/>
      <c r="D86" s="249" t="s">
        <v>603</v>
      </c>
      <c r="E86" s="199"/>
      <c r="F86" s="192" t="e">
        <f>E86/#REF!</f>
        <v>#REF!</v>
      </c>
      <c r="G86" s="199">
        <v>1769162997</v>
      </c>
      <c r="H86" s="326">
        <f>G86/G$22</f>
        <v>0.10662540304309664</v>
      </c>
      <c r="I86" s="199">
        <v>2059770885</v>
      </c>
      <c r="J86" s="327">
        <f t="shared" si="3"/>
        <v>8.3823692154881446E-2</v>
      </c>
      <c r="K86" s="216"/>
      <c r="L86" s="199">
        <f>+I86-G86</f>
        <v>290607888</v>
      </c>
      <c r="M86" s="328">
        <f t="shared" si="1"/>
        <v>0.16426292461055808</v>
      </c>
      <c r="O86" s="130"/>
      <c r="Q86" s="187"/>
    </row>
    <row r="87" spans="1:17" s="131" customFormat="1" ht="12.75" customHeight="1">
      <c r="A87" s="239"/>
      <c r="B87" s="148"/>
      <c r="C87" s="336"/>
      <c r="D87" s="249" t="s">
        <v>604</v>
      </c>
      <c r="E87" s="231"/>
      <c r="F87" s="192" t="e">
        <f>E87/#REF!</f>
        <v>#REF!</v>
      </c>
      <c r="G87" s="232">
        <v>14305839</v>
      </c>
      <c r="H87" s="326">
        <f>G87/G$22</f>
        <v>8.6219633342503755E-4</v>
      </c>
      <c r="I87" s="232">
        <v>13963287</v>
      </c>
      <c r="J87" s="327">
        <f t="shared" si="3"/>
        <v>5.68244885623897E-4</v>
      </c>
      <c r="K87" s="216"/>
      <c r="L87" s="199">
        <f>+I87-G87</f>
        <v>-342552</v>
      </c>
      <c r="M87" s="328">
        <f t="shared" ref="M87:M106" si="6">L87/G87</f>
        <v>-2.3944908089626901E-2</v>
      </c>
      <c r="O87" s="130"/>
      <c r="Q87" s="187"/>
    </row>
    <row r="88" spans="1:17" s="131" customFormat="1" ht="12.75" customHeight="1">
      <c r="A88" s="239"/>
      <c r="B88" s="148"/>
      <c r="C88" s="330"/>
      <c r="D88" s="249" t="s">
        <v>556</v>
      </c>
      <c r="E88" s="199"/>
      <c r="F88" s="192" t="e">
        <f>E88/#REF!</f>
        <v>#REF!</v>
      </c>
      <c r="G88" s="199">
        <v>15583810</v>
      </c>
      <c r="H88" s="326">
        <f>G88/G$22</f>
        <v>9.3921816419102961E-4</v>
      </c>
      <c r="I88" s="199">
        <v>56081437</v>
      </c>
      <c r="J88" s="327">
        <f t="shared" si="3"/>
        <v>2.2822699092046725E-3</v>
      </c>
      <c r="K88" s="216"/>
      <c r="L88" s="199">
        <f>+I88-G88</f>
        <v>40497627</v>
      </c>
      <c r="M88" s="328">
        <f t="shared" si="6"/>
        <v>2.5986987136008461</v>
      </c>
      <c r="O88" s="130"/>
      <c r="Q88" s="187"/>
    </row>
    <row r="89" spans="1:17" s="131" customFormat="1" ht="12.75" customHeight="1">
      <c r="A89" s="239"/>
      <c r="B89" s="148"/>
      <c r="C89" s="330"/>
      <c r="D89" s="249" t="s">
        <v>605</v>
      </c>
      <c r="E89" s="199"/>
      <c r="F89" s="192" t="e">
        <f>E89/#REF!</f>
        <v>#REF!</v>
      </c>
      <c r="G89" s="199">
        <v>54438185</v>
      </c>
      <c r="H89" s="326">
        <f>G89/G$22</f>
        <v>3.28092630605684E-3</v>
      </c>
      <c r="I89" s="199">
        <v>22900445</v>
      </c>
      <c r="J89" s="327">
        <f t="shared" si="3"/>
        <v>9.3194824039363679E-4</v>
      </c>
      <c r="K89" s="216"/>
      <c r="L89" s="199">
        <f>+I89-G89</f>
        <v>-31537740</v>
      </c>
      <c r="M89" s="328">
        <f t="shared" si="6"/>
        <v>-0.57933121760029294</v>
      </c>
      <c r="O89" s="130"/>
      <c r="Q89" s="187"/>
    </row>
    <row r="90" spans="1:17" s="131" customFormat="1" ht="12.75" customHeight="1">
      <c r="A90" s="239"/>
      <c r="B90" s="148"/>
      <c r="C90" s="336"/>
      <c r="D90" s="325"/>
      <c r="E90" s="231"/>
      <c r="F90" s="191" t="e">
        <f>E90/#REF!</f>
        <v>#REF!</v>
      </c>
      <c r="G90" s="231"/>
      <c r="H90" s="341"/>
      <c r="I90" s="231"/>
      <c r="J90" s="337"/>
      <c r="K90" s="230"/>
      <c r="L90" s="231"/>
      <c r="M90" s="338"/>
      <c r="O90" s="130"/>
      <c r="Q90" s="187"/>
    </row>
    <row r="91" spans="1:17" s="131" customFormat="1" ht="12.75" customHeight="1">
      <c r="A91" s="239"/>
      <c r="B91" s="148"/>
      <c r="C91" s="330"/>
      <c r="D91" s="325" t="s">
        <v>374</v>
      </c>
      <c r="E91" s="199"/>
      <c r="F91" s="192" t="e">
        <f>E91/#REF!</f>
        <v>#REF!</v>
      </c>
      <c r="G91" s="293">
        <f>+SUM(G92:G108)</f>
        <v>855090341</v>
      </c>
      <c r="H91" s="326">
        <f t="shared" ref="H91:H97" si="7">G91/G$22</f>
        <v>5.1535303644712142E-2</v>
      </c>
      <c r="I91" s="190">
        <f>+SUM(I92:I108)</f>
        <v>1848348858</v>
      </c>
      <c r="J91" s="327">
        <f t="shared" si="3"/>
        <v>7.5219737688358809E-2</v>
      </c>
      <c r="K91" s="216"/>
      <c r="L91" s="199">
        <f t="shared" ref="L91:L108" si="8">+I91-G91</f>
        <v>993258517</v>
      </c>
      <c r="M91" s="328">
        <f t="shared" si="6"/>
        <v>1.1615831326528807</v>
      </c>
      <c r="O91" s="130"/>
      <c r="Q91" s="187"/>
    </row>
    <row r="92" spans="1:17" s="131" customFormat="1" ht="12.75" customHeight="1">
      <c r="A92" s="239"/>
      <c r="B92" s="148"/>
      <c r="C92" s="330"/>
      <c r="D92" s="249" t="s">
        <v>606</v>
      </c>
      <c r="E92" s="199"/>
      <c r="F92" s="192" t="e">
        <f>E92/#REF!</f>
        <v>#REF!</v>
      </c>
      <c r="G92" s="199">
        <v>7200000</v>
      </c>
      <c r="H92" s="326">
        <f t="shared" si="7"/>
        <v>4.3393565387253905E-4</v>
      </c>
      <c r="I92" s="199">
        <v>10459091</v>
      </c>
      <c r="J92" s="327">
        <f t="shared" si="3"/>
        <v>4.256393905693502E-4</v>
      </c>
      <c r="K92" s="216"/>
      <c r="L92" s="199">
        <f t="shared" si="8"/>
        <v>3259091</v>
      </c>
      <c r="M92" s="328">
        <f t="shared" si="6"/>
        <v>0.45265152777777778</v>
      </c>
      <c r="O92" s="130"/>
      <c r="Q92" s="187"/>
    </row>
    <row r="93" spans="1:17" s="131" customFormat="1" ht="12.75" customHeight="1">
      <c r="A93" s="239"/>
      <c r="B93" s="148"/>
      <c r="C93" s="330"/>
      <c r="D93" s="249" t="s">
        <v>607</v>
      </c>
      <c r="E93" s="199"/>
      <c r="F93" s="192" t="e">
        <f>E93/#REF!</f>
        <v>#REF!</v>
      </c>
      <c r="G93" s="199">
        <v>7408757</v>
      </c>
      <c r="H93" s="326">
        <f t="shared" si="7"/>
        <v>4.4651719627468765E-4</v>
      </c>
      <c r="I93" s="199">
        <v>46100322</v>
      </c>
      <c r="J93" s="327">
        <f t="shared" si="3"/>
        <v>1.8760820573346965E-3</v>
      </c>
      <c r="K93" s="230"/>
      <c r="L93" s="199">
        <f t="shared" si="8"/>
        <v>38691565</v>
      </c>
      <c r="M93" s="328">
        <f t="shared" si="6"/>
        <v>5.2224097780504879</v>
      </c>
      <c r="O93" s="130"/>
      <c r="Q93" s="187"/>
    </row>
    <row r="94" spans="1:17" s="131" customFormat="1" ht="12.75" customHeight="1">
      <c r="A94" s="239"/>
      <c r="B94" s="148"/>
      <c r="C94" s="330"/>
      <c r="D94" s="249" t="s">
        <v>608</v>
      </c>
      <c r="E94" s="199"/>
      <c r="F94" s="192" t="e">
        <f>E94/#REF!</f>
        <v>#REF!</v>
      </c>
      <c r="G94" s="199">
        <v>22030955</v>
      </c>
      <c r="H94" s="326">
        <f t="shared" si="7"/>
        <v>1.3277801199113172E-3</v>
      </c>
      <c r="I94" s="199">
        <v>53717088</v>
      </c>
      <c r="J94" s="327">
        <f>I94/I$22</f>
        <v>2.1860512160645851E-3</v>
      </c>
      <c r="K94" s="216"/>
      <c r="L94" s="199">
        <f t="shared" si="8"/>
        <v>31686133</v>
      </c>
      <c r="M94" s="328">
        <f t="shared" si="6"/>
        <v>1.4382550824510332</v>
      </c>
      <c r="O94" s="130"/>
      <c r="Q94" s="187"/>
    </row>
    <row r="95" spans="1:17" s="131" customFormat="1" ht="12.75" customHeight="1">
      <c r="A95" s="239"/>
      <c r="B95" s="148"/>
      <c r="C95" s="330"/>
      <c r="D95" s="249" t="s">
        <v>609</v>
      </c>
      <c r="E95" s="199"/>
      <c r="F95" s="192" t="e">
        <f>E95/#REF!</f>
        <v>#REF!</v>
      </c>
      <c r="G95" s="199">
        <v>204239142</v>
      </c>
      <c r="H95" s="326">
        <f t="shared" si="7"/>
        <v>1.2309256337518939E-2</v>
      </c>
      <c r="I95" s="199">
        <v>299127104</v>
      </c>
      <c r="J95" s="327">
        <f t="shared" si="3"/>
        <v>1.2173168609904498E-2</v>
      </c>
      <c r="K95" s="249"/>
      <c r="L95" s="199">
        <f t="shared" si="8"/>
        <v>94887962</v>
      </c>
      <c r="M95" s="328">
        <f t="shared" si="6"/>
        <v>0.4645924433035466</v>
      </c>
      <c r="O95" s="130"/>
      <c r="Q95" s="187"/>
    </row>
    <row r="96" spans="1:17" s="131" customFormat="1" ht="12.75" customHeight="1">
      <c r="A96" s="239"/>
      <c r="B96" s="148"/>
      <c r="C96" s="339"/>
      <c r="D96" s="333" t="s">
        <v>610</v>
      </c>
      <c r="E96" s="199"/>
      <c r="F96" s="192" t="e">
        <f>E96/#REF!</f>
        <v>#REF!</v>
      </c>
      <c r="G96" s="199">
        <v>1896364</v>
      </c>
      <c r="H96" s="326">
        <f t="shared" si="7"/>
        <v>1.1429166004449217E-4</v>
      </c>
      <c r="I96" s="199">
        <v>18001818</v>
      </c>
      <c r="J96" s="327">
        <f t="shared" si="3"/>
        <v>7.3259548489064288E-4</v>
      </c>
      <c r="K96" s="249"/>
      <c r="L96" s="199">
        <f t="shared" si="8"/>
        <v>16105454</v>
      </c>
      <c r="M96" s="328">
        <f t="shared" si="6"/>
        <v>8.492807288052294</v>
      </c>
      <c r="O96" s="130"/>
      <c r="Q96" s="187"/>
    </row>
    <row r="97" spans="1:17" s="131" customFormat="1" ht="12.75" customHeight="1">
      <c r="A97" s="239"/>
      <c r="B97" s="148"/>
      <c r="C97" s="330"/>
      <c r="D97" s="249" t="s">
        <v>611</v>
      </c>
      <c r="E97" s="199"/>
      <c r="F97" s="192" t="e">
        <f>E97/#REF!</f>
        <v>#REF!</v>
      </c>
      <c r="G97" s="199">
        <v>2881683</v>
      </c>
      <c r="H97" s="326">
        <f t="shared" si="7"/>
        <v>1.7367569400810834E-4</v>
      </c>
      <c r="I97" s="199">
        <v>4659172</v>
      </c>
      <c r="J97" s="327">
        <f t="shared" si="3"/>
        <v>1.8960798128994007E-4</v>
      </c>
      <c r="K97" s="249"/>
      <c r="L97" s="199">
        <f t="shared" si="8"/>
        <v>1777489</v>
      </c>
      <c r="M97" s="328">
        <f t="shared" si="6"/>
        <v>0.61682322448374782</v>
      </c>
      <c r="O97" s="130"/>
      <c r="Q97" s="187"/>
    </row>
    <row r="98" spans="1:17" s="131" customFormat="1" ht="12.75" customHeight="1">
      <c r="A98" s="239"/>
      <c r="B98" s="148"/>
      <c r="C98" s="330"/>
      <c r="D98" s="249" t="s">
        <v>612</v>
      </c>
      <c r="E98" s="199"/>
      <c r="F98" s="192"/>
      <c r="G98" s="199">
        <v>41240217</v>
      </c>
      <c r="H98" s="331"/>
      <c r="I98" s="199">
        <v>0</v>
      </c>
      <c r="J98" s="327">
        <f t="shared" si="3"/>
        <v>0</v>
      </c>
      <c r="K98" s="249"/>
      <c r="L98" s="199">
        <f t="shared" si="8"/>
        <v>-41240217</v>
      </c>
      <c r="M98" s="328">
        <f t="shared" si="6"/>
        <v>-1</v>
      </c>
      <c r="O98" s="130"/>
      <c r="Q98" s="187"/>
    </row>
    <row r="99" spans="1:17" s="131" customFormat="1" ht="12.75" customHeight="1">
      <c r="A99" s="239"/>
      <c r="B99" s="148"/>
      <c r="C99" s="330"/>
      <c r="D99" s="249" t="s">
        <v>613</v>
      </c>
      <c r="E99" s="199"/>
      <c r="F99" s="192" t="e">
        <f>E99/#REF!</f>
        <v>#REF!</v>
      </c>
      <c r="G99" s="199">
        <v>37627906</v>
      </c>
      <c r="H99" s="326">
        <f t="shared" ref="H99:H108" si="9">G99/G$22</f>
        <v>2.2677902769395052E-3</v>
      </c>
      <c r="I99" s="199">
        <v>46595881</v>
      </c>
      <c r="J99" s="327">
        <f t="shared" si="3"/>
        <v>1.8962491474528681E-3</v>
      </c>
      <c r="K99" s="230"/>
      <c r="L99" s="199">
        <f t="shared" si="8"/>
        <v>8967975</v>
      </c>
      <c r="M99" s="328">
        <f t="shared" si="6"/>
        <v>0.23833308715079707</v>
      </c>
      <c r="O99" s="130"/>
      <c r="Q99" s="187"/>
    </row>
    <row r="100" spans="1:17" s="131" customFormat="1" ht="12.75" customHeight="1">
      <c r="A100" s="239"/>
      <c r="B100" s="148"/>
      <c r="C100" s="339"/>
      <c r="D100" s="333" t="s">
        <v>614</v>
      </c>
      <c r="E100" s="199"/>
      <c r="F100" s="192" t="e">
        <f>E100/#REF!</f>
        <v>#REF!</v>
      </c>
      <c r="G100" s="199">
        <v>1345432</v>
      </c>
      <c r="H100" s="326">
        <f t="shared" si="9"/>
        <v>8.108762703625528E-5</v>
      </c>
      <c r="I100" s="199">
        <v>33482898</v>
      </c>
      <c r="J100" s="327">
        <f t="shared" si="3"/>
        <v>1.3626079263691E-3</v>
      </c>
      <c r="K100" s="230"/>
      <c r="L100" s="199">
        <f t="shared" si="8"/>
        <v>32137466</v>
      </c>
      <c r="M100" s="328">
        <f t="shared" si="6"/>
        <v>23.886354717295262</v>
      </c>
      <c r="O100" s="130"/>
      <c r="Q100" s="187"/>
    </row>
    <row r="101" spans="1:17" s="196" customFormat="1" ht="12.75" customHeight="1">
      <c r="A101" s="239"/>
      <c r="B101" s="148"/>
      <c r="C101" s="330"/>
      <c r="D101" s="249" t="s">
        <v>244</v>
      </c>
      <c r="E101" s="199"/>
      <c r="F101" s="192" t="e">
        <f>E101/#REF!</f>
        <v>#REF!</v>
      </c>
      <c r="G101" s="199">
        <v>259214318</v>
      </c>
      <c r="H101" s="326">
        <f t="shared" si="9"/>
        <v>1.5622546468674205E-2</v>
      </c>
      <c r="I101" s="199">
        <v>623453061</v>
      </c>
      <c r="J101" s="327">
        <f t="shared" si="3"/>
        <v>2.5371820642217945E-2</v>
      </c>
      <c r="K101" s="216"/>
      <c r="L101" s="199">
        <f t="shared" si="8"/>
        <v>364238743</v>
      </c>
      <c r="M101" s="328">
        <f t="shared" si="6"/>
        <v>1.4051644438869306</v>
      </c>
      <c r="O101" s="342"/>
      <c r="Q101" s="187"/>
    </row>
    <row r="102" spans="1:17" s="131" customFormat="1" ht="12.75" customHeight="1">
      <c r="A102" s="239"/>
      <c r="B102" s="148"/>
      <c r="C102" s="330"/>
      <c r="D102" s="249" t="s">
        <v>615</v>
      </c>
      <c r="E102" s="199"/>
      <c r="F102" s="192" t="e">
        <f>E102/#REF!</f>
        <v>#REF!</v>
      </c>
      <c r="G102" s="199">
        <v>103401319</v>
      </c>
      <c r="H102" s="326">
        <f t="shared" si="9"/>
        <v>6.231877634937222E-3</v>
      </c>
      <c r="I102" s="199">
        <v>228461609</v>
      </c>
      <c r="J102" s="327">
        <f t="shared" si="3"/>
        <v>9.2973911426196768E-3</v>
      </c>
      <c r="K102" s="216"/>
      <c r="L102" s="199">
        <f t="shared" si="8"/>
        <v>125060290</v>
      </c>
      <c r="M102" s="328">
        <f t="shared" si="6"/>
        <v>1.2094651326449715</v>
      </c>
      <c r="O102" s="130"/>
      <c r="Q102" s="187"/>
    </row>
    <row r="103" spans="1:17" s="131" customFormat="1">
      <c r="A103" s="239"/>
      <c r="B103" s="148"/>
      <c r="C103" s="330"/>
      <c r="D103" s="249" t="s">
        <v>616</v>
      </c>
      <c r="E103" s="199"/>
      <c r="F103" s="192" t="e">
        <f>E103/#REF!</f>
        <v>#REF!</v>
      </c>
      <c r="G103" s="199">
        <v>12540989</v>
      </c>
      <c r="H103" s="326">
        <f t="shared" si="9"/>
        <v>7.5583086971157216E-4</v>
      </c>
      <c r="I103" s="199">
        <v>28132724</v>
      </c>
      <c r="J103" s="327">
        <f t="shared" si="3"/>
        <v>1.1448791772072479E-3</v>
      </c>
      <c r="K103" s="216"/>
      <c r="L103" s="199">
        <f t="shared" si="8"/>
        <v>15591735</v>
      </c>
      <c r="M103" s="328">
        <f t="shared" si="6"/>
        <v>1.243261994727848</v>
      </c>
      <c r="O103" s="130"/>
      <c r="Q103" s="187"/>
    </row>
    <row r="104" spans="1:17" s="131" customFormat="1">
      <c r="A104" s="239"/>
      <c r="B104" s="148"/>
      <c r="C104" s="339"/>
      <c r="D104" s="333" t="s">
        <v>617</v>
      </c>
      <c r="E104" s="199"/>
      <c r="F104" s="192" t="e">
        <f>E104/#REF!</f>
        <v>#REF!</v>
      </c>
      <c r="G104" s="343">
        <v>65457451</v>
      </c>
      <c r="H104" s="326">
        <f t="shared" si="9"/>
        <v>3.9450446945159283E-3</v>
      </c>
      <c r="I104" s="199">
        <v>35911597</v>
      </c>
      <c r="J104" s="327">
        <f t="shared" si="3"/>
        <v>1.4614453838724709E-3</v>
      </c>
      <c r="K104" s="216"/>
      <c r="L104" s="199">
        <f t="shared" si="8"/>
        <v>-29545854</v>
      </c>
      <c r="M104" s="328">
        <f t="shared" si="6"/>
        <v>-0.45137495500703195</v>
      </c>
      <c r="O104" s="130"/>
      <c r="Q104" s="187"/>
    </row>
    <row r="105" spans="1:17" s="131" customFormat="1">
      <c r="A105" s="239"/>
      <c r="B105" s="148"/>
      <c r="C105" s="344"/>
      <c r="D105" s="345" t="s">
        <v>618</v>
      </c>
      <c r="E105" s="343"/>
      <c r="F105" s="346"/>
      <c r="G105" s="343">
        <v>77784082</v>
      </c>
      <c r="H105" s="326">
        <f t="shared" si="9"/>
        <v>4.6879564560479443E-3</v>
      </c>
      <c r="I105" s="343">
        <v>55071580</v>
      </c>
      <c r="J105" s="327">
        <f t="shared" si="3"/>
        <v>2.2411731333909627E-3</v>
      </c>
      <c r="K105" s="347"/>
      <c r="L105" s="199">
        <f t="shared" si="8"/>
        <v>-22712502</v>
      </c>
      <c r="M105" s="328">
        <f t="shared" si="6"/>
        <v>-0.29199421547457488</v>
      </c>
      <c r="O105" s="130"/>
      <c r="Q105" s="187"/>
    </row>
    <row r="106" spans="1:17" s="131" customFormat="1">
      <c r="A106" s="239"/>
      <c r="B106" s="148"/>
      <c r="C106" s="344"/>
      <c r="D106" s="345" t="s">
        <v>619</v>
      </c>
      <c r="E106" s="343"/>
      <c r="F106" s="346"/>
      <c r="G106" s="343">
        <v>10821726</v>
      </c>
      <c r="H106" s="326">
        <f t="shared" si="9"/>
        <v>6.5221288164436894E-4</v>
      </c>
      <c r="I106" s="343">
        <v>22932001</v>
      </c>
      <c r="J106" s="327">
        <f>I106/I$22</f>
        <v>9.332324319747988E-4</v>
      </c>
      <c r="K106" s="347"/>
      <c r="L106" s="199">
        <f t="shared" si="8"/>
        <v>12110275</v>
      </c>
      <c r="M106" s="328">
        <f t="shared" si="6"/>
        <v>1.1190705623114094</v>
      </c>
      <c r="O106" s="130"/>
      <c r="Q106" s="187"/>
    </row>
    <row r="107" spans="1:17" s="131" customFormat="1">
      <c r="A107" s="239"/>
      <c r="B107" s="148"/>
      <c r="C107" s="344"/>
      <c r="D107" s="345" t="s">
        <v>620</v>
      </c>
      <c r="E107" s="343"/>
      <c r="F107" s="346"/>
      <c r="G107" s="343">
        <v>0</v>
      </c>
      <c r="H107" s="326">
        <f t="shared" si="9"/>
        <v>0</v>
      </c>
      <c r="I107" s="343">
        <v>300491766</v>
      </c>
      <c r="J107" s="327">
        <f>I107/I$22</f>
        <v>1.2228704401878499E-2</v>
      </c>
      <c r="K107" s="347"/>
      <c r="L107" s="199">
        <f t="shared" si="8"/>
        <v>300491766</v>
      </c>
      <c r="M107" s="328">
        <v>1</v>
      </c>
      <c r="O107" s="130"/>
      <c r="Q107" s="187"/>
    </row>
    <row r="108" spans="1:17" s="131" customFormat="1">
      <c r="A108" s="239"/>
      <c r="B108" s="148"/>
      <c r="C108" s="344"/>
      <c r="D108" s="345" t="s">
        <v>621</v>
      </c>
      <c r="E108" s="343"/>
      <c r="F108" s="346"/>
      <c r="G108" s="343">
        <v>0</v>
      </c>
      <c r="H108" s="326">
        <f t="shared" si="9"/>
        <v>0</v>
      </c>
      <c r="I108" s="343">
        <v>41751146</v>
      </c>
      <c r="J108" s="327">
        <f>I108/I$22</f>
        <v>1.6990895613215303E-3</v>
      </c>
      <c r="K108" s="347"/>
      <c r="L108" s="199">
        <f t="shared" si="8"/>
        <v>41751146</v>
      </c>
      <c r="M108" s="328">
        <v>1</v>
      </c>
      <c r="O108" s="130"/>
      <c r="Q108" s="187"/>
    </row>
    <row r="109" spans="1:17" s="131" customFormat="1">
      <c r="A109" s="239"/>
      <c r="B109" s="148"/>
      <c r="C109" s="344"/>
      <c r="D109" s="345"/>
      <c r="E109" s="343"/>
      <c r="F109" s="346"/>
      <c r="G109" s="343"/>
      <c r="H109" s="348"/>
      <c r="I109" s="343"/>
      <c r="J109" s="349"/>
      <c r="K109" s="347"/>
      <c r="L109" s="219"/>
      <c r="M109" s="350"/>
      <c r="O109" s="130"/>
      <c r="Q109" s="187"/>
    </row>
    <row r="110" spans="1:17" s="131" customFormat="1" ht="15">
      <c r="A110" s="239"/>
      <c r="B110" s="148"/>
      <c r="C110" s="344"/>
      <c r="D110" s="351" t="s">
        <v>622</v>
      </c>
      <c r="E110" s="343"/>
      <c r="F110" s="346"/>
      <c r="G110" s="352">
        <f>+SUM(G111:G112)</f>
        <v>0</v>
      </c>
      <c r="H110" s="327">
        <f t="shared" ref="H110:J112" si="10">G110/G$22</f>
        <v>0</v>
      </c>
      <c r="I110" s="352">
        <f>+SUM(I111:I112)</f>
        <v>218875000</v>
      </c>
      <c r="J110" s="327">
        <f t="shared" si="10"/>
        <v>8.9072579644700039E-3</v>
      </c>
      <c r="K110" s="347"/>
      <c r="L110" s="190">
        <f>+I110-G110</f>
        <v>218875000</v>
      </c>
      <c r="M110" s="328">
        <v>1</v>
      </c>
      <c r="O110" s="130"/>
      <c r="Q110" s="187"/>
    </row>
    <row r="111" spans="1:17" s="131" customFormat="1">
      <c r="A111" s="239"/>
      <c r="B111" s="148"/>
      <c r="C111" s="344"/>
      <c r="D111" s="345" t="s">
        <v>623</v>
      </c>
      <c r="E111" s="343"/>
      <c r="F111" s="346"/>
      <c r="G111" s="343">
        <v>0</v>
      </c>
      <c r="H111" s="327">
        <f t="shared" si="10"/>
        <v>0</v>
      </c>
      <c r="I111" s="343">
        <v>57750000</v>
      </c>
      <c r="J111" s="327">
        <f t="shared" si="10"/>
        <v>2.3501731465363457E-3</v>
      </c>
      <c r="K111" s="347"/>
      <c r="L111" s="199">
        <f>+I111-G111</f>
        <v>57750000</v>
      </c>
      <c r="M111" s="328">
        <v>1</v>
      </c>
      <c r="O111" s="130"/>
      <c r="Q111" s="187"/>
    </row>
    <row r="112" spans="1:17" s="131" customFormat="1">
      <c r="A112" s="239"/>
      <c r="B112" s="148"/>
      <c r="C112" s="344"/>
      <c r="D112" s="345" t="s">
        <v>624</v>
      </c>
      <c r="E112" s="343"/>
      <c r="F112" s="346"/>
      <c r="G112" s="343">
        <v>0</v>
      </c>
      <c r="H112" s="327">
        <f t="shared" si="10"/>
        <v>0</v>
      </c>
      <c r="I112" s="343">
        <v>161125000</v>
      </c>
      <c r="J112" s="327">
        <f t="shared" si="10"/>
        <v>6.5570848179336578E-3</v>
      </c>
      <c r="K112" s="347"/>
      <c r="L112" s="199">
        <f>+I112-G112</f>
        <v>161125000</v>
      </c>
      <c r="M112" s="328">
        <v>1</v>
      </c>
      <c r="O112" s="130"/>
      <c r="Q112" s="187"/>
    </row>
    <row r="113" spans="1:17" s="131" customFormat="1" ht="15" thickBot="1">
      <c r="A113" s="239"/>
      <c r="B113" s="148"/>
      <c r="C113" s="353"/>
      <c r="D113" s="354"/>
      <c r="E113" s="223"/>
      <c r="F113" s="224"/>
      <c r="G113" s="223"/>
      <c r="H113" s="355"/>
      <c r="I113" s="223"/>
      <c r="J113" s="356"/>
      <c r="K113" s="225"/>
      <c r="L113" s="357"/>
      <c r="M113" s="358"/>
      <c r="O113" s="130"/>
      <c r="Q113" s="187"/>
    </row>
    <row r="114" spans="1:17" s="131" customFormat="1" ht="15" thickBot="1">
      <c r="A114" s="239"/>
      <c r="B114" s="148"/>
      <c r="C114" s="359"/>
      <c r="D114" s="1092"/>
      <c r="E114" s="1092"/>
      <c r="F114" s="1092"/>
      <c r="G114" s="1092"/>
      <c r="H114" s="1092"/>
      <c r="I114" s="1092"/>
      <c r="J114" s="1092"/>
      <c r="K114" s="1092"/>
      <c r="L114" s="1092"/>
      <c r="M114" s="1092"/>
      <c r="O114" s="130"/>
      <c r="Q114" s="187"/>
    </row>
    <row r="115" spans="1:17" s="131" customFormat="1" ht="15" thickBot="1">
      <c r="A115" s="239"/>
      <c r="B115" s="148"/>
      <c r="C115" s="361"/>
      <c r="D115" s="362" t="s">
        <v>625</v>
      </c>
      <c r="E115" s="363">
        <v>3088172557</v>
      </c>
      <c r="F115" s="364" t="e">
        <f>E115/#REF!</f>
        <v>#REF!</v>
      </c>
      <c r="G115" s="365">
        <v>3991357801</v>
      </c>
      <c r="H115" s="364"/>
      <c r="I115" s="365">
        <v>3751281582</v>
      </c>
      <c r="J115" s="366"/>
      <c r="K115" s="367"/>
      <c r="L115" s="368"/>
      <c r="M115" s="369"/>
      <c r="O115" s="130"/>
      <c r="Q115" s="187"/>
    </row>
    <row r="116" spans="1:17" s="131" customFormat="1">
      <c r="A116" s="239"/>
      <c r="B116" s="148"/>
      <c r="C116" s="370"/>
      <c r="I116" s="360"/>
      <c r="J116" s="360"/>
      <c r="M116" s="371"/>
      <c r="O116" s="130"/>
      <c r="Q116" s="257"/>
    </row>
    <row r="117" spans="1:17" s="131" customFormat="1">
      <c r="A117" s="239"/>
      <c r="B117" s="148"/>
      <c r="C117" s="370"/>
      <c r="I117" s="360"/>
      <c r="J117" s="360"/>
      <c r="M117" s="371"/>
      <c r="O117" s="130"/>
      <c r="Q117" s="257"/>
    </row>
    <row r="118" spans="1:17" s="131" customFormat="1" ht="15">
      <c r="A118" s="239"/>
      <c r="B118" s="148"/>
      <c r="C118" s="370"/>
      <c r="D118" s="372" t="s">
        <v>626</v>
      </c>
      <c r="E118" s="263"/>
      <c r="G118" s="263"/>
      <c r="H118" s="148"/>
      <c r="I118" s="179"/>
      <c r="J118" s="360"/>
      <c r="M118" s="371"/>
      <c r="O118" s="130"/>
      <c r="Q118" s="257"/>
    </row>
    <row r="119" spans="1:17" s="131" customFormat="1">
      <c r="A119" s="239"/>
      <c r="B119" s="148"/>
      <c r="C119" s="370"/>
      <c r="D119" s="238"/>
      <c r="H119" s="148"/>
      <c r="I119" s="179"/>
      <c r="J119" s="360"/>
      <c r="M119" s="371"/>
      <c r="O119" s="130"/>
      <c r="Q119" s="257"/>
    </row>
    <row r="120" spans="1:17" s="131" customFormat="1">
      <c r="A120" s="239"/>
      <c r="B120" s="148"/>
      <c r="C120" s="370"/>
      <c r="D120" s="237" t="s">
        <v>196</v>
      </c>
      <c r="E120" s="323"/>
      <c r="G120" s="373">
        <f>+G22</f>
        <v>16592321778</v>
      </c>
      <c r="H120" s="148"/>
      <c r="I120" s="373">
        <f>+I22</f>
        <v>24572657587</v>
      </c>
      <c r="J120" s="360"/>
      <c r="M120" s="371"/>
      <c r="O120" s="130"/>
      <c r="Q120" s="257"/>
    </row>
    <row r="121" spans="1:17" s="131" customFormat="1">
      <c r="A121" s="239"/>
      <c r="B121" s="148"/>
      <c r="C121" s="370"/>
      <c r="D121" s="237" t="s">
        <v>140</v>
      </c>
      <c r="E121" s="323"/>
      <c r="G121" s="373">
        <f>+G42</f>
        <v>14627696707</v>
      </c>
      <c r="H121" s="148"/>
      <c r="I121" s="373">
        <f>+I42</f>
        <v>20231887095</v>
      </c>
      <c r="J121" s="360"/>
      <c r="M121" s="371"/>
      <c r="O121" s="130"/>
      <c r="Q121" s="257"/>
    </row>
    <row r="122" spans="1:17" s="131" customFormat="1" ht="15">
      <c r="A122" s="239"/>
      <c r="B122" s="148"/>
      <c r="C122" s="370"/>
      <c r="D122" s="149" t="s">
        <v>627</v>
      </c>
      <c r="E122" s="374"/>
      <c r="G122" s="178">
        <f>G120-G121</f>
        <v>1964625071</v>
      </c>
      <c r="H122" s="148"/>
      <c r="I122" s="178">
        <f>I120-I121</f>
        <v>4340770492</v>
      </c>
      <c r="J122" s="360"/>
      <c r="M122" s="371"/>
      <c r="O122" s="130"/>
      <c r="Q122" s="257"/>
    </row>
    <row r="123" spans="1:17" s="131" customFormat="1">
      <c r="A123" s="239"/>
      <c r="B123" s="148"/>
      <c r="C123" s="370"/>
      <c r="I123" s="360"/>
      <c r="J123" s="360"/>
      <c r="M123" s="371"/>
      <c r="O123" s="130"/>
      <c r="Q123" s="257"/>
    </row>
    <row r="124" spans="1:17" s="131" customFormat="1">
      <c r="A124" s="239"/>
      <c r="B124" s="148"/>
      <c r="C124" s="370"/>
      <c r="I124" s="360"/>
      <c r="J124" s="360"/>
      <c r="M124" s="371"/>
      <c r="O124" s="130"/>
      <c r="Q124" s="257"/>
    </row>
    <row r="125" spans="1:17" ht="9.9499999999999993" customHeight="1">
      <c r="B125" s="375"/>
      <c r="C125" s="375"/>
      <c r="D125" s="375"/>
      <c r="E125" s="375"/>
      <c r="F125" s="375"/>
      <c r="G125" s="375"/>
      <c r="H125" s="375"/>
      <c r="I125" s="375"/>
      <c r="J125" s="375"/>
      <c r="K125" s="375"/>
      <c r="L125" s="375"/>
      <c r="M125" s="375"/>
      <c r="N125" s="375"/>
      <c r="O125" s="375"/>
    </row>
    <row r="126" spans="1:17">
      <c r="M126" s="238"/>
    </row>
    <row r="127" spans="1:17" ht="15">
      <c r="D127" s="149"/>
      <c r="E127" s="374"/>
      <c r="F127" s="131"/>
      <c r="G127" s="374"/>
      <c r="M127" s="238"/>
    </row>
    <row r="128" spans="1:17">
      <c r="D128" s="376"/>
      <c r="E128" s="377"/>
      <c r="F128" s="131"/>
      <c r="G128" s="377"/>
      <c r="M128" s="238"/>
    </row>
    <row r="131" spans="8:8">
      <c r="H131" s="238"/>
    </row>
    <row r="132" spans="8:8">
      <c r="H132" s="238"/>
    </row>
    <row r="133" spans="8:8">
      <c r="H133" s="238"/>
    </row>
  </sheetData>
  <mergeCells count="1">
    <mergeCell ref="D114:M114"/>
  </mergeCells>
  <phoneticPr fontId="19" type="noConversion"/>
  <printOptions horizontalCentered="1"/>
  <pageMargins left="0.59055118110236227" right="0.59055118110236227" top="0.78740157480314965" bottom="0.70866141732283472" header="0" footer="0.39370078740157483"/>
  <pageSetup paperSize="9" scale="66" orientation="landscape" horizontalDpi="4294967293" verticalDpi="300" r:id="rId1"/>
  <headerFooter alignWithMargins="0">
    <oddFooter>&amp;R&amp;A Pag. Nº &amp;P de &amp;N</oddFooter>
  </headerFooter>
  <rowBreaks count="2" manualBreakCount="2">
    <brk id="49" max="21" man="1"/>
    <brk id="87" max="21"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N59"/>
  <sheetViews>
    <sheetView showGridLines="0" topLeftCell="A28" zoomScale="70" zoomScaleNormal="70" workbookViewId="0">
      <selection activeCell="G38" sqref="G38"/>
    </sheetView>
  </sheetViews>
  <sheetFormatPr baseColWidth="10" defaultColWidth="11.42578125" defaultRowHeight="15"/>
  <cols>
    <col min="1" max="1" width="4.140625" style="656" customWidth="1"/>
    <col min="2" max="2" width="61.7109375" style="656" bestFit="1" customWidth="1"/>
    <col min="3" max="3" width="16" style="656" customWidth="1"/>
    <col min="4" max="4" width="17.28515625" style="672" bestFit="1" customWidth="1"/>
    <col min="5" max="5" width="21.140625" style="682" bestFit="1" customWidth="1"/>
    <col min="6" max="6" width="24.42578125" style="672" bestFit="1" customWidth="1"/>
    <col min="7" max="7" width="22" style="672" bestFit="1" customWidth="1"/>
    <col min="8" max="8" width="21.28515625" style="672" bestFit="1" customWidth="1"/>
    <col min="9" max="9" width="19.28515625" style="656" customWidth="1"/>
    <col min="10" max="10" width="4.140625" style="656" customWidth="1"/>
    <col min="11" max="11" width="22.28515625" style="656" bestFit="1" customWidth="1"/>
    <col min="12" max="13" width="17.7109375" style="656" bestFit="1" customWidth="1"/>
    <col min="14" max="14" width="13.85546875" style="656" bestFit="1" customWidth="1"/>
    <col min="15" max="16384" width="11.42578125" style="656"/>
  </cols>
  <sheetData>
    <row r="9" spans="2:9" ht="18">
      <c r="B9" s="1144" t="s">
        <v>1043</v>
      </c>
      <c r="C9" s="1144"/>
      <c r="D9" s="1144"/>
      <c r="E9" s="1144"/>
      <c r="F9" s="1144"/>
      <c r="G9" s="1144"/>
      <c r="H9" s="1144"/>
      <c r="I9" s="1144"/>
    </row>
    <row r="10" spans="2:9" ht="18">
      <c r="B10" s="1145"/>
      <c r="C10" s="1145"/>
      <c r="D10" s="1145"/>
      <c r="E10" s="1145"/>
      <c r="F10" s="1145"/>
      <c r="G10" s="1145"/>
      <c r="H10" s="1145"/>
      <c r="I10" s="1145"/>
    </row>
    <row r="11" spans="2:9" ht="18">
      <c r="B11" s="1145" t="s">
        <v>327</v>
      </c>
      <c r="C11" s="1145"/>
      <c r="D11" s="1145"/>
      <c r="E11" s="1145"/>
      <c r="F11" s="1145"/>
      <c r="G11" s="1145"/>
      <c r="H11" s="1145"/>
      <c r="I11" s="1145"/>
    </row>
    <row r="12" spans="2:9" ht="15.75" thickBot="1">
      <c r="B12" s="657"/>
      <c r="C12" s="1146"/>
      <c r="D12" s="1146"/>
      <c r="E12" s="1146"/>
      <c r="F12" s="1146"/>
      <c r="G12" s="1147"/>
      <c r="H12" s="1147"/>
      <c r="I12" s="1147"/>
    </row>
    <row r="13" spans="2:9" ht="52.5" customHeight="1">
      <c r="B13" s="1153" t="s">
        <v>326</v>
      </c>
      <c r="C13" s="998" t="s">
        <v>329</v>
      </c>
      <c r="D13" s="998" t="s">
        <v>329</v>
      </c>
      <c r="E13" s="1148" t="s">
        <v>1164</v>
      </c>
      <c r="F13" s="999" t="s">
        <v>822</v>
      </c>
      <c r="G13" s="1001" t="s">
        <v>329</v>
      </c>
      <c r="H13" s="1148" t="s">
        <v>1166</v>
      </c>
      <c r="I13" s="1002" t="s">
        <v>1167</v>
      </c>
    </row>
    <row r="14" spans="2:9">
      <c r="B14" s="1154"/>
      <c r="C14" s="1151" t="s">
        <v>231</v>
      </c>
      <c r="D14" s="1151" t="s">
        <v>330</v>
      </c>
      <c r="E14" s="1149"/>
      <c r="F14" s="1046" t="s">
        <v>1165</v>
      </c>
      <c r="G14" s="1156" t="s">
        <v>330</v>
      </c>
      <c r="H14" s="1149"/>
      <c r="I14" s="1003" t="s">
        <v>1165</v>
      </c>
    </row>
    <row r="15" spans="2:9" ht="15.75" thickBot="1">
      <c r="B15" s="1155"/>
      <c r="C15" s="1152"/>
      <c r="D15" s="1152"/>
      <c r="E15" s="1150"/>
      <c r="F15" s="1000">
        <v>44196</v>
      </c>
      <c r="G15" s="1157"/>
      <c r="H15" s="1150"/>
      <c r="I15" s="1004">
        <v>43830</v>
      </c>
    </row>
    <row r="16" spans="2:9" ht="24.75" customHeight="1">
      <c r="B16" s="1047" t="s">
        <v>331</v>
      </c>
      <c r="C16" s="1048"/>
      <c r="D16" s="1049"/>
      <c r="E16" s="1049"/>
      <c r="F16" s="1050"/>
      <c r="G16" s="1050"/>
      <c r="H16" s="1050"/>
      <c r="I16" s="1051"/>
    </row>
    <row r="17" spans="2:11" ht="24.75" customHeight="1">
      <c r="B17" s="663" t="s">
        <v>671</v>
      </c>
      <c r="C17" s="659"/>
      <c r="D17" s="660"/>
      <c r="E17" s="660"/>
      <c r="F17" s="661"/>
      <c r="G17" s="661"/>
      <c r="H17" s="661"/>
      <c r="I17" s="662"/>
    </row>
    <row r="18" spans="2:11" ht="24.75" customHeight="1">
      <c r="B18" s="663" t="s">
        <v>783</v>
      </c>
      <c r="C18" s="659"/>
      <c r="D18" s="660"/>
      <c r="E18" s="660"/>
      <c r="F18" s="661"/>
      <c r="G18" s="661"/>
      <c r="H18" s="661"/>
      <c r="I18" s="662"/>
    </row>
    <row r="19" spans="2:11" ht="24.75" customHeight="1">
      <c r="B19" s="664" t="s">
        <v>783</v>
      </c>
      <c r="C19" s="665" t="s">
        <v>998</v>
      </c>
      <c r="D19" s="660">
        <v>0</v>
      </c>
      <c r="E19" s="660">
        <v>6891.96</v>
      </c>
      <c r="F19" s="661">
        <v>0</v>
      </c>
      <c r="G19" s="660">
        <v>0</v>
      </c>
      <c r="H19" s="660">
        <v>6442.33</v>
      </c>
      <c r="I19" s="662">
        <v>0</v>
      </c>
    </row>
    <row r="20" spans="2:11" s="670" customFormat="1" ht="24.75" customHeight="1">
      <c r="B20" s="663" t="s">
        <v>681</v>
      </c>
      <c r="C20" s="666"/>
      <c r="D20" s="667">
        <f>SUM(D21:D33)</f>
        <v>1305172</v>
      </c>
      <c r="E20" s="667"/>
      <c r="F20" s="668">
        <f>SUM(F21:F33)</f>
        <v>9084322240.2667999</v>
      </c>
      <c r="G20" s="667">
        <f>SUM(G21:G33)</f>
        <v>1790178.7399999981</v>
      </c>
      <c r="H20" s="668"/>
      <c r="I20" s="669">
        <f>SUM(I21:I33)</f>
        <v>11532922202.064186</v>
      </c>
    </row>
    <row r="21" spans="2:11" ht="24.75" customHeight="1">
      <c r="B21" s="671" t="s">
        <v>784</v>
      </c>
      <c r="C21" s="665" t="s">
        <v>998</v>
      </c>
      <c r="D21" s="660">
        <v>0</v>
      </c>
      <c r="E21" s="660">
        <v>6891.96</v>
      </c>
      <c r="F21" s="502">
        <v>0</v>
      </c>
      <c r="G21" s="660">
        <v>410541.43</v>
      </c>
      <c r="H21" s="660">
        <v>6442.33</v>
      </c>
      <c r="I21" s="522">
        <v>2644843370.7318997</v>
      </c>
      <c r="K21" s="672"/>
    </row>
    <row r="22" spans="2:11" ht="24.75" customHeight="1">
      <c r="B22" s="671" t="s">
        <v>1029</v>
      </c>
      <c r="C22" s="665" t="s">
        <v>998</v>
      </c>
      <c r="D22" s="660">
        <v>0</v>
      </c>
      <c r="E22" s="660">
        <v>6891.96</v>
      </c>
      <c r="F22" s="502">
        <v>0</v>
      </c>
      <c r="G22" s="660">
        <v>7956.17</v>
      </c>
      <c r="H22" s="660">
        <v>6442.33</v>
      </c>
      <c r="I22" s="522">
        <v>51256272.676100001</v>
      </c>
      <c r="K22" s="672"/>
    </row>
    <row r="23" spans="2:11" ht="24.75" customHeight="1">
      <c r="B23" s="671" t="s">
        <v>785</v>
      </c>
      <c r="C23" s="665" t="s">
        <v>998</v>
      </c>
      <c r="D23" s="660">
        <v>0</v>
      </c>
      <c r="E23" s="660">
        <v>6891.96</v>
      </c>
      <c r="F23" s="502">
        <v>0</v>
      </c>
      <c r="G23" s="660">
        <v>57949.36</v>
      </c>
      <c r="H23" s="660">
        <v>6442.33</v>
      </c>
      <c r="I23" s="522">
        <v>373328900.40880001</v>
      </c>
    </row>
    <row r="24" spans="2:11" ht="24.75" customHeight="1">
      <c r="B24" s="671" t="s">
        <v>1180</v>
      </c>
      <c r="C24" s="665" t="s">
        <v>998</v>
      </c>
      <c r="D24" s="660">
        <v>13893.94</v>
      </c>
      <c r="E24" s="660">
        <v>6891.96</v>
      </c>
      <c r="F24" s="502">
        <v>95756478.72240001</v>
      </c>
      <c r="G24" s="660">
        <v>10469.139999998082</v>
      </c>
      <c r="H24" s="660">
        <v>6442.33</v>
      </c>
      <c r="I24" s="522">
        <v>67445654.696187645</v>
      </c>
    </row>
    <row r="25" spans="2:11" ht="24.75" customHeight="1">
      <c r="B25" s="671" t="s">
        <v>1034</v>
      </c>
      <c r="C25" s="665" t="s">
        <v>998</v>
      </c>
      <c r="D25" s="660">
        <v>0</v>
      </c>
      <c r="E25" s="660">
        <v>6891.96</v>
      </c>
      <c r="F25" s="502">
        <v>0</v>
      </c>
      <c r="G25" s="660">
        <v>156.19999999999999</v>
      </c>
      <c r="H25" s="660">
        <v>6442.33</v>
      </c>
      <c r="I25" s="522">
        <v>1006291.9459999999</v>
      </c>
    </row>
    <row r="26" spans="2:11" ht="24.75" customHeight="1">
      <c r="B26" s="671" t="s">
        <v>1181</v>
      </c>
      <c r="C26" s="665" t="s">
        <v>998</v>
      </c>
      <c r="D26" s="660">
        <v>0</v>
      </c>
      <c r="E26" s="660">
        <v>6891.96</v>
      </c>
      <c r="F26" s="502">
        <v>0</v>
      </c>
      <c r="G26" s="660">
        <v>24759.05</v>
      </c>
      <c r="H26" s="660">
        <v>6442.33</v>
      </c>
      <c r="I26" s="522">
        <v>159505970.58649999</v>
      </c>
    </row>
    <row r="27" spans="2:11" ht="24.75" customHeight="1">
      <c r="B27" s="671" t="s">
        <v>1048</v>
      </c>
      <c r="C27" s="665" t="s">
        <v>998</v>
      </c>
      <c r="D27" s="660">
        <v>373411.07</v>
      </c>
      <c r="E27" s="660">
        <v>6891.96</v>
      </c>
      <c r="F27" s="502">
        <v>2573534157.9972</v>
      </c>
      <c r="G27" s="660">
        <v>665983.62</v>
      </c>
      <c r="H27" s="660">
        <v>6442.33</v>
      </c>
      <c r="I27" s="522">
        <v>4290486254.6345997</v>
      </c>
    </row>
    <row r="28" spans="2:11" ht="24.75" customHeight="1">
      <c r="B28" s="671" t="s">
        <v>1182</v>
      </c>
      <c r="C28" s="665" t="s">
        <v>998</v>
      </c>
      <c r="D28" s="660">
        <v>184353.42</v>
      </c>
      <c r="E28" s="660">
        <v>6891.96</v>
      </c>
      <c r="F28" s="502">
        <v>1270556396.5032001</v>
      </c>
      <c r="G28" s="660">
        <v>612363.77</v>
      </c>
      <c r="H28" s="660">
        <v>6442.33</v>
      </c>
      <c r="I28" s="522">
        <v>3945049486.3841</v>
      </c>
    </row>
    <row r="29" spans="2:11" ht="24.75" customHeight="1">
      <c r="B29" s="671" t="s">
        <v>1183</v>
      </c>
      <c r="C29" s="665" t="s">
        <v>998</v>
      </c>
      <c r="D29" s="660">
        <v>361094.67</v>
      </c>
      <c r="E29" s="660">
        <v>6891.96</v>
      </c>
      <c r="F29" s="502">
        <v>2577779045</v>
      </c>
      <c r="G29" s="660">
        <v>0</v>
      </c>
      <c r="H29" s="660">
        <v>6442.33</v>
      </c>
      <c r="I29" s="522">
        <f t="shared" ref="I29:I33" si="0">+G29*H29</f>
        <v>0</v>
      </c>
    </row>
    <row r="30" spans="2:11" ht="24.75" customHeight="1">
      <c r="B30" s="671" t="s">
        <v>1184</v>
      </c>
      <c r="C30" s="665" t="s">
        <v>998</v>
      </c>
      <c r="D30" s="660">
        <v>0</v>
      </c>
      <c r="E30" s="660">
        <v>6891.96</v>
      </c>
      <c r="F30" s="502">
        <v>0</v>
      </c>
      <c r="G30" s="660">
        <v>0</v>
      </c>
      <c r="H30" s="660">
        <v>6442.33</v>
      </c>
      <c r="I30" s="522">
        <f t="shared" si="0"/>
        <v>0</v>
      </c>
    </row>
    <row r="31" spans="2:11" ht="24.75" customHeight="1">
      <c r="B31" s="671" t="s">
        <v>1185</v>
      </c>
      <c r="C31" s="665" t="s">
        <v>998</v>
      </c>
      <c r="D31" s="660">
        <v>77192.649999999994</v>
      </c>
      <c r="E31" s="660">
        <v>6891.96</v>
      </c>
      <c r="F31" s="502">
        <v>532008656.09399998</v>
      </c>
      <c r="G31" s="660">
        <v>0</v>
      </c>
      <c r="H31" s="660">
        <v>6442.33</v>
      </c>
      <c r="I31" s="522">
        <f t="shared" si="0"/>
        <v>0</v>
      </c>
    </row>
    <row r="32" spans="2:11" ht="24.75" customHeight="1">
      <c r="B32" s="671" t="s">
        <v>1216</v>
      </c>
      <c r="C32" s="665" t="s">
        <v>998</v>
      </c>
      <c r="D32" s="660">
        <v>30000</v>
      </c>
      <c r="E32" s="660">
        <v>6891.96</v>
      </c>
      <c r="F32" s="502">
        <v>206758800</v>
      </c>
      <c r="G32" s="660">
        <v>0</v>
      </c>
      <c r="H32" s="660">
        <v>0</v>
      </c>
      <c r="I32" s="522">
        <f t="shared" si="0"/>
        <v>0</v>
      </c>
    </row>
    <row r="33" spans="2:14" ht="24.75" customHeight="1">
      <c r="B33" s="671" t="s">
        <v>1217</v>
      </c>
      <c r="C33" s="665" t="s">
        <v>998</v>
      </c>
      <c r="D33" s="660">
        <v>265226.25</v>
      </c>
      <c r="E33" s="660">
        <v>6891.96</v>
      </c>
      <c r="F33" s="502">
        <v>1827928705.95</v>
      </c>
      <c r="G33" s="660">
        <v>0</v>
      </c>
      <c r="H33" s="660">
        <v>0</v>
      </c>
      <c r="I33" s="522">
        <f t="shared" si="0"/>
        <v>0</v>
      </c>
    </row>
    <row r="34" spans="2:14" ht="24.75" customHeight="1">
      <c r="B34" s="671"/>
      <c r="C34" s="665"/>
      <c r="D34" s="660"/>
      <c r="E34" s="660"/>
      <c r="F34" s="502"/>
      <c r="G34" s="660"/>
      <c r="H34" s="660"/>
      <c r="I34" s="522"/>
    </row>
    <row r="35" spans="2:14" ht="24.75" customHeight="1">
      <c r="B35" s="673" t="s">
        <v>786</v>
      </c>
      <c r="C35" s="665"/>
      <c r="D35" s="660"/>
      <c r="E35" s="1016"/>
      <c r="F35" s="502"/>
      <c r="G35" s="660"/>
      <c r="H35" s="515"/>
      <c r="I35" s="522"/>
      <c r="K35" s="674"/>
    </row>
    <row r="36" spans="2:14" ht="24.75" customHeight="1">
      <c r="B36" s="673"/>
      <c r="C36" s="665"/>
      <c r="D36" s="660"/>
      <c r="E36" s="1016"/>
      <c r="F36" s="502"/>
      <c r="G36" s="660"/>
      <c r="H36" s="515"/>
      <c r="I36" s="522"/>
    </row>
    <row r="37" spans="2:14" s="670" customFormat="1" ht="24.75" customHeight="1">
      <c r="B37" s="673" t="s">
        <v>787</v>
      </c>
      <c r="C37" s="675"/>
      <c r="D37" s="667">
        <f>+D39+D38</f>
        <v>31491.870000000003</v>
      </c>
      <c r="E37" s="1017"/>
      <c r="F37" s="668">
        <f>+F39+F38</f>
        <v>217040708.36520001</v>
      </c>
      <c r="G37" s="667">
        <f>+G39+G38</f>
        <v>7050.47</v>
      </c>
      <c r="H37" s="676"/>
      <c r="I37" s="669">
        <f>+I39+I38</f>
        <v>45421454.395099998</v>
      </c>
    </row>
    <row r="38" spans="2:14" ht="24.75" customHeight="1">
      <c r="B38" s="671" t="s">
        <v>788</v>
      </c>
      <c r="C38" s="665" t="s">
        <v>998</v>
      </c>
      <c r="D38" s="660">
        <v>28291.870000000003</v>
      </c>
      <c r="E38" s="660">
        <v>6891.96</v>
      </c>
      <c r="F38" s="502">
        <v>194986436.36520001</v>
      </c>
      <c r="G38" s="660">
        <v>3850.4700000000003</v>
      </c>
      <c r="H38" s="660">
        <v>6442.33</v>
      </c>
      <c r="I38" s="522">
        <v>24805998.395100001</v>
      </c>
    </row>
    <row r="39" spans="2:14" ht="24.75" customHeight="1">
      <c r="B39" s="671" t="s">
        <v>683</v>
      </c>
      <c r="C39" s="665" t="s">
        <v>998</v>
      </c>
      <c r="D39" s="677">
        <v>3200</v>
      </c>
      <c r="E39" s="660">
        <v>6891.96</v>
      </c>
      <c r="F39" s="502">
        <v>22054272</v>
      </c>
      <c r="G39" s="677">
        <v>3200</v>
      </c>
      <c r="H39" s="660">
        <v>6442.33</v>
      </c>
      <c r="I39" s="522">
        <v>20615456</v>
      </c>
    </row>
    <row r="40" spans="2:14" ht="24.75" customHeight="1">
      <c r="B40" s="673" t="s">
        <v>789</v>
      </c>
      <c r="C40" s="665"/>
      <c r="D40" s="660"/>
      <c r="E40" s="1018"/>
      <c r="F40" s="502"/>
      <c r="G40" s="660"/>
      <c r="H40" s="515"/>
      <c r="I40" s="522"/>
    </row>
    <row r="41" spans="2:14" ht="24.75" customHeight="1">
      <c r="B41" s="671" t="s">
        <v>788</v>
      </c>
      <c r="C41" s="665" t="s">
        <v>998</v>
      </c>
      <c r="D41" s="660"/>
      <c r="E41" s="660">
        <v>0</v>
      </c>
      <c r="F41" s="502"/>
      <c r="G41" s="660"/>
      <c r="H41" s="515"/>
      <c r="I41" s="522"/>
    </row>
    <row r="42" spans="2:14" s="670" customFormat="1" ht="24.75" customHeight="1">
      <c r="B42" s="678" t="s">
        <v>333</v>
      </c>
      <c r="C42" s="666"/>
      <c r="D42" s="667">
        <f>+D20+D37</f>
        <v>1336663.8700000001</v>
      </c>
      <c r="E42" s="667"/>
      <c r="F42" s="668">
        <f>+F20+F37</f>
        <v>9301362948.632</v>
      </c>
      <c r="G42" s="667">
        <f>+G20+G37</f>
        <v>1797229.2099999981</v>
      </c>
      <c r="H42" s="668"/>
      <c r="I42" s="669">
        <f>+I20+I37</f>
        <v>11578343656.459286</v>
      </c>
    </row>
    <row r="43" spans="2:14" ht="24.75" customHeight="1">
      <c r="B43" s="658" t="s">
        <v>93</v>
      </c>
      <c r="C43" s="659"/>
      <c r="D43" s="660"/>
      <c r="E43" s="660"/>
      <c r="F43" s="661"/>
      <c r="G43" s="661"/>
      <c r="H43" s="661"/>
      <c r="I43" s="662"/>
    </row>
    <row r="44" spans="2:14" s="670" customFormat="1" ht="24.75" customHeight="1">
      <c r="B44" s="673" t="s">
        <v>334</v>
      </c>
      <c r="C44" s="666"/>
      <c r="D44" s="667">
        <f>SUM(D45:D47)</f>
        <v>1330693.1100000003</v>
      </c>
      <c r="E44" s="667"/>
      <c r="F44" s="668">
        <f>SUM(F45:F47)</f>
        <v>9237205827.0315018</v>
      </c>
      <c r="G44" s="667">
        <f>SUM(G45:G47)</f>
        <v>1726151.1099999996</v>
      </c>
      <c r="H44" s="668"/>
      <c r="I44" s="669">
        <f>SUM(I45:I47)</f>
        <v>11157754467.484497</v>
      </c>
    </row>
    <row r="45" spans="2:14" ht="24.75" customHeight="1">
      <c r="B45" s="671" t="s">
        <v>790</v>
      </c>
      <c r="C45" s="665" t="s">
        <v>998</v>
      </c>
      <c r="D45" s="680">
        <v>1328368.5600000003</v>
      </c>
      <c r="E45" s="660">
        <v>6941.65</v>
      </c>
      <c r="F45" s="681">
        <v>9221069614.5240021</v>
      </c>
      <c r="G45" s="679">
        <v>1706309.0099999995</v>
      </c>
      <c r="H45" s="680">
        <v>6463.95</v>
      </c>
      <c r="I45" s="522">
        <v>11029496125.189497</v>
      </c>
      <c r="K45" s="672"/>
      <c r="L45" s="672"/>
      <c r="M45" s="672"/>
      <c r="N45" s="672"/>
    </row>
    <row r="46" spans="2:14" ht="24.75" customHeight="1">
      <c r="B46" s="671" t="s">
        <v>791</v>
      </c>
      <c r="C46" s="665" t="s">
        <v>998</v>
      </c>
      <c r="D46" s="680">
        <v>2324.5500000000002</v>
      </c>
      <c r="E46" s="660">
        <v>6941.65</v>
      </c>
      <c r="F46" s="681">
        <v>16136212.5075</v>
      </c>
      <c r="G46" s="680">
        <v>19842.099999999999</v>
      </c>
      <c r="H46" s="680">
        <v>6463.95</v>
      </c>
      <c r="I46" s="522">
        <v>128258342.29499999</v>
      </c>
      <c r="L46" s="682"/>
    </row>
    <row r="47" spans="2:14" ht="24.75" customHeight="1">
      <c r="B47" s="671" t="s">
        <v>792</v>
      </c>
      <c r="C47" s="665" t="s">
        <v>998</v>
      </c>
      <c r="D47" s="679">
        <v>0</v>
      </c>
      <c r="E47" s="680">
        <v>0</v>
      </c>
      <c r="F47" s="681">
        <f>+E47*D47</f>
        <v>0</v>
      </c>
      <c r="G47" s="679">
        <v>0</v>
      </c>
      <c r="H47" s="680">
        <v>0</v>
      </c>
      <c r="I47" s="522">
        <f>+G47*H47</f>
        <v>0</v>
      </c>
      <c r="L47" s="682"/>
    </row>
    <row r="48" spans="2:14" ht="24.75" customHeight="1">
      <c r="B48" s="673" t="s">
        <v>672</v>
      </c>
      <c r="C48" s="659"/>
      <c r="D48" s="660"/>
      <c r="E48" s="660"/>
      <c r="F48" s="661"/>
      <c r="G48" s="661"/>
      <c r="H48" s="661"/>
      <c r="I48" s="662"/>
      <c r="L48" s="682"/>
    </row>
    <row r="49" spans="2:9" ht="24.75" customHeight="1">
      <c r="B49" s="671" t="s">
        <v>793</v>
      </c>
      <c r="C49" s="665" t="s">
        <v>998</v>
      </c>
      <c r="D49" s="679">
        <v>0</v>
      </c>
      <c r="E49" s="660">
        <v>6941.65</v>
      </c>
      <c r="F49" s="661">
        <v>0</v>
      </c>
      <c r="G49" s="661">
        <v>0</v>
      </c>
      <c r="H49" s="680">
        <v>6463.95</v>
      </c>
      <c r="I49" s="662">
        <v>0</v>
      </c>
    </row>
    <row r="50" spans="2:9" ht="24.75" customHeight="1" thickBot="1">
      <c r="B50" s="683" t="s">
        <v>335</v>
      </c>
      <c r="C50" s="684"/>
      <c r="D50" s="685">
        <f>SUM(D45:D49)</f>
        <v>1330693.1100000003</v>
      </c>
      <c r="E50" s="685"/>
      <c r="F50" s="686">
        <f>SUM(F45:F49)</f>
        <v>9237205827.0315018</v>
      </c>
      <c r="G50" s="685">
        <f>SUM(G45:G49)</f>
        <v>1726151.1099999996</v>
      </c>
      <c r="H50" s="686"/>
      <c r="I50" s="687">
        <f>SUM(I45:I49)</f>
        <v>11157754467.484497</v>
      </c>
    </row>
    <row r="57" spans="2:9">
      <c r="B57" s="1094" t="s">
        <v>944</v>
      </c>
      <c r="C57" s="1094"/>
      <c r="D57" s="1094"/>
      <c r="E57" s="1094"/>
      <c r="F57" s="1094"/>
      <c r="G57" s="1094"/>
      <c r="H57" s="1094"/>
      <c r="I57" s="1094"/>
    </row>
    <row r="58" spans="2:9">
      <c r="B58" s="1094" t="s">
        <v>237</v>
      </c>
      <c r="C58" s="1094"/>
      <c r="D58" s="1094"/>
      <c r="E58" s="1094"/>
      <c r="F58" s="1094"/>
      <c r="G58" s="1094"/>
      <c r="H58" s="1094"/>
      <c r="I58" s="1094"/>
    </row>
    <row r="59" spans="2:9">
      <c r="B59" s="1094" t="s">
        <v>1149</v>
      </c>
      <c r="C59" s="1094"/>
      <c r="D59" s="1094"/>
      <c r="E59" s="1094"/>
      <c r="F59" s="1094"/>
      <c r="G59" s="1094"/>
      <c r="H59" s="1094"/>
      <c r="I59" s="1094"/>
    </row>
  </sheetData>
  <mergeCells count="14">
    <mergeCell ref="B57:I57"/>
    <mergeCell ref="B58:I58"/>
    <mergeCell ref="B59:I59"/>
    <mergeCell ref="E13:E15"/>
    <mergeCell ref="H13:H15"/>
    <mergeCell ref="C14:C15"/>
    <mergeCell ref="D14:D15"/>
    <mergeCell ref="B13:B15"/>
    <mergeCell ref="G14:G15"/>
    <mergeCell ref="B9:I9"/>
    <mergeCell ref="B10:I10"/>
    <mergeCell ref="B11:I11"/>
    <mergeCell ref="C12:F12"/>
    <mergeCell ref="G12:I12"/>
  </mergeCells>
  <pageMargins left="0.7" right="0.7" top="0.75" bottom="0.75" header="0.3" footer="0.3"/>
  <pageSetup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2"/>
  <sheetViews>
    <sheetView workbookViewId="0">
      <selection activeCell="G10" sqref="G10:I20"/>
    </sheetView>
  </sheetViews>
  <sheetFormatPr baseColWidth="10" defaultRowHeight="12.75"/>
  <cols>
    <col min="1" max="1" width="42.5703125" style="441" customWidth="1"/>
    <col min="2" max="2" width="16.5703125" style="441" bestFit="1" customWidth="1"/>
    <col min="3" max="3" width="18.5703125" style="441" bestFit="1" customWidth="1"/>
    <col min="4" max="4" width="16.5703125" style="441" bestFit="1" customWidth="1"/>
    <col min="5" max="5" width="19.5703125" style="441" bestFit="1" customWidth="1"/>
    <col min="6" max="6" width="11.85546875" style="441" bestFit="1" customWidth="1"/>
    <col min="7" max="7" width="15" style="441" bestFit="1" customWidth="1"/>
    <col min="8" max="8" width="13.42578125" style="441" bestFit="1" customWidth="1"/>
    <col min="9" max="9" width="11.7109375" style="441" bestFit="1" customWidth="1"/>
    <col min="10" max="16384" width="11.42578125" style="441"/>
  </cols>
  <sheetData>
    <row r="1" spans="1:9">
      <c r="A1" s="636"/>
      <c r="B1" s="636"/>
      <c r="C1" s="636"/>
      <c r="D1" s="636"/>
      <c r="E1" s="636"/>
    </row>
    <row r="2" spans="1:9">
      <c r="A2" s="636"/>
      <c r="B2" s="636"/>
      <c r="C2" s="636"/>
      <c r="D2" s="636"/>
      <c r="E2" s="636"/>
    </row>
    <row r="3" spans="1:9">
      <c r="A3" s="636"/>
      <c r="B3" s="636"/>
      <c r="C3" s="636"/>
      <c r="D3" s="636"/>
      <c r="E3" s="636"/>
    </row>
    <row r="4" spans="1:9">
      <c r="A4" s="636"/>
      <c r="B4" s="636"/>
      <c r="C4" s="636"/>
      <c r="D4" s="636"/>
      <c r="E4" s="636"/>
    </row>
    <row r="5" spans="1:9" s="597" customFormat="1">
      <c r="A5" s="636"/>
      <c r="B5" s="636"/>
      <c r="C5" s="636"/>
      <c r="D5" s="636"/>
      <c r="E5" s="636"/>
    </row>
    <row r="6" spans="1:9" s="1020" customFormat="1" ht="18">
      <c r="A6" s="1158" t="s">
        <v>1044</v>
      </c>
      <c r="B6" s="1158"/>
      <c r="C6" s="1158"/>
      <c r="D6" s="1158"/>
      <c r="E6" s="1158"/>
      <c r="F6" s="1019"/>
      <c r="G6" s="1019"/>
      <c r="H6" s="1019"/>
      <c r="I6" s="1019"/>
    </row>
    <row r="7" spans="1:9" s="1020" customFormat="1" ht="18">
      <c r="A7" s="1008"/>
      <c r="B7" s="1008"/>
      <c r="C7" s="1008"/>
      <c r="D7" s="1008"/>
      <c r="E7" s="1008"/>
      <c r="F7" s="1019"/>
      <c r="G7" s="1019"/>
      <c r="H7" s="1019"/>
      <c r="I7" s="1019"/>
    </row>
    <row r="8" spans="1:9" s="597" customFormat="1">
      <c r="A8" s="636"/>
      <c r="B8" s="636"/>
      <c r="C8" s="688">
        <v>44196</v>
      </c>
      <c r="D8" s="688"/>
      <c r="E8" s="688">
        <v>43830</v>
      </c>
    </row>
    <row r="9" spans="1:9" s="691" customFormat="1" ht="38.25">
      <c r="A9" s="689" t="s">
        <v>794</v>
      </c>
      <c r="B9" s="690" t="s">
        <v>795</v>
      </c>
      <c r="C9" s="690" t="s">
        <v>796</v>
      </c>
      <c r="D9" s="690" t="s">
        <v>797</v>
      </c>
      <c r="E9" s="690" t="s">
        <v>798</v>
      </c>
    </row>
    <row r="10" spans="1:9" ht="25.5">
      <c r="A10" s="692" t="s">
        <v>799</v>
      </c>
      <c r="B10" s="693">
        <v>6891.96</v>
      </c>
      <c r="C10" s="694">
        <v>1120903961</v>
      </c>
      <c r="D10" s="695">
        <v>6442.33</v>
      </c>
      <c r="E10" s="694">
        <v>1045110887</v>
      </c>
      <c r="G10" s="469"/>
      <c r="H10" s="469"/>
      <c r="I10" s="469"/>
    </row>
    <row r="11" spans="1:9" ht="25.5">
      <c r="A11" s="692" t="s">
        <v>800</v>
      </c>
      <c r="B11" s="693">
        <v>6941.65</v>
      </c>
      <c r="C11" s="694">
        <v>674880463</v>
      </c>
      <c r="D11" s="695">
        <v>6463.95</v>
      </c>
      <c r="E11" s="694">
        <v>559057631</v>
      </c>
      <c r="G11" s="469"/>
      <c r="H11" s="469"/>
      <c r="I11" s="469"/>
    </row>
    <row r="12" spans="1:9" ht="25.5">
      <c r="A12" s="692" t="s">
        <v>801</v>
      </c>
      <c r="B12" s="693">
        <v>6891.96</v>
      </c>
      <c r="C12" s="694">
        <v>532135721</v>
      </c>
      <c r="D12" s="695">
        <v>6442.33</v>
      </c>
      <c r="E12" s="694">
        <v>423945871</v>
      </c>
      <c r="F12" s="469"/>
      <c r="G12" s="469"/>
      <c r="I12" s="469"/>
    </row>
    <row r="13" spans="1:9" ht="25.5">
      <c r="A13" s="692" t="s">
        <v>802</v>
      </c>
      <c r="B13" s="693">
        <v>6941.65</v>
      </c>
      <c r="C13" s="694">
        <v>1055690696</v>
      </c>
      <c r="D13" s="695">
        <v>6463.95</v>
      </c>
      <c r="E13" s="694">
        <v>1195401460</v>
      </c>
      <c r="G13" s="469"/>
    </row>
    <row r="14" spans="1:9" s="691" customFormat="1">
      <c r="A14" s="696" t="s">
        <v>803</v>
      </c>
      <c r="B14" s="696"/>
      <c r="C14" s="697">
        <f>+C10+C11-C12-C13</f>
        <v>207958007</v>
      </c>
      <c r="D14" s="698"/>
      <c r="E14" s="697">
        <f>+E10+E11-E12-E13</f>
        <v>-15178813</v>
      </c>
      <c r="G14" s="469"/>
    </row>
    <row r="15" spans="1:9">
      <c r="G15" s="469"/>
    </row>
    <row r="18" spans="1:8">
      <c r="G18" s="469"/>
    </row>
    <row r="19" spans="1:8">
      <c r="D19" s="469"/>
      <c r="E19" s="469"/>
      <c r="G19" s="469"/>
    </row>
    <row r="20" spans="1:8">
      <c r="A20" s="1094" t="s">
        <v>944</v>
      </c>
      <c r="B20" s="1094"/>
      <c r="C20" s="1094"/>
      <c r="D20" s="1094"/>
      <c r="E20" s="1094"/>
      <c r="F20" s="921"/>
      <c r="G20" s="921"/>
      <c r="H20" s="921"/>
    </row>
    <row r="21" spans="1:8">
      <c r="A21" s="1094" t="s">
        <v>237</v>
      </c>
      <c r="B21" s="1094"/>
      <c r="C21" s="1094"/>
      <c r="D21" s="1094"/>
      <c r="E21" s="1094"/>
      <c r="F21" s="921"/>
      <c r="G21" s="921"/>
      <c r="H21" s="921"/>
    </row>
    <row r="22" spans="1:8">
      <c r="A22" s="1094" t="s">
        <v>1149</v>
      </c>
      <c r="B22" s="1094"/>
      <c r="C22" s="1094"/>
      <c r="D22" s="1094"/>
      <c r="E22" s="1094"/>
      <c r="F22" s="921"/>
      <c r="G22" s="921"/>
      <c r="H22" s="921"/>
    </row>
  </sheetData>
  <mergeCells count="4">
    <mergeCell ref="A6:E6"/>
    <mergeCell ref="A20:E20"/>
    <mergeCell ref="A22:E22"/>
    <mergeCell ref="A21:E2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41"/>
  <sheetViews>
    <sheetView topLeftCell="A16" workbookViewId="0">
      <selection activeCell="A7" sqref="A7:D32"/>
    </sheetView>
  </sheetViews>
  <sheetFormatPr baseColWidth="10" defaultRowHeight="12.75"/>
  <cols>
    <col min="1" max="1" width="41" style="441" customWidth="1"/>
    <col min="2" max="2" width="15" style="441" bestFit="1" customWidth="1"/>
    <col min="3" max="3" width="17.7109375" style="441" bestFit="1" customWidth="1"/>
    <col min="4" max="4" width="21" style="441" bestFit="1" customWidth="1"/>
    <col min="5" max="5" width="11.42578125" style="441"/>
    <col min="6" max="6" width="15.5703125" style="596" bestFit="1" customWidth="1"/>
    <col min="7" max="7" width="13.7109375" style="469" bestFit="1" customWidth="1"/>
    <col min="8" max="8" width="15.140625" style="441" bestFit="1" customWidth="1"/>
    <col min="9" max="16384" width="11.42578125" style="441"/>
  </cols>
  <sheetData>
    <row r="5" spans="1:7">
      <c r="A5" s="691" t="s">
        <v>6</v>
      </c>
    </row>
    <row r="6" spans="1:7" ht="14.25">
      <c r="A6" s="1160" t="s">
        <v>1123</v>
      </c>
      <c r="B6" s="1160"/>
      <c r="C6" s="1160"/>
      <c r="D6" s="1160"/>
    </row>
    <row r="7" spans="1:7">
      <c r="A7" s="636"/>
      <c r="B7" s="636"/>
      <c r="C7" s="688">
        <v>44196</v>
      </c>
      <c r="D7" s="688">
        <v>43830</v>
      </c>
    </row>
    <row r="8" spans="1:7" s="691" customFormat="1" ht="15" customHeight="1">
      <c r="A8" s="699"/>
      <c r="B8" s="699"/>
      <c r="C8" s="1159" t="s">
        <v>806</v>
      </c>
      <c r="D8" s="1159"/>
      <c r="F8" s="596"/>
      <c r="G8" s="700"/>
    </row>
    <row r="9" spans="1:7" s="691" customFormat="1" ht="15" customHeight="1">
      <c r="A9" s="699" t="s">
        <v>804</v>
      </c>
      <c r="B9" s="699" t="s">
        <v>805</v>
      </c>
      <c r="C9" s="699" t="s">
        <v>766</v>
      </c>
      <c r="D9" s="699" t="s">
        <v>1049</v>
      </c>
      <c r="F9" s="596"/>
      <c r="G9" s="700"/>
    </row>
    <row r="10" spans="1:7" ht="15" customHeight="1">
      <c r="A10" s="452" t="s">
        <v>807</v>
      </c>
      <c r="B10" s="693">
        <v>0</v>
      </c>
      <c r="C10" s="451">
        <v>0</v>
      </c>
      <c r="D10" s="451">
        <v>171819</v>
      </c>
    </row>
    <row r="11" spans="1:7" ht="15" customHeight="1">
      <c r="A11" s="452" t="s">
        <v>1158</v>
      </c>
      <c r="B11" s="693">
        <v>0</v>
      </c>
      <c r="C11" s="451">
        <v>0</v>
      </c>
      <c r="D11" s="451">
        <v>1168055</v>
      </c>
    </row>
    <row r="12" spans="1:7" ht="15" customHeight="1">
      <c r="A12" s="452" t="s">
        <v>784</v>
      </c>
      <c r="B12" s="693">
        <v>0</v>
      </c>
      <c r="C12" s="451">
        <v>0</v>
      </c>
      <c r="D12" s="451">
        <v>2644843371</v>
      </c>
    </row>
    <row r="13" spans="1:7" ht="15" customHeight="1">
      <c r="A13" s="452" t="s">
        <v>808</v>
      </c>
      <c r="B13" s="693">
        <v>0</v>
      </c>
      <c r="C13" s="451">
        <v>0</v>
      </c>
      <c r="D13" s="451">
        <v>21517109</v>
      </c>
    </row>
    <row r="14" spans="1:7" ht="15" customHeight="1">
      <c r="A14" s="452" t="s">
        <v>785</v>
      </c>
      <c r="B14" s="693">
        <v>0</v>
      </c>
      <c r="C14" s="451">
        <v>0</v>
      </c>
      <c r="D14" s="451">
        <v>373328900.40880001</v>
      </c>
    </row>
    <row r="15" spans="1:7" ht="15" customHeight="1">
      <c r="A15" s="452" t="s">
        <v>809</v>
      </c>
      <c r="B15" s="693">
        <v>0</v>
      </c>
      <c r="C15" s="451">
        <v>0</v>
      </c>
      <c r="D15" s="451">
        <v>10338213</v>
      </c>
    </row>
    <row r="16" spans="1:7" ht="15" customHeight="1">
      <c r="A16" s="452" t="s">
        <v>1180</v>
      </c>
      <c r="B16" s="693">
        <v>13893.94</v>
      </c>
      <c r="C16" s="451">
        <v>95756478.72240001</v>
      </c>
      <c r="D16" s="451">
        <v>67445654.696187645</v>
      </c>
    </row>
    <row r="17" spans="1:8" ht="15" customHeight="1">
      <c r="A17" s="452" t="s">
        <v>1186</v>
      </c>
      <c r="B17" s="693">
        <v>0</v>
      </c>
      <c r="C17" s="451">
        <v>8482177</v>
      </c>
      <c r="D17" s="451">
        <v>11929228</v>
      </c>
    </row>
    <row r="18" spans="1:8" s="597" customFormat="1" ht="15" customHeight="1">
      <c r="A18" s="852" t="s">
        <v>810</v>
      </c>
      <c r="B18" s="693">
        <v>0</v>
      </c>
      <c r="C18" s="694">
        <v>5000000</v>
      </c>
      <c r="D18" s="694">
        <v>5000000</v>
      </c>
      <c r="F18" s="910"/>
      <c r="G18" s="911"/>
    </row>
    <row r="19" spans="1:8" ht="15" customHeight="1">
      <c r="A19" s="452" t="s">
        <v>1029</v>
      </c>
      <c r="B19" s="693">
        <v>0</v>
      </c>
      <c r="C19" s="451">
        <v>0</v>
      </c>
      <c r="D19" s="451">
        <v>51256273</v>
      </c>
    </row>
    <row r="20" spans="1:8" ht="15" customHeight="1">
      <c r="A20" s="452" t="s">
        <v>1030</v>
      </c>
      <c r="B20" s="693">
        <v>0</v>
      </c>
      <c r="C20" s="451">
        <v>0</v>
      </c>
      <c r="D20" s="451">
        <v>5194416</v>
      </c>
    </row>
    <row r="21" spans="1:8" ht="15" customHeight="1">
      <c r="A21" s="452" t="s">
        <v>1181</v>
      </c>
      <c r="B21" s="693">
        <v>0</v>
      </c>
      <c r="C21" s="451">
        <v>0</v>
      </c>
      <c r="D21" s="451">
        <v>159505971</v>
      </c>
    </row>
    <row r="22" spans="1:8" ht="14.25" customHeight="1">
      <c r="A22" s="452" t="s">
        <v>1034</v>
      </c>
      <c r="B22" s="693">
        <v>0</v>
      </c>
      <c r="C22" s="451">
        <v>0</v>
      </c>
      <c r="D22" s="451">
        <v>1006291.9459999999</v>
      </c>
    </row>
    <row r="23" spans="1:8" ht="14.25" customHeight="1">
      <c r="A23" s="452" t="s">
        <v>1047</v>
      </c>
      <c r="B23" s="693">
        <v>0</v>
      </c>
      <c r="C23" s="451">
        <v>211034674</v>
      </c>
      <c r="D23" s="451">
        <v>13453321</v>
      </c>
    </row>
    <row r="24" spans="1:8" ht="14.25" customHeight="1">
      <c r="A24" s="452" t="s">
        <v>1048</v>
      </c>
      <c r="B24" s="693">
        <v>373411.07</v>
      </c>
      <c r="C24" s="451">
        <v>2573534157.9972</v>
      </c>
      <c r="D24" s="451">
        <v>4290486255</v>
      </c>
    </row>
    <row r="25" spans="1:8" ht="14.25" customHeight="1">
      <c r="A25" s="452" t="s">
        <v>1155</v>
      </c>
      <c r="B25" s="693">
        <v>184353.42</v>
      </c>
      <c r="C25" s="451">
        <v>1270556397</v>
      </c>
      <c r="D25" s="451">
        <v>3945049486.3841</v>
      </c>
    </row>
    <row r="26" spans="1:8" ht="14.25" customHeight="1">
      <c r="A26" s="452" t="s">
        <v>1184</v>
      </c>
      <c r="B26" s="693">
        <v>0</v>
      </c>
      <c r="C26" s="451">
        <v>0</v>
      </c>
      <c r="D26" s="451">
        <v>0</v>
      </c>
    </row>
    <row r="27" spans="1:8" ht="14.25" customHeight="1">
      <c r="A27" s="452" t="s">
        <v>1185</v>
      </c>
      <c r="B27" s="693">
        <v>77192.649999999994</v>
      </c>
      <c r="C27" s="451">
        <v>532008656</v>
      </c>
      <c r="D27" s="451">
        <v>0</v>
      </c>
    </row>
    <row r="28" spans="1:8" ht="14.25" customHeight="1">
      <c r="A28" s="452" t="s">
        <v>1187</v>
      </c>
      <c r="B28" s="693">
        <v>0</v>
      </c>
      <c r="C28" s="451">
        <v>3972762</v>
      </c>
      <c r="D28" s="451">
        <v>0</v>
      </c>
    </row>
    <row r="29" spans="1:8" ht="14.25" customHeight="1">
      <c r="A29" s="452" t="s">
        <v>1183</v>
      </c>
      <c r="B29" s="693">
        <v>361094.67</v>
      </c>
      <c r="C29" s="451">
        <v>2577779045</v>
      </c>
      <c r="D29" s="451">
        <v>0</v>
      </c>
    </row>
    <row r="30" spans="1:8" ht="14.25" customHeight="1">
      <c r="A30" s="452" t="s">
        <v>1216</v>
      </c>
      <c r="B30" s="693">
        <v>30000</v>
      </c>
      <c r="C30" s="451">
        <v>206758800</v>
      </c>
      <c r="D30" s="451">
        <v>0</v>
      </c>
    </row>
    <row r="31" spans="1:8" ht="14.25" customHeight="1">
      <c r="A31" s="452" t="s">
        <v>1217</v>
      </c>
      <c r="B31" s="693">
        <v>265226.25</v>
      </c>
      <c r="C31" s="451">
        <v>1827928706</v>
      </c>
      <c r="D31" s="451">
        <v>0</v>
      </c>
    </row>
    <row r="32" spans="1:8" s="691" customFormat="1" ht="15" customHeight="1">
      <c r="A32" s="699" t="s">
        <v>811</v>
      </c>
      <c r="B32" s="698">
        <f>SUM(B10:B31)</f>
        <v>1305172</v>
      </c>
      <c r="C32" s="697">
        <f>SUM(C10:C31)</f>
        <v>9312811853.7196007</v>
      </c>
      <c r="D32" s="697">
        <f>SUM(D10:D31)</f>
        <v>11601694364.435087</v>
      </c>
      <c r="F32" s="596"/>
      <c r="G32" s="700"/>
      <c r="H32" s="596"/>
    </row>
    <row r="33" spans="1:8">
      <c r="H33" s="596"/>
    </row>
    <row r="34" spans="1:8">
      <c r="H34" s="596"/>
    </row>
    <row r="35" spans="1:8">
      <c r="H35" s="596"/>
    </row>
    <row r="36" spans="1:8">
      <c r="H36" s="596"/>
    </row>
    <row r="37" spans="1:8">
      <c r="H37" s="596"/>
    </row>
    <row r="38" spans="1:8">
      <c r="H38" s="469"/>
    </row>
    <row r="39" spans="1:8">
      <c r="A39" s="1094" t="s">
        <v>944</v>
      </c>
      <c r="B39" s="1094"/>
      <c r="C39" s="1094"/>
      <c r="D39" s="1094"/>
      <c r="E39" s="921"/>
    </row>
    <row r="40" spans="1:8">
      <c r="A40" s="1094" t="s">
        <v>237</v>
      </c>
      <c r="B40" s="1094"/>
      <c r="C40" s="1094"/>
      <c r="D40" s="1094"/>
      <c r="E40" s="921"/>
    </row>
    <row r="41" spans="1:8">
      <c r="A41" s="1094" t="s">
        <v>1149</v>
      </c>
      <c r="B41" s="1094"/>
      <c r="C41" s="1094"/>
      <c r="D41" s="1094"/>
      <c r="E41" s="921"/>
    </row>
  </sheetData>
  <mergeCells count="5">
    <mergeCell ref="C8:D8"/>
    <mergeCell ref="A6:D6"/>
    <mergeCell ref="A39:D39"/>
    <mergeCell ref="A40:D40"/>
    <mergeCell ref="A41:D41"/>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4:I40"/>
  <sheetViews>
    <sheetView showGridLines="0" topLeftCell="A10" zoomScale="85" zoomScaleNormal="85" workbookViewId="0">
      <selection activeCell="F32" sqref="F32"/>
    </sheetView>
  </sheetViews>
  <sheetFormatPr baseColWidth="10" defaultColWidth="11.42578125" defaultRowHeight="15"/>
  <cols>
    <col min="1" max="1" width="60.85546875" style="701" bestFit="1" customWidth="1"/>
    <col min="2" max="3" width="13.7109375" style="701" customWidth="1"/>
    <col min="4" max="4" width="17.7109375" style="701" customWidth="1"/>
    <col min="5" max="5" width="20.28515625" style="701" bestFit="1" customWidth="1"/>
    <col min="6" max="6" width="19" style="701" bestFit="1" customWidth="1"/>
    <col min="7" max="7" width="21.28515625" style="701" bestFit="1" customWidth="1"/>
    <col min="8" max="8" width="23" style="701" bestFit="1" customWidth="1"/>
    <col min="9" max="9" width="13.85546875" style="701" bestFit="1" customWidth="1"/>
    <col min="10" max="16384" width="11.42578125" style="701"/>
  </cols>
  <sheetData>
    <row r="4" spans="1:8">
      <c r="A4" s="1161"/>
      <c r="B4" s="1161"/>
      <c r="C4" s="1161"/>
      <c r="D4" s="1161"/>
      <c r="E4" s="1161"/>
      <c r="F4" s="1161"/>
      <c r="G4" s="1161"/>
      <c r="H4" s="1161"/>
    </row>
    <row r="5" spans="1:8" ht="18">
      <c r="A5" s="903" t="s">
        <v>53</v>
      </c>
      <c r="B5" s="903"/>
      <c r="C5" s="903"/>
      <c r="D5" s="903"/>
      <c r="E5" s="903"/>
      <c r="F5" s="903"/>
      <c r="G5" s="903"/>
      <c r="H5" s="903"/>
    </row>
    <row r="6" spans="1:8" ht="18">
      <c r="A6" s="903"/>
      <c r="B6" s="903"/>
      <c r="C6" s="903"/>
      <c r="D6" s="903"/>
      <c r="E6" s="903"/>
      <c r="F6" s="903"/>
      <c r="G6" s="903"/>
      <c r="H6" s="903"/>
    </row>
    <row r="7" spans="1:8">
      <c r="A7" s="1143" t="s">
        <v>1124</v>
      </c>
      <c r="B7" s="1143"/>
      <c r="C7" s="1143"/>
      <c r="D7" s="1143"/>
      <c r="E7" s="1143"/>
      <c r="F7" s="1143"/>
      <c r="G7" s="1143"/>
      <c r="H7" s="1143"/>
    </row>
    <row r="8" spans="1:8" ht="18.75" thickBot="1">
      <c r="A8" s="702"/>
      <c r="B8" s="702"/>
      <c r="C8" s="702"/>
      <c r="D8" s="703"/>
      <c r="E8" s="703"/>
      <c r="F8" s="703"/>
      <c r="G8" s="702"/>
      <c r="H8" s="702"/>
    </row>
    <row r="9" spans="1:8" ht="15.75" customHeight="1" thickBot="1">
      <c r="A9" s="1173" t="s">
        <v>1297</v>
      </c>
      <c r="B9" s="1174"/>
      <c r="C9" s="1174"/>
      <c r="D9" s="1174"/>
      <c r="E9" s="1175"/>
      <c r="F9" s="1162" t="s">
        <v>1203</v>
      </c>
      <c r="G9" s="1162"/>
      <c r="H9" s="1163"/>
    </row>
    <row r="10" spans="1:8" ht="45" customHeight="1">
      <c r="A10" s="1164" t="s">
        <v>877</v>
      </c>
      <c r="B10" s="1164" t="s">
        <v>812</v>
      </c>
      <c r="C10" s="1164" t="s">
        <v>813</v>
      </c>
      <c r="D10" s="1164" t="s">
        <v>641</v>
      </c>
      <c r="E10" s="1164" t="s">
        <v>821</v>
      </c>
      <c r="F10" s="1164" t="s">
        <v>229</v>
      </c>
      <c r="G10" s="1167" t="s">
        <v>319</v>
      </c>
      <c r="H10" s="1170" t="s">
        <v>320</v>
      </c>
    </row>
    <row r="11" spans="1:8">
      <c r="A11" s="1165"/>
      <c r="B11" s="1165"/>
      <c r="C11" s="1165"/>
      <c r="D11" s="1165"/>
      <c r="E11" s="1165"/>
      <c r="F11" s="1165"/>
      <c r="G11" s="1168"/>
      <c r="H11" s="1171"/>
    </row>
    <row r="12" spans="1:8" ht="15.75" thickBot="1">
      <c r="A12" s="1166"/>
      <c r="B12" s="1166"/>
      <c r="C12" s="1166"/>
      <c r="D12" s="1166"/>
      <c r="E12" s="1166"/>
      <c r="F12" s="1166"/>
      <c r="G12" s="1169"/>
      <c r="H12" s="1172"/>
    </row>
    <row r="13" spans="1:8">
      <c r="A13" s="704" t="s">
        <v>321</v>
      </c>
      <c r="B13" s="705">
        <v>0</v>
      </c>
      <c r="C13" s="705"/>
      <c r="D13" s="705">
        <v>0</v>
      </c>
      <c r="E13" s="705">
        <v>0</v>
      </c>
      <c r="F13" s="705"/>
      <c r="G13" s="705"/>
      <c r="H13" s="706"/>
    </row>
    <row r="14" spans="1:8" ht="18">
      <c r="A14" s="707" t="s">
        <v>676</v>
      </c>
      <c r="B14" s="708" t="s">
        <v>817</v>
      </c>
      <c r="C14" s="709">
        <v>1</v>
      </c>
      <c r="D14" s="709">
        <v>480000</v>
      </c>
      <c r="E14" s="709">
        <f>+D14</f>
        <v>480000</v>
      </c>
      <c r="F14" s="710"/>
      <c r="G14" s="710"/>
      <c r="H14" s="711"/>
    </row>
    <row r="15" spans="1:8" ht="18">
      <c r="A15" s="917" t="s">
        <v>1050</v>
      </c>
      <c r="B15" s="708"/>
      <c r="C15" s="709">
        <v>1</v>
      </c>
      <c r="D15" s="709">
        <v>820143240</v>
      </c>
      <c r="E15" s="709">
        <f>+D15</f>
        <v>820143240</v>
      </c>
      <c r="F15" s="710"/>
      <c r="G15" s="710"/>
      <c r="H15" s="711"/>
    </row>
    <row r="16" spans="1:8">
      <c r="A16" s="712" t="s">
        <v>814</v>
      </c>
      <c r="B16" s="713"/>
      <c r="C16" s="713"/>
      <c r="D16" s="714">
        <f>SUM(D13:D15)</f>
        <v>820623240</v>
      </c>
      <c r="E16" s="714">
        <f>SUM(E13:E15)</f>
        <v>820623240</v>
      </c>
      <c r="F16" s="713"/>
      <c r="G16" s="713"/>
      <c r="H16" s="715"/>
    </row>
    <row r="17" spans="1:9">
      <c r="A17" s="716" t="s">
        <v>815</v>
      </c>
      <c r="B17" s="717"/>
      <c r="C17" s="717"/>
      <c r="D17" s="718">
        <v>321842471</v>
      </c>
      <c r="E17" s="718">
        <v>321842471</v>
      </c>
      <c r="F17" s="717">
        <v>0</v>
      </c>
      <c r="G17" s="717">
        <v>0</v>
      </c>
      <c r="H17" s="719">
        <v>0</v>
      </c>
    </row>
    <row r="18" spans="1:9">
      <c r="A18" s="720" t="s">
        <v>322</v>
      </c>
      <c r="B18" s="721"/>
      <c r="C18" s="721"/>
      <c r="D18" s="721"/>
      <c r="E18" s="709"/>
      <c r="F18" s="721"/>
      <c r="G18" s="721"/>
      <c r="H18" s="722"/>
    </row>
    <row r="19" spans="1:9">
      <c r="A19" s="723" t="s">
        <v>816</v>
      </c>
      <c r="B19" s="721" t="s">
        <v>819</v>
      </c>
      <c r="C19" s="709">
        <v>1</v>
      </c>
      <c r="D19" s="709">
        <v>851000000</v>
      </c>
      <c r="E19" s="709">
        <f>+D19</f>
        <v>851000000</v>
      </c>
      <c r="F19" s="709">
        <v>8800000000</v>
      </c>
      <c r="G19" s="709">
        <v>2514750077</v>
      </c>
      <c r="H19" s="1027">
        <v>16243251345</v>
      </c>
    </row>
    <row r="20" spans="1:9" s="982" customFormat="1">
      <c r="A20" s="712"/>
      <c r="B20" s="713"/>
      <c r="C20" s="713"/>
      <c r="D20" s="714">
        <f>SUM(D19)</f>
        <v>851000000</v>
      </c>
      <c r="E20" s="714">
        <f>SUM(E19)</f>
        <v>851000000</v>
      </c>
      <c r="F20" s="714"/>
      <c r="G20" s="714"/>
      <c r="H20" s="989"/>
    </row>
    <row r="21" spans="1:9" ht="18">
      <c r="A21" s="707" t="s">
        <v>1188</v>
      </c>
      <c r="B21" s="708" t="s">
        <v>817</v>
      </c>
      <c r="C21" s="709">
        <v>1</v>
      </c>
      <c r="D21" s="709">
        <v>353557548</v>
      </c>
      <c r="E21" s="709">
        <f>+D21</f>
        <v>353557548</v>
      </c>
      <c r="F21" s="710"/>
      <c r="G21" s="710"/>
      <c r="H21" s="711"/>
    </row>
    <row r="22" spans="1:9" ht="18">
      <c r="A22" s="707" t="s">
        <v>1189</v>
      </c>
      <c r="B22" s="708" t="s">
        <v>817</v>
      </c>
      <c r="C22" s="709">
        <v>1</v>
      </c>
      <c r="D22" s="709">
        <v>224953574.40000001</v>
      </c>
      <c r="E22" s="709">
        <f>+D22</f>
        <v>224953574.40000001</v>
      </c>
      <c r="F22" s="710"/>
      <c r="G22" s="710"/>
      <c r="H22" s="711"/>
    </row>
    <row r="23" spans="1:9" s="982" customFormat="1">
      <c r="A23" s="712"/>
      <c r="B23" s="713"/>
      <c r="C23" s="713"/>
      <c r="D23" s="714">
        <f>SUM(D21:D22)</f>
        <v>578511122.39999998</v>
      </c>
      <c r="E23" s="714">
        <f>SUM(E21:E22)</f>
        <v>578511122.39999998</v>
      </c>
      <c r="F23" s="714"/>
      <c r="G23" s="714"/>
      <c r="H23" s="989"/>
    </row>
    <row r="24" spans="1:9">
      <c r="A24" s="723" t="s">
        <v>1190</v>
      </c>
      <c r="B24" s="721" t="s">
        <v>817</v>
      </c>
      <c r="C24" s="709">
        <v>1</v>
      </c>
      <c r="D24" s="709">
        <v>133014828</v>
      </c>
      <c r="E24" s="709">
        <f>+D24</f>
        <v>133014828</v>
      </c>
      <c r="F24" s="721"/>
      <c r="G24" s="721"/>
      <c r="H24" s="722"/>
    </row>
    <row r="25" spans="1:9">
      <c r="A25" s="723" t="s">
        <v>1191</v>
      </c>
      <c r="B25" s="721" t="s">
        <v>817</v>
      </c>
      <c r="C25" s="709">
        <v>1</v>
      </c>
      <c r="D25" s="709">
        <v>200236594</v>
      </c>
      <c r="E25" s="709">
        <f>+D25</f>
        <v>200236594</v>
      </c>
      <c r="F25" s="721"/>
      <c r="G25" s="721"/>
      <c r="H25" s="722"/>
    </row>
    <row r="26" spans="1:9" s="982" customFormat="1">
      <c r="A26" s="712"/>
      <c r="B26" s="713"/>
      <c r="C26" s="713"/>
      <c r="D26" s="714">
        <f>SUM(D24:D25)</f>
        <v>333251422</v>
      </c>
      <c r="E26" s="714">
        <f>SUM(E24:E25)</f>
        <v>333251422</v>
      </c>
      <c r="F26" s="714"/>
      <c r="G26" s="714"/>
      <c r="H26" s="989"/>
    </row>
    <row r="27" spans="1:9" s="982" customFormat="1">
      <c r="A27" s="712"/>
      <c r="B27" s="713"/>
      <c r="C27" s="713"/>
      <c r="D27" s="714">
        <f>+D23+D26</f>
        <v>911762544.39999998</v>
      </c>
      <c r="E27" s="714">
        <f>+E23+E26</f>
        <v>911762544.39999998</v>
      </c>
      <c r="F27" s="714"/>
      <c r="G27" s="714"/>
      <c r="H27" s="989"/>
    </row>
    <row r="28" spans="1:9" s="982" customFormat="1">
      <c r="A28" s="712" t="s">
        <v>818</v>
      </c>
      <c r="B28" s="713"/>
      <c r="C28" s="713"/>
      <c r="D28" s="714">
        <f>+D20+D23+D26</f>
        <v>1762762544.4000001</v>
      </c>
      <c r="E28" s="714">
        <f>+E20+E23+E26</f>
        <v>1762762544.4000001</v>
      </c>
      <c r="F28" s="714">
        <v>8800000000</v>
      </c>
      <c r="G28" s="714">
        <v>2514750077</v>
      </c>
      <c r="H28" s="989">
        <v>16243251345</v>
      </c>
    </row>
    <row r="29" spans="1:9" ht="15.75" thickBot="1">
      <c r="A29" s="724" t="s">
        <v>815</v>
      </c>
      <c r="B29" s="725"/>
      <c r="C29" s="725"/>
      <c r="D29" s="726">
        <v>757000000</v>
      </c>
      <c r="E29" s="727">
        <v>926164803</v>
      </c>
      <c r="F29" s="728">
        <v>8800000000</v>
      </c>
      <c r="G29" s="728">
        <v>2514750077</v>
      </c>
      <c r="H29" s="729">
        <v>16243251345</v>
      </c>
      <c r="I29" s="730"/>
    </row>
    <row r="31" spans="1:9">
      <c r="A31" s="701" t="s">
        <v>820</v>
      </c>
    </row>
    <row r="33" spans="1:8">
      <c r="E33" s="1035"/>
    </row>
    <row r="38" spans="1:8">
      <c r="A38" s="1094" t="s">
        <v>944</v>
      </c>
      <c r="B38" s="1094"/>
      <c r="C38" s="1094"/>
      <c r="D38" s="1094"/>
      <c r="E38" s="1094"/>
      <c r="F38" s="1094"/>
      <c r="G38" s="1094"/>
      <c r="H38" s="1094"/>
    </row>
    <row r="39" spans="1:8">
      <c r="A39" s="1094" t="s">
        <v>237</v>
      </c>
      <c r="B39" s="1094"/>
      <c r="C39" s="1094"/>
      <c r="D39" s="1094"/>
      <c r="E39" s="1094"/>
      <c r="F39" s="1094"/>
      <c r="G39" s="1094"/>
      <c r="H39" s="1094"/>
    </row>
    <row r="40" spans="1:8">
      <c r="A40" s="1094" t="s">
        <v>1149</v>
      </c>
      <c r="B40" s="1094"/>
      <c r="C40" s="1094"/>
      <c r="D40" s="1094"/>
      <c r="E40" s="1094"/>
      <c r="F40" s="1094"/>
      <c r="G40" s="1094"/>
      <c r="H40" s="1094"/>
    </row>
  </sheetData>
  <mergeCells count="15">
    <mergeCell ref="A38:H38"/>
    <mergeCell ref="A39:H39"/>
    <mergeCell ref="A40:H40"/>
    <mergeCell ref="A4:H4"/>
    <mergeCell ref="F9:H9"/>
    <mergeCell ref="F10:F12"/>
    <mergeCell ref="A7:H7"/>
    <mergeCell ref="A10:A12"/>
    <mergeCell ref="B10:B12"/>
    <mergeCell ref="C10:C12"/>
    <mergeCell ref="D10:D12"/>
    <mergeCell ref="E10:E12"/>
    <mergeCell ref="G10:G12"/>
    <mergeCell ref="H10:H12"/>
    <mergeCell ref="A9:E9"/>
  </mergeCells>
  <phoneticPr fontId="19" type="noConversion"/>
  <printOptions horizontalCentered="1"/>
  <pageMargins left="0.98425196850393704" right="1.0236220472440944" top="0.78740157480314965" bottom="0.70866141732283472" header="0.51181102362204722" footer="0.51181102362204722"/>
  <pageSetup paperSize="9" scale="54" firstPageNumber="0" orientation="landscape" horizontalDpi="300" verticalDpi="300" r:id="rId1"/>
  <headerFooter alignWithMargins="0"/>
  <ignoredErrors>
    <ignoredError sqref="E20 E23" 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B9:P63"/>
  <sheetViews>
    <sheetView showGridLines="0" topLeftCell="A28" zoomScale="85" zoomScaleNormal="85" workbookViewId="0">
      <selection activeCell="F50" sqref="F50"/>
    </sheetView>
  </sheetViews>
  <sheetFormatPr baseColWidth="10" defaultColWidth="11.42578125" defaultRowHeight="15"/>
  <cols>
    <col min="1" max="1" width="1.85546875" style="431" customWidth="1"/>
    <col min="2" max="2" width="45.7109375" style="431" bestFit="1" customWidth="1"/>
    <col min="3" max="3" width="18.5703125" style="431" bestFit="1" customWidth="1"/>
    <col min="4" max="4" width="25.85546875" style="431" bestFit="1" customWidth="1"/>
    <col min="5" max="5" width="28.28515625" style="431" bestFit="1" customWidth="1"/>
    <col min="6" max="6" width="24.140625" style="431" bestFit="1" customWidth="1"/>
    <col min="7" max="7" width="1.85546875" style="431" customWidth="1"/>
    <col min="8" max="11" width="11.42578125" style="431"/>
    <col min="15" max="15" width="13.85546875" style="431" bestFit="1" customWidth="1"/>
    <col min="16" max="16384" width="11.42578125" style="431"/>
  </cols>
  <sheetData>
    <row r="9" spans="2:6">
      <c r="B9" s="431" t="s">
        <v>228</v>
      </c>
    </row>
    <row r="10" spans="2:6">
      <c r="C10" s="731"/>
      <c r="D10" s="731"/>
      <c r="E10" s="731"/>
      <c r="F10" s="731"/>
    </row>
    <row r="11" spans="2:6" ht="18">
      <c r="B11" s="1176" t="s">
        <v>1204</v>
      </c>
      <c r="C11" s="1176"/>
      <c r="D11" s="1176"/>
      <c r="E11" s="1176"/>
      <c r="F11" s="1176"/>
    </row>
    <row r="12" spans="2:6" ht="18">
      <c r="B12" s="1176" t="s">
        <v>630</v>
      </c>
      <c r="C12" s="1176"/>
      <c r="D12" s="1176"/>
      <c r="E12" s="1176"/>
      <c r="F12" s="1176"/>
    </row>
    <row r="13" spans="2:6" ht="18">
      <c r="B13" s="732"/>
      <c r="C13" s="733"/>
      <c r="D13" s="733"/>
      <c r="E13" s="733"/>
      <c r="F13" s="733"/>
    </row>
    <row r="14" spans="2:6" ht="24.75" customHeight="1">
      <c r="B14" s="1177" t="s">
        <v>57</v>
      </c>
      <c r="C14" s="1177"/>
      <c r="D14" s="1177"/>
      <c r="E14" s="1177"/>
      <c r="F14" s="1177"/>
    </row>
    <row r="15" spans="2:6">
      <c r="B15" s="1178" t="s">
        <v>328</v>
      </c>
      <c r="C15" s="1178"/>
      <c r="D15" s="1178"/>
      <c r="E15" s="1178"/>
      <c r="F15" s="1178"/>
    </row>
    <row r="16" spans="2:6" ht="30" customHeight="1">
      <c r="B16" s="1179"/>
      <c r="C16" s="1179"/>
      <c r="D16" s="1179"/>
      <c r="E16" s="1179"/>
      <c r="F16" s="1179"/>
    </row>
    <row r="17" spans="2:15" ht="24.95" customHeight="1"/>
    <row r="18" spans="2:15" ht="24.95" customHeight="1">
      <c r="B18" s="1186" t="s">
        <v>1045</v>
      </c>
      <c r="C18" s="1186"/>
      <c r="D18" s="1186"/>
      <c r="E18" s="1186"/>
      <c r="F18" s="1186"/>
    </row>
    <row r="19" spans="2:15" ht="24.95" customHeight="1" thickBot="1">
      <c r="H19" s="734"/>
      <c r="I19" s="735"/>
    </row>
    <row r="20" spans="2:15" ht="24.95" customHeight="1">
      <c r="B20" s="1180" t="s">
        <v>316</v>
      </c>
      <c r="C20" s="1182" t="s">
        <v>643</v>
      </c>
      <c r="D20" s="1182" t="s">
        <v>821</v>
      </c>
      <c r="E20" s="1182" t="s">
        <v>641</v>
      </c>
      <c r="F20" s="1184" t="s">
        <v>642</v>
      </c>
      <c r="H20" s="734"/>
      <c r="I20" s="735"/>
    </row>
    <row r="21" spans="2:15" ht="24.95" customHeight="1">
      <c r="B21" s="1181"/>
      <c r="C21" s="1183"/>
      <c r="D21" s="1183"/>
      <c r="E21" s="1183"/>
      <c r="F21" s="1185"/>
    </row>
    <row r="22" spans="2:15" ht="24.75" customHeight="1">
      <c r="B22" s="432" t="s">
        <v>323</v>
      </c>
      <c r="C22" s="433"/>
      <c r="D22" s="433"/>
      <c r="E22" s="433"/>
      <c r="F22" s="434"/>
    </row>
    <row r="23" spans="2:15" ht="24.75" customHeight="1">
      <c r="B23" s="435" t="s">
        <v>1038</v>
      </c>
      <c r="C23" s="433">
        <v>480000</v>
      </c>
      <c r="D23" s="433">
        <v>480000</v>
      </c>
      <c r="E23" s="433">
        <v>480000</v>
      </c>
      <c r="F23" s="434"/>
    </row>
    <row r="24" spans="2:15" ht="24.75" customHeight="1">
      <c r="B24" s="435" t="s">
        <v>1051</v>
      </c>
      <c r="C24" s="433">
        <v>820143240</v>
      </c>
      <c r="D24" s="433">
        <f>+C24</f>
        <v>820143240</v>
      </c>
      <c r="E24" s="433">
        <f>+C24</f>
        <v>820143240</v>
      </c>
      <c r="F24" s="434"/>
      <c r="O24" s="736"/>
    </row>
    <row r="25" spans="2:15" ht="24.75" customHeight="1">
      <c r="B25" s="990" t="s">
        <v>822</v>
      </c>
      <c r="C25" s="991">
        <f>SUM(C23:C24)</f>
        <v>820623240</v>
      </c>
      <c r="D25" s="991">
        <f>SUM(D23:D24)</f>
        <v>820623240</v>
      </c>
      <c r="E25" s="991">
        <f>SUM(E23:E24)</f>
        <v>820623240</v>
      </c>
      <c r="F25" s="992"/>
    </row>
    <row r="26" spans="2:15" ht="24.75" customHeight="1">
      <c r="B26" s="432" t="s">
        <v>823</v>
      </c>
      <c r="C26" s="436">
        <v>321842471</v>
      </c>
      <c r="D26" s="436">
        <v>321842471</v>
      </c>
      <c r="E26" s="436">
        <v>321842471</v>
      </c>
      <c r="F26" s="437"/>
    </row>
    <row r="27" spans="2:15" ht="24.75" customHeight="1">
      <c r="B27" s="432" t="s">
        <v>324</v>
      </c>
      <c r="C27" s="433"/>
      <c r="D27" s="433"/>
      <c r="E27" s="433"/>
      <c r="F27" s="434"/>
    </row>
    <row r="28" spans="2:15" ht="24.75" customHeight="1">
      <c r="B28" s="432" t="s">
        <v>1223</v>
      </c>
      <c r="C28" s="433"/>
      <c r="D28" s="433"/>
      <c r="E28" s="433"/>
      <c r="F28" s="434"/>
    </row>
    <row r="29" spans="2:15" ht="24.75" customHeight="1">
      <c r="B29" s="435" t="s">
        <v>1052</v>
      </c>
      <c r="C29" s="433">
        <v>851000000</v>
      </c>
      <c r="D29" s="433">
        <f>+C29</f>
        <v>851000000</v>
      </c>
      <c r="E29" s="433">
        <f>+D29</f>
        <v>851000000</v>
      </c>
      <c r="F29" s="434"/>
      <c r="O29" s="736"/>
    </row>
    <row r="30" spans="2:15" ht="24.75" customHeight="1">
      <c r="B30" s="990"/>
      <c r="C30" s="991">
        <f>SUM(C29)</f>
        <v>851000000</v>
      </c>
      <c r="D30" s="991">
        <f t="shared" ref="D30:E30" si="0">SUM(D29)</f>
        <v>851000000</v>
      </c>
      <c r="E30" s="991">
        <f t="shared" si="0"/>
        <v>851000000</v>
      </c>
      <c r="F30" s="992"/>
      <c r="O30" s="736"/>
    </row>
    <row r="31" spans="2:15" ht="24.75" customHeight="1">
      <c r="B31" s="1052" t="s">
        <v>1224</v>
      </c>
      <c r="C31" s="433"/>
      <c r="D31" s="433"/>
      <c r="E31" s="433"/>
      <c r="F31" s="434"/>
      <c r="O31" s="736"/>
    </row>
    <row r="32" spans="2:15" ht="24.75" customHeight="1">
      <c r="B32" s="707" t="s">
        <v>1188</v>
      </c>
      <c r="C32" s="433">
        <v>353557548</v>
      </c>
      <c r="D32" s="433">
        <f>+C32</f>
        <v>353557548</v>
      </c>
      <c r="E32" s="433">
        <f>+D32</f>
        <v>353557548</v>
      </c>
      <c r="F32" s="434"/>
    </row>
    <row r="33" spans="2:16" ht="24.75" customHeight="1">
      <c r="B33" s="707" t="s">
        <v>1189</v>
      </c>
      <c r="C33" s="433">
        <v>224953574.40000001</v>
      </c>
      <c r="D33" s="433">
        <f t="shared" ref="D33:E37" si="1">+C33</f>
        <v>224953574.40000001</v>
      </c>
      <c r="E33" s="433">
        <f t="shared" si="1"/>
        <v>224953574.40000001</v>
      </c>
      <c r="F33" s="434"/>
    </row>
    <row r="34" spans="2:16" ht="24.75" customHeight="1">
      <c r="B34" s="990"/>
      <c r="C34" s="991">
        <f>SUM(C32:C33)</f>
        <v>578511122.39999998</v>
      </c>
      <c r="D34" s="991">
        <f t="shared" ref="D34:E34" si="2">SUM(D32:D33)</f>
        <v>578511122.39999998</v>
      </c>
      <c r="E34" s="991">
        <f t="shared" si="2"/>
        <v>578511122.39999998</v>
      </c>
      <c r="F34" s="992"/>
    </row>
    <row r="35" spans="2:16" ht="24.75" customHeight="1">
      <c r="B35" s="1053" t="s">
        <v>1225</v>
      </c>
      <c r="C35" s="433"/>
      <c r="D35" s="433"/>
      <c r="E35" s="433"/>
      <c r="F35" s="434"/>
    </row>
    <row r="36" spans="2:16" ht="24.75" customHeight="1">
      <c r="B36" s="723" t="s">
        <v>1190</v>
      </c>
      <c r="C36" s="433">
        <v>133014828</v>
      </c>
      <c r="D36" s="433">
        <f t="shared" si="1"/>
        <v>133014828</v>
      </c>
      <c r="E36" s="433">
        <f t="shared" si="1"/>
        <v>133014828</v>
      </c>
      <c r="F36" s="434"/>
      <c r="O36" s="736"/>
    </row>
    <row r="37" spans="2:16" ht="24.75" customHeight="1">
      <c r="B37" s="723" t="s">
        <v>1191</v>
      </c>
      <c r="C37" s="433">
        <v>200236594</v>
      </c>
      <c r="D37" s="433">
        <f t="shared" si="1"/>
        <v>200236594</v>
      </c>
      <c r="E37" s="433">
        <f t="shared" si="1"/>
        <v>200236594</v>
      </c>
      <c r="F37" s="434"/>
      <c r="O37" s="736"/>
    </row>
    <row r="38" spans="2:16" ht="24.75" customHeight="1">
      <c r="B38" s="990"/>
      <c r="C38" s="991">
        <f>SUM(C36:C37)</f>
        <v>333251422</v>
      </c>
      <c r="D38" s="991">
        <f t="shared" ref="D38:E38" si="3">SUM(D36:D37)</f>
        <v>333251422</v>
      </c>
      <c r="E38" s="991">
        <f t="shared" si="3"/>
        <v>333251422</v>
      </c>
      <c r="F38" s="992"/>
      <c r="O38" s="736"/>
    </row>
    <row r="39" spans="2:16" ht="24.75" customHeight="1">
      <c r="B39" s="990"/>
      <c r="C39" s="991">
        <f>+C34+C38</f>
        <v>911762544.39999998</v>
      </c>
      <c r="D39" s="991">
        <f t="shared" ref="D39:E39" si="4">+D34+D38</f>
        <v>911762544.39999998</v>
      </c>
      <c r="E39" s="991">
        <f t="shared" si="4"/>
        <v>911762544.39999998</v>
      </c>
      <c r="F39" s="992"/>
      <c r="O39" s="736"/>
    </row>
    <row r="40" spans="2:16" ht="24.75" customHeight="1">
      <c r="B40" s="990" t="s">
        <v>824</v>
      </c>
      <c r="C40" s="991">
        <f>+C30+C34+C38</f>
        <v>1762762544.4000001</v>
      </c>
      <c r="D40" s="991">
        <f t="shared" ref="D40:E40" si="5">+D30+D34+D38</f>
        <v>1762762544.4000001</v>
      </c>
      <c r="E40" s="991">
        <f t="shared" si="5"/>
        <v>1762762544.4000001</v>
      </c>
      <c r="F40" s="993"/>
    </row>
    <row r="41" spans="2:16" ht="24.75" customHeight="1" thickBot="1">
      <c r="B41" s="438" t="s">
        <v>825</v>
      </c>
      <c r="C41" s="439">
        <v>926164803</v>
      </c>
      <c r="D41" s="439">
        <v>926164803</v>
      </c>
      <c r="E41" s="439">
        <v>926164803</v>
      </c>
      <c r="F41" s="440"/>
    </row>
    <row r="42" spans="2:16" ht="24.95" customHeight="1"/>
    <row r="43" spans="2:16" ht="24.95" customHeight="1"/>
    <row r="44" spans="2:16" ht="24.95" customHeight="1">
      <c r="O44" s="737"/>
    </row>
    <row r="45" spans="2:16" s="737" customFormat="1" ht="24.95" customHeight="1" thickBot="1">
      <c r="B45" s="1178" t="s">
        <v>1046</v>
      </c>
      <c r="C45" s="1178"/>
      <c r="D45" s="1178"/>
      <c r="E45" s="1178"/>
      <c r="F45" s="731"/>
      <c r="G45" s="431"/>
      <c r="H45" s="431"/>
      <c r="O45" s="431"/>
      <c r="P45" s="431"/>
    </row>
    <row r="46" spans="2:16" ht="34.5" customHeight="1">
      <c r="B46" s="948" t="s">
        <v>1031</v>
      </c>
      <c r="C46" s="949" t="s">
        <v>1032</v>
      </c>
      <c r="D46" s="1077" t="s">
        <v>1033</v>
      </c>
      <c r="E46" s="1078" t="s">
        <v>1076</v>
      </c>
    </row>
    <row r="47" spans="2:16" ht="24.95" customHeight="1">
      <c r="B47" s="435" t="s">
        <v>822</v>
      </c>
      <c r="C47" s="738">
        <v>200000000</v>
      </c>
      <c r="D47" s="738">
        <v>369164803</v>
      </c>
      <c r="E47" s="739">
        <v>851000000</v>
      </c>
      <c r="O47" s="736"/>
    </row>
    <row r="48" spans="2:16" ht="24.95" customHeight="1" thickBot="1">
      <c r="B48" s="740" t="s">
        <v>823</v>
      </c>
      <c r="C48" s="741">
        <v>200000000</v>
      </c>
      <c r="D48" s="1028">
        <v>369164803</v>
      </c>
      <c r="E48" s="742">
        <v>750000000</v>
      </c>
      <c r="F48" s="736"/>
    </row>
    <row r="49" spans="2:9" ht="24.95" customHeight="1"/>
    <row r="50" spans="2:9" ht="24.95" customHeight="1">
      <c r="D50" s="841"/>
    </row>
    <row r="51" spans="2:9" ht="24.95" customHeight="1"/>
    <row r="52" spans="2:9" ht="24.95" customHeight="1"/>
    <row r="57" spans="2:9">
      <c r="B57" s="1094" t="s">
        <v>944</v>
      </c>
      <c r="C57" s="1094"/>
      <c r="D57" s="1094"/>
      <c r="E57" s="1094"/>
      <c r="F57" s="1094"/>
      <c r="G57" s="1094"/>
      <c r="H57" s="1094"/>
      <c r="I57" s="1094"/>
    </row>
    <row r="58" spans="2:9">
      <c r="B58" s="1094" t="s">
        <v>237</v>
      </c>
      <c r="C58" s="1094"/>
      <c r="D58" s="1094"/>
      <c r="E58" s="1094"/>
      <c r="F58" s="1094"/>
      <c r="G58" s="1094"/>
      <c r="H58" s="1094"/>
      <c r="I58" s="1094"/>
    </row>
    <row r="59" spans="2:9">
      <c r="B59" s="1094" t="s">
        <v>1149</v>
      </c>
      <c r="C59" s="1094"/>
      <c r="D59" s="1094"/>
      <c r="E59" s="1094"/>
      <c r="F59" s="1094"/>
      <c r="G59" s="1094"/>
      <c r="H59" s="1094"/>
      <c r="I59" s="1094"/>
    </row>
    <row r="61" spans="2:9" ht="28.5" customHeight="1"/>
    <row r="62" spans="2:9" ht="30" customHeight="1"/>
    <row r="63" spans="2:9" ht="30" customHeight="1"/>
  </sheetData>
  <mergeCells count="15">
    <mergeCell ref="B57:I57"/>
    <mergeCell ref="B58:I58"/>
    <mergeCell ref="B59:I59"/>
    <mergeCell ref="B11:F11"/>
    <mergeCell ref="B12:F12"/>
    <mergeCell ref="B14:F14"/>
    <mergeCell ref="B15:F15"/>
    <mergeCell ref="B16:F16"/>
    <mergeCell ref="B20:B21"/>
    <mergeCell ref="C20:C21"/>
    <mergeCell ref="D20:D21"/>
    <mergeCell ref="E20:E21"/>
    <mergeCell ref="F20:F21"/>
    <mergeCell ref="B18:F18"/>
    <mergeCell ref="B45:E45"/>
  </mergeCells>
  <phoneticPr fontId="19" type="noConversion"/>
  <printOptions horizontalCentered="1"/>
  <pageMargins left="0.70866141732283472" right="0.39370078740157483" top="1.0236220472440944" bottom="0.59055118110236227" header="0.51181102362204722" footer="0.51181102362204722"/>
  <pageSetup paperSize="9" scale="67" firstPageNumber="0" orientation="portrait"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H54"/>
  <sheetViews>
    <sheetView topLeftCell="A13" zoomScaleNormal="100" workbookViewId="0">
      <selection activeCell="E21" sqref="E21:E26"/>
    </sheetView>
  </sheetViews>
  <sheetFormatPr baseColWidth="10" defaultRowHeight="15"/>
  <cols>
    <col min="1" max="1" width="25.7109375" style="431" bestFit="1" customWidth="1"/>
    <col min="2" max="2" width="17.28515625" style="431" bestFit="1" customWidth="1"/>
    <col min="3" max="3" width="19" style="431" bestFit="1" customWidth="1"/>
    <col min="5" max="5" width="12.28515625" bestFit="1" customWidth="1"/>
  </cols>
  <sheetData>
    <row r="7" spans="1:3">
      <c r="A7" s="431" t="s">
        <v>15</v>
      </c>
    </row>
    <row r="9" spans="1:3" ht="15.75" thickBot="1">
      <c r="A9" s="431" t="s">
        <v>940</v>
      </c>
    </row>
    <row r="10" spans="1:3" ht="13.5" thickBot="1">
      <c r="A10" s="1187" t="s">
        <v>678</v>
      </c>
      <c r="B10" s="1188"/>
      <c r="C10" s="1189"/>
    </row>
    <row r="11" spans="1:3" ht="20.100000000000001" customHeight="1" thickBot="1">
      <c r="A11" s="843" t="s">
        <v>826</v>
      </c>
      <c r="B11" s="844" t="s">
        <v>827</v>
      </c>
      <c r="C11" s="844" t="s">
        <v>828</v>
      </c>
    </row>
    <row r="12" spans="1:3" ht="20.100000000000001" customHeight="1" thickBot="1">
      <c r="A12" s="845"/>
      <c r="B12" s="846">
        <v>0</v>
      </c>
      <c r="C12" s="846">
        <v>0</v>
      </c>
    </row>
    <row r="13" spans="1:3" ht="20.100000000000001" customHeight="1" thickBot="1">
      <c r="A13" s="845"/>
      <c r="B13" s="846">
        <v>0</v>
      </c>
      <c r="C13" s="846">
        <v>0</v>
      </c>
    </row>
    <row r="14" spans="1:3" ht="20.100000000000001" customHeight="1" thickBot="1">
      <c r="A14" s="843" t="s">
        <v>830</v>
      </c>
      <c r="B14" s="846">
        <v>0</v>
      </c>
      <c r="C14" s="846">
        <v>0</v>
      </c>
    </row>
    <row r="15" spans="1:3" ht="20.100000000000001" customHeight="1" thickBot="1">
      <c r="A15" s="843" t="s">
        <v>829</v>
      </c>
      <c r="B15" s="846">
        <v>0</v>
      </c>
      <c r="C15" s="846">
        <v>0</v>
      </c>
    </row>
    <row r="19" spans="1:5" ht="15.75" thickBot="1"/>
    <row r="20" spans="1:5" ht="13.5" thickBot="1">
      <c r="A20" s="1190" t="s">
        <v>444</v>
      </c>
      <c r="B20" s="1191"/>
      <c r="C20" s="1192"/>
    </row>
    <row r="21" spans="1:5" ht="13.5" thickBot="1">
      <c r="A21" s="424" t="s">
        <v>826</v>
      </c>
      <c r="B21" s="425" t="s">
        <v>632</v>
      </c>
      <c r="C21" s="425" t="s">
        <v>831</v>
      </c>
    </row>
    <row r="22" spans="1:5" ht="20.100000000000001" customHeight="1" thickBot="1">
      <c r="A22" s="426" t="s">
        <v>787</v>
      </c>
      <c r="B22" s="429">
        <f>194986435+385054272</f>
        <v>580040707</v>
      </c>
      <c r="C22" s="842">
        <v>45421455</v>
      </c>
      <c r="E22" s="847"/>
    </row>
    <row r="23" spans="1:5" ht="20.100000000000001" customHeight="1" thickBot="1">
      <c r="A23" s="426" t="s">
        <v>832</v>
      </c>
      <c r="B23" s="429">
        <v>0</v>
      </c>
      <c r="C23" s="842">
        <v>0</v>
      </c>
      <c r="E23" s="847"/>
    </row>
    <row r="24" spans="1:5" ht="20.100000000000001" customHeight="1" thickBot="1">
      <c r="A24" s="426" t="s">
        <v>833</v>
      </c>
      <c r="B24" s="429">
        <v>0</v>
      </c>
      <c r="C24" s="429">
        <v>24293101</v>
      </c>
      <c r="E24" s="847"/>
    </row>
    <row r="25" spans="1:5" ht="20.100000000000001" customHeight="1" thickBot="1">
      <c r="A25" s="426" t="s">
        <v>1039</v>
      </c>
      <c r="B25" s="429">
        <v>75428574</v>
      </c>
      <c r="C25" s="429">
        <v>6637353</v>
      </c>
      <c r="E25" s="847"/>
    </row>
    <row r="26" spans="1:5" ht="20.100000000000001" customHeight="1" thickBot="1">
      <c r="A26" s="424" t="s">
        <v>247</v>
      </c>
      <c r="B26" s="430">
        <f>SUM(B22:B25)</f>
        <v>655469281</v>
      </c>
      <c r="C26" s="430">
        <f>SUM(C22:C25)</f>
        <v>76351909</v>
      </c>
    </row>
    <row r="27" spans="1:5" ht="12.75">
      <c r="A27" s="882"/>
      <c r="B27" s="883"/>
      <c r="C27" s="883"/>
    </row>
    <row r="28" spans="1:5" ht="12.75">
      <c r="A28" s="882"/>
      <c r="B28" s="883"/>
      <c r="C28" s="883"/>
    </row>
    <row r="29" spans="1:5" ht="15.75" thickBot="1">
      <c r="A29" s="737"/>
      <c r="B29" s="737"/>
      <c r="C29" s="737"/>
    </row>
    <row r="30" spans="1:5" ht="13.5" thickBot="1">
      <c r="A30" s="1190" t="s">
        <v>444</v>
      </c>
      <c r="B30" s="1191"/>
      <c r="C30" s="1192"/>
    </row>
    <row r="31" spans="1:5" ht="20.100000000000001" customHeight="1" thickBot="1">
      <c r="A31" s="424" t="s">
        <v>826</v>
      </c>
      <c r="B31" s="425" t="s">
        <v>632</v>
      </c>
      <c r="C31" s="425" t="s">
        <v>831</v>
      </c>
    </row>
    <row r="32" spans="1:5" ht="20.100000000000001" customHeight="1" thickBot="1">
      <c r="A32" s="426" t="s">
        <v>1040</v>
      </c>
      <c r="B32" s="429">
        <v>271935997</v>
      </c>
      <c r="C32" s="429">
        <v>0</v>
      </c>
    </row>
    <row r="33" spans="1:6" ht="20.100000000000001" customHeight="1" thickBot="1">
      <c r="A33" s="424" t="s">
        <v>247</v>
      </c>
      <c r="B33" s="430">
        <f>SUM(B32:B32)</f>
        <v>271935997</v>
      </c>
      <c r="C33" s="430">
        <f>SUM(C32:C32)</f>
        <v>0</v>
      </c>
    </row>
    <row r="38" spans="1:6" ht="15.75" thickBot="1">
      <c r="A38" s="889" t="s">
        <v>940</v>
      </c>
    </row>
    <row r="39" spans="1:6" ht="12.75">
      <c r="A39" s="1193" t="s">
        <v>834</v>
      </c>
      <c r="B39" s="1194"/>
      <c r="C39" s="1194"/>
      <c r="D39" s="1194"/>
      <c r="E39" s="1194"/>
      <c r="F39" s="1195"/>
    </row>
    <row r="40" spans="1:6" ht="51">
      <c r="A40" s="746" t="s">
        <v>835</v>
      </c>
      <c r="B40" s="876" t="s">
        <v>836</v>
      </c>
      <c r="C40" s="747" t="s">
        <v>813</v>
      </c>
      <c r="D40" s="747" t="s">
        <v>837</v>
      </c>
      <c r="E40" s="747" t="s">
        <v>838</v>
      </c>
      <c r="F40" s="748" t="s">
        <v>839</v>
      </c>
    </row>
    <row r="41" spans="1:6" ht="12.75">
      <c r="A41" s="449"/>
      <c r="B41" s="452"/>
      <c r="C41" s="452"/>
      <c r="D41" s="452"/>
      <c r="E41" s="452"/>
      <c r="F41" s="453"/>
    </row>
    <row r="42" spans="1:6" ht="12.75">
      <c r="A42" s="1196" t="s">
        <v>840</v>
      </c>
      <c r="B42" s="1197"/>
      <c r="C42" s="1197"/>
      <c r="D42" s="1197"/>
      <c r="E42" s="1197"/>
      <c r="F42" s="1198"/>
    </row>
    <row r="43" spans="1:6" ht="12.75">
      <c r="A43" s="743" t="s">
        <v>841</v>
      </c>
      <c r="B43" s="452"/>
      <c r="C43" s="452"/>
      <c r="D43" s="452"/>
      <c r="E43" s="452"/>
      <c r="F43" s="453"/>
    </row>
    <row r="44" spans="1:6" ht="13.5" thickBot="1">
      <c r="A44" s="749" t="s">
        <v>842</v>
      </c>
      <c r="B44" s="454"/>
      <c r="C44" s="454"/>
      <c r="D44" s="454"/>
      <c r="E44" s="454"/>
      <c r="F44" s="455"/>
    </row>
    <row r="52" spans="1:8" ht="12.75">
      <c r="A52" s="1094" t="s">
        <v>944</v>
      </c>
      <c r="B52" s="1094"/>
      <c r="C52" s="1094"/>
      <c r="D52" s="1094"/>
      <c r="E52" s="1094"/>
      <c r="F52" s="1094"/>
      <c r="G52" s="921"/>
      <c r="H52" s="921"/>
    </row>
    <row r="53" spans="1:8" ht="12.75">
      <c r="A53" s="1094" t="s">
        <v>237</v>
      </c>
      <c r="B53" s="1094"/>
      <c r="C53" s="1094"/>
      <c r="D53" s="1094"/>
      <c r="E53" s="1094"/>
      <c r="F53" s="1094"/>
      <c r="G53" s="921"/>
      <c r="H53" s="921"/>
    </row>
    <row r="54" spans="1:8" ht="12.75">
      <c r="A54" s="1094" t="s">
        <v>1149</v>
      </c>
      <c r="B54" s="1094"/>
      <c r="C54" s="1094"/>
      <c r="D54" s="1094"/>
      <c r="E54" s="1094"/>
      <c r="F54" s="1094"/>
      <c r="G54" s="921"/>
      <c r="H54" s="921"/>
    </row>
  </sheetData>
  <mergeCells count="8">
    <mergeCell ref="A52:F52"/>
    <mergeCell ref="A53:F53"/>
    <mergeCell ref="A54:F54"/>
    <mergeCell ref="A10:C10"/>
    <mergeCell ref="A20:C20"/>
    <mergeCell ref="A30:C30"/>
    <mergeCell ref="A39:F39"/>
    <mergeCell ref="A42:F42"/>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O48"/>
  <sheetViews>
    <sheetView showGridLines="0" topLeftCell="A22" zoomScale="75" zoomScaleNormal="75" workbookViewId="0">
      <selection activeCell="I10" sqref="I10"/>
    </sheetView>
  </sheetViews>
  <sheetFormatPr baseColWidth="10" defaultColWidth="11.42578125" defaultRowHeight="15"/>
  <cols>
    <col min="1" max="1" width="2.140625" style="750" customWidth="1"/>
    <col min="2" max="2" width="37.85546875" style="750" customWidth="1"/>
    <col min="3" max="3" width="16" style="750" customWidth="1"/>
    <col min="4" max="4" width="15" style="750" customWidth="1"/>
    <col min="5" max="6" width="13.7109375" style="750" customWidth="1"/>
    <col min="7" max="7" width="16.42578125" style="750" customWidth="1"/>
    <col min="8" max="8" width="20.28515625" style="750" customWidth="1"/>
    <col min="9" max="9" width="14.85546875" style="750" customWidth="1"/>
    <col min="10" max="11" width="13.7109375" style="750" customWidth="1"/>
    <col min="12" max="13" width="17.85546875" style="750" bestFit="1" customWidth="1"/>
    <col min="14" max="14" width="16.28515625" style="750" bestFit="1" customWidth="1"/>
    <col min="15" max="15" width="14.42578125" style="750" bestFit="1" customWidth="1"/>
    <col min="16" max="16384" width="11.42578125" style="750"/>
  </cols>
  <sheetData>
    <row r="5" spans="2:13">
      <c r="I5" s="751"/>
      <c r="J5" s="752"/>
      <c r="K5" s="752"/>
      <c r="L5" s="752"/>
      <c r="M5" s="752"/>
    </row>
    <row r="6" spans="2:13">
      <c r="B6" s="1201"/>
      <c r="C6" s="1201"/>
      <c r="D6" s="1201"/>
      <c r="E6" s="1201"/>
      <c r="F6" s="1201"/>
      <c r="G6" s="1201"/>
      <c r="H6" s="1201"/>
      <c r="I6" s="1201"/>
      <c r="J6" s="1201"/>
      <c r="K6" s="1201"/>
      <c r="L6" s="1201"/>
      <c r="M6" s="753"/>
    </row>
    <row r="7" spans="2:13" s="755" customFormat="1" ht="18">
      <c r="B7" s="1199" t="s">
        <v>640</v>
      </c>
      <c r="C7" s="1199"/>
      <c r="D7" s="1199"/>
      <c r="E7" s="1199"/>
      <c r="F7" s="1199"/>
      <c r="G7" s="1199"/>
      <c r="H7" s="1199"/>
      <c r="I7" s="1199"/>
      <c r="J7" s="1199"/>
      <c r="K7" s="1199"/>
      <c r="L7" s="1199"/>
      <c r="M7" s="1199"/>
    </row>
    <row r="8" spans="2:13" s="755" customFormat="1" ht="18">
      <c r="B8" s="1199" t="s">
        <v>1295</v>
      </c>
      <c r="C8" s="1199"/>
      <c r="D8" s="1199"/>
      <c r="E8" s="1199"/>
      <c r="F8" s="1199"/>
      <c r="G8" s="1199"/>
      <c r="H8" s="1199"/>
      <c r="I8" s="1199"/>
      <c r="J8" s="1199"/>
      <c r="K8" s="1199"/>
      <c r="L8" s="1199"/>
      <c r="M8" s="1199"/>
    </row>
    <row r="9" spans="2:13" s="755" customFormat="1" ht="18">
      <c r="B9" s="1200" t="s">
        <v>245</v>
      </c>
      <c r="C9" s="1200"/>
      <c r="D9" s="1200"/>
      <c r="E9" s="1200"/>
      <c r="F9" s="1200"/>
      <c r="G9" s="1200"/>
      <c r="H9" s="1200"/>
      <c r="I9" s="1200"/>
      <c r="J9" s="1200"/>
      <c r="K9" s="1200"/>
      <c r="L9" s="1200"/>
      <c r="M9" s="1200"/>
    </row>
    <row r="10" spans="2:13" s="755" customFormat="1" ht="18">
      <c r="B10" s="877"/>
      <c r="C10" s="877"/>
      <c r="D10" s="877"/>
      <c r="E10" s="877"/>
      <c r="F10" s="877"/>
      <c r="G10" s="877"/>
      <c r="H10" s="877"/>
      <c r="I10" s="877"/>
      <c r="J10" s="877"/>
      <c r="K10" s="877"/>
      <c r="L10" s="877"/>
      <c r="M10" s="754"/>
    </row>
    <row r="11" spans="2:13" s="755" customFormat="1" ht="18">
      <c r="B11" s="877"/>
      <c r="C11" s="877"/>
      <c r="D11" s="877"/>
      <c r="E11" s="877"/>
      <c r="F11" s="877"/>
      <c r="G11" s="877"/>
      <c r="H11" s="877"/>
      <c r="I11" s="877"/>
      <c r="J11" s="877"/>
      <c r="K11" s="877"/>
      <c r="L11" s="877"/>
      <c r="M11" s="754"/>
    </row>
    <row r="12" spans="2:13" s="755" customFormat="1" ht="18">
      <c r="B12" s="1160" t="s">
        <v>1205</v>
      </c>
      <c r="C12" s="1160"/>
      <c r="D12" s="1160"/>
      <c r="E12" s="1160"/>
      <c r="F12" s="1160"/>
      <c r="G12" s="1160"/>
      <c r="H12" s="1160"/>
      <c r="I12" s="1160"/>
      <c r="J12" s="1160"/>
      <c r="K12" s="1160"/>
      <c r="L12" s="1160"/>
      <c r="M12" s="1160"/>
    </row>
    <row r="13" spans="2:13" ht="15.75" thickBot="1">
      <c r="B13" s="756"/>
      <c r="C13" s="756"/>
      <c r="D13" s="756"/>
      <c r="E13" s="756"/>
      <c r="F13" s="756"/>
      <c r="G13" s="756"/>
      <c r="H13" s="756"/>
      <c r="I13" s="756"/>
      <c r="J13" s="756"/>
      <c r="K13" s="756"/>
      <c r="L13" s="756"/>
      <c r="M13" s="756"/>
    </row>
    <row r="14" spans="2:13" ht="15.75" thickBot="1">
      <c r="B14" s="1202" t="s">
        <v>291</v>
      </c>
      <c r="C14" s="1205" t="s">
        <v>288</v>
      </c>
      <c r="D14" s="1206"/>
      <c r="E14" s="1206"/>
      <c r="F14" s="1206"/>
      <c r="G14" s="1207"/>
      <c r="H14" s="1218" t="s">
        <v>289</v>
      </c>
      <c r="I14" s="1219"/>
      <c r="J14" s="1219"/>
      <c r="K14" s="1219"/>
      <c r="L14" s="1219"/>
      <c r="M14" s="1220"/>
    </row>
    <row r="15" spans="2:13">
      <c r="B15" s="1203"/>
      <c r="C15" s="1208" t="s">
        <v>843</v>
      </c>
      <c r="D15" s="1210" t="s">
        <v>292</v>
      </c>
      <c r="E15" s="1214" t="s">
        <v>293</v>
      </c>
      <c r="F15" s="1212" t="s">
        <v>844</v>
      </c>
      <c r="G15" s="1216" t="s">
        <v>845</v>
      </c>
      <c r="H15" s="1212" t="s">
        <v>667</v>
      </c>
      <c r="I15" s="1210" t="s">
        <v>292</v>
      </c>
      <c r="J15" s="1210" t="s">
        <v>293</v>
      </c>
      <c r="K15" s="1222" t="s">
        <v>844</v>
      </c>
      <c r="L15" s="1212" t="s">
        <v>668</v>
      </c>
      <c r="M15" s="1210" t="s">
        <v>669</v>
      </c>
    </row>
    <row r="16" spans="2:13" ht="28.5" customHeight="1" thickBot="1">
      <c r="B16" s="1204"/>
      <c r="C16" s="1209"/>
      <c r="D16" s="1211"/>
      <c r="E16" s="1215"/>
      <c r="F16" s="1213"/>
      <c r="G16" s="1217"/>
      <c r="H16" s="1213"/>
      <c r="I16" s="1211"/>
      <c r="J16" s="1211"/>
      <c r="K16" s="1223"/>
      <c r="L16" s="1213"/>
      <c r="M16" s="1211"/>
    </row>
    <row r="17" spans="2:15" ht="24.95" customHeight="1">
      <c r="B17" s="950" t="s">
        <v>464</v>
      </c>
      <c r="C17" s="951">
        <v>112950034</v>
      </c>
      <c r="D17" s="955">
        <v>3119661</v>
      </c>
      <c r="E17" s="956">
        <v>0</v>
      </c>
      <c r="F17" s="959">
        <v>0</v>
      </c>
      <c r="G17" s="955">
        <f t="shared" ref="G17:G25" si="0">+C17+D17-E17+F17</f>
        <v>116069695</v>
      </c>
      <c r="H17" s="951">
        <v>27968640</v>
      </c>
      <c r="I17" s="959">
        <v>10077316</v>
      </c>
      <c r="J17" s="956">
        <v>0</v>
      </c>
      <c r="K17" s="956">
        <v>0</v>
      </c>
      <c r="L17" s="964">
        <f>+H17+I17-J17+K17</f>
        <v>38045956</v>
      </c>
      <c r="M17" s="955">
        <f>+G17-L17</f>
        <v>78023739</v>
      </c>
      <c r="O17" s="757"/>
    </row>
    <row r="18" spans="2:15" ht="24.95" customHeight="1">
      <c r="B18" s="950" t="s">
        <v>301</v>
      </c>
      <c r="C18" s="952">
        <v>73617439</v>
      </c>
      <c r="D18" s="953">
        <v>0</v>
      </c>
      <c r="E18" s="957">
        <v>0</v>
      </c>
      <c r="F18" s="960">
        <v>0</v>
      </c>
      <c r="G18" s="953">
        <f t="shared" si="0"/>
        <v>73617439</v>
      </c>
      <c r="H18" s="952">
        <v>39381758</v>
      </c>
      <c r="I18" s="960">
        <v>15548899</v>
      </c>
      <c r="J18" s="957">
        <v>0</v>
      </c>
      <c r="K18" s="957">
        <v>0</v>
      </c>
      <c r="L18" s="965">
        <f t="shared" ref="L18:L25" si="1">+H18+I18-J18+K18</f>
        <v>54930657</v>
      </c>
      <c r="M18" s="953">
        <f t="shared" ref="M18:M25" si="2">+G18-L18</f>
        <v>18686782</v>
      </c>
    </row>
    <row r="19" spans="2:15" ht="24.95" customHeight="1">
      <c r="B19" s="950" t="s">
        <v>848</v>
      </c>
      <c r="C19" s="953">
        <v>0</v>
      </c>
      <c r="D19" s="953">
        <v>0</v>
      </c>
      <c r="E19" s="957">
        <v>0</v>
      </c>
      <c r="F19" s="957">
        <v>0</v>
      </c>
      <c r="G19" s="953">
        <f t="shared" si="0"/>
        <v>0</v>
      </c>
      <c r="H19" s="962">
        <v>0</v>
      </c>
      <c r="I19" s="957">
        <v>0</v>
      </c>
      <c r="J19" s="957">
        <v>0</v>
      </c>
      <c r="K19" s="957">
        <v>0</v>
      </c>
      <c r="L19" s="965">
        <f t="shared" si="1"/>
        <v>0</v>
      </c>
      <c r="M19" s="953">
        <f t="shared" si="2"/>
        <v>0</v>
      </c>
    </row>
    <row r="20" spans="2:15" ht="24.95" customHeight="1">
      <c r="B20" s="950" t="s">
        <v>311</v>
      </c>
      <c r="C20" s="953">
        <v>0</v>
      </c>
      <c r="D20" s="953">
        <v>0</v>
      </c>
      <c r="E20" s="957">
        <v>0</v>
      </c>
      <c r="F20" s="960">
        <v>0</v>
      </c>
      <c r="G20" s="953">
        <f t="shared" si="0"/>
        <v>0</v>
      </c>
      <c r="H20" s="962">
        <v>0</v>
      </c>
      <c r="I20" s="960">
        <v>0</v>
      </c>
      <c r="J20" s="960">
        <v>0</v>
      </c>
      <c r="K20" s="957">
        <v>0</v>
      </c>
      <c r="L20" s="965">
        <f t="shared" si="1"/>
        <v>0</v>
      </c>
      <c r="M20" s="953">
        <f t="shared" si="2"/>
        <v>0</v>
      </c>
    </row>
    <row r="21" spans="2:15" ht="24.95" customHeight="1">
      <c r="B21" s="950" t="s">
        <v>849</v>
      </c>
      <c r="C21" s="953">
        <v>0</v>
      </c>
      <c r="D21" s="953">
        <v>0</v>
      </c>
      <c r="E21" s="957">
        <v>0</v>
      </c>
      <c r="F21" s="960">
        <v>0</v>
      </c>
      <c r="G21" s="953">
        <f t="shared" si="0"/>
        <v>0</v>
      </c>
      <c r="H21" s="962">
        <v>0</v>
      </c>
      <c r="I21" s="962">
        <v>0</v>
      </c>
      <c r="J21" s="957">
        <v>0</v>
      </c>
      <c r="K21" s="957">
        <v>0</v>
      </c>
      <c r="L21" s="965">
        <f t="shared" si="1"/>
        <v>0</v>
      </c>
      <c r="M21" s="953">
        <f t="shared" si="2"/>
        <v>0</v>
      </c>
    </row>
    <row r="22" spans="2:15" ht="24.95" customHeight="1">
      <c r="B22" s="950" t="s">
        <v>850</v>
      </c>
      <c r="C22" s="953">
        <v>8403295</v>
      </c>
      <c r="D22" s="953">
        <v>0</v>
      </c>
      <c r="E22" s="957">
        <v>0</v>
      </c>
      <c r="F22" s="960">
        <v>0</v>
      </c>
      <c r="G22" s="953">
        <f t="shared" si="0"/>
        <v>8403295</v>
      </c>
      <c r="H22" s="962">
        <v>3477442</v>
      </c>
      <c r="I22" s="962">
        <v>1169773</v>
      </c>
      <c r="J22" s="957">
        <v>0</v>
      </c>
      <c r="K22" s="957">
        <v>0</v>
      </c>
      <c r="L22" s="965">
        <f t="shared" si="1"/>
        <v>4647215</v>
      </c>
      <c r="M22" s="953">
        <f t="shared" si="2"/>
        <v>3756080</v>
      </c>
    </row>
    <row r="23" spans="2:15" ht="24.95" customHeight="1">
      <c r="B23" s="950" t="s">
        <v>999</v>
      </c>
      <c r="C23" s="953">
        <v>92766114</v>
      </c>
      <c r="D23" s="953">
        <v>0</v>
      </c>
      <c r="E23" s="957">
        <v>0</v>
      </c>
      <c r="F23" s="960">
        <v>0</v>
      </c>
      <c r="G23" s="953">
        <f t="shared" si="0"/>
        <v>92766114</v>
      </c>
      <c r="H23" s="962">
        <v>27274292</v>
      </c>
      <c r="I23" s="962">
        <v>9355975</v>
      </c>
      <c r="J23" s="957">
        <v>0</v>
      </c>
      <c r="K23" s="957">
        <v>0</v>
      </c>
      <c r="L23" s="965">
        <f t="shared" si="1"/>
        <v>36630267</v>
      </c>
      <c r="M23" s="953">
        <f t="shared" si="2"/>
        <v>56135847</v>
      </c>
    </row>
    <row r="24" spans="2:15" ht="24.95" customHeight="1">
      <c r="B24" s="950" t="s">
        <v>851</v>
      </c>
      <c r="C24" s="953">
        <v>10828857</v>
      </c>
      <c r="D24" s="953">
        <v>722727</v>
      </c>
      <c r="E24" s="957">
        <v>0</v>
      </c>
      <c r="F24" s="960">
        <v>0</v>
      </c>
      <c r="G24" s="953">
        <f t="shared" si="0"/>
        <v>11551584</v>
      </c>
      <c r="H24" s="962">
        <v>800820</v>
      </c>
      <c r="I24" s="962">
        <v>976590</v>
      </c>
      <c r="J24" s="957">
        <v>0</v>
      </c>
      <c r="K24" s="957">
        <v>0</v>
      </c>
      <c r="L24" s="965">
        <f t="shared" si="1"/>
        <v>1777410</v>
      </c>
      <c r="M24" s="953">
        <f t="shared" si="2"/>
        <v>9774174</v>
      </c>
    </row>
    <row r="25" spans="2:15" ht="24.95" customHeight="1" thickBot="1">
      <c r="B25" s="950" t="s">
        <v>463</v>
      </c>
      <c r="C25" s="954">
        <v>34545455</v>
      </c>
      <c r="D25" s="954">
        <v>0</v>
      </c>
      <c r="E25" s="958">
        <v>0</v>
      </c>
      <c r="F25" s="961">
        <v>0</v>
      </c>
      <c r="G25" s="954">
        <f t="shared" si="0"/>
        <v>34545455</v>
      </c>
      <c r="H25" s="963">
        <v>0</v>
      </c>
      <c r="I25" s="963">
        <v>5527274</v>
      </c>
      <c r="J25" s="958">
        <v>0</v>
      </c>
      <c r="K25" s="958">
        <v>0</v>
      </c>
      <c r="L25" s="966">
        <f t="shared" si="1"/>
        <v>5527274</v>
      </c>
      <c r="M25" s="954">
        <f t="shared" si="2"/>
        <v>29018181</v>
      </c>
    </row>
    <row r="26" spans="2:15" ht="24.95" customHeight="1" thickBot="1">
      <c r="B26" s="994" t="s">
        <v>846</v>
      </c>
      <c r="C26" s="995">
        <f t="shared" ref="C26:L26" si="3">SUM(C17:C25)</f>
        <v>333111194</v>
      </c>
      <c r="D26" s="995">
        <f t="shared" si="3"/>
        <v>3842388</v>
      </c>
      <c r="E26" s="995">
        <f t="shared" si="3"/>
        <v>0</v>
      </c>
      <c r="F26" s="995">
        <f t="shared" si="3"/>
        <v>0</v>
      </c>
      <c r="G26" s="995">
        <f t="shared" si="3"/>
        <v>336953582</v>
      </c>
      <c r="H26" s="995">
        <f t="shared" si="3"/>
        <v>98902952</v>
      </c>
      <c r="I26" s="996">
        <f t="shared" si="3"/>
        <v>42655827</v>
      </c>
      <c r="J26" s="995">
        <f t="shared" si="3"/>
        <v>0</v>
      </c>
      <c r="K26" s="997">
        <f t="shared" si="3"/>
        <v>0</v>
      </c>
      <c r="L26" s="996">
        <f t="shared" si="3"/>
        <v>141558779</v>
      </c>
      <c r="M26" s="995">
        <f>+G26-L26</f>
        <v>195394803</v>
      </c>
      <c r="N26" s="945"/>
      <c r="O26" s="757"/>
    </row>
    <row r="27" spans="2:15" ht="24.95" customHeight="1" thickBot="1">
      <c r="B27" s="848" t="s">
        <v>847</v>
      </c>
      <c r="C27" s="849">
        <v>254509668</v>
      </c>
      <c r="D27" s="758">
        <v>73331910.909090906</v>
      </c>
      <c r="E27" s="849">
        <v>0</v>
      </c>
      <c r="F27" s="849">
        <v>5269615</v>
      </c>
      <c r="G27" s="758">
        <v>333111193.90909094</v>
      </c>
      <c r="H27" s="849">
        <v>66985537</v>
      </c>
      <c r="I27" s="758">
        <v>31917415</v>
      </c>
      <c r="J27" s="849">
        <v>0</v>
      </c>
      <c r="K27" s="884">
        <v>0</v>
      </c>
      <c r="L27" s="928">
        <v>98902952</v>
      </c>
      <c r="M27" s="849">
        <v>234208241.90909094</v>
      </c>
      <c r="N27" s="760"/>
    </row>
    <row r="28" spans="2:15">
      <c r="M28" s="759"/>
    </row>
    <row r="29" spans="2:15">
      <c r="G29" s="757"/>
      <c r="H29" s="757"/>
    </row>
    <row r="30" spans="2:15">
      <c r="B30" s="761"/>
      <c r="C30" s="762"/>
      <c r="D30" s="762"/>
      <c r="E30" s="762"/>
      <c r="F30" s="762"/>
      <c r="G30" s="762"/>
      <c r="H30" s="762"/>
      <c r="I30" s="762"/>
      <c r="J30" s="761"/>
      <c r="K30" s="761"/>
      <c r="L30" s="761"/>
      <c r="M30" s="763"/>
    </row>
    <row r="31" spans="2:15">
      <c r="B31" s="761"/>
      <c r="C31" s="762"/>
      <c r="D31" s="762"/>
      <c r="E31" s="762"/>
      <c r="F31" s="762"/>
      <c r="G31" s="762"/>
      <c r="H31" s="762"/>
      <c r="I31" s="762"/>
      <c r="J31" s="761"/>
      <c r="K31" s="761"/>
      <c r="L31" s="761"/>
      <c r="M31" s="763"/>
    </row>
    <row r="32" spans="2:15">
      <c r="B32" s="761"/>
      <c r="C32" s="762"/>
      <c r="D32" s="762"/>
      <c r="E32" s="762"/>
      <c r="F32" s="762"/>
      <c r="G32" s="762"/>
      <c r="H32" s="762"/>
      <c r="I32" s="762"/>
      <c r="J32" s="761"/>
      <c r="K32" s="761"/>
      <c r="L32" s="761"/>
      <c r="M32" s="763"/>
    </row>
    <row r="33" spans="2:13">
      <c r="B33" s="922"/>
      <c r="C33" s="923"/>
      <c r="D33" s="923"/>
      <c r="E33" s="923"/>
      <c r="F33" s="923"/>
      <c r="G33" s="923"/>
      <c r="H33" s="923"/>
      <c r="I33" s="923"/>
      <c r="J33" s="922"/>
      <c r="K33" s="922"/>
      <c r="L33" s="922"/>
      <c r="M33" s="924"/>
    </row>
    <row r="34" spans="2:13">
      <c r="B34" s="922"/>
      <c r="C34" s="923"/>
      <c r="D34" s="922"/>
      <c r="E34" s="922"/>
      <c r="F34" s="922"/>
      <c r="G34" s="922"/>
      <c r="H34" s="922"/>
      <c r="I34" s="922"/>
      <c r="J34" s="922"/>
      <c r="K34" s="922"/>
      <c r="L34" s="922"/>
      <c r="M34" s="756"/>
    </row>
    <row r="35" spans="2:13">
      <c r="B35" s="1221" t="s">
        <v>944</v>
      </c>
      <c r="C35" s="1221"/>
      <c r="D35" s="1221"/>
      <c r="E35" s="1221"/>
      <c r="F35" s="1221"/>
      <c r="G35" s="1221"/>
      <c r="H35" s="1221"/>
      <c r="I35" s="1221"/>
      <c r="J35" s="1221"/>
      <c r="K35" s="1221"/>
      <c r="L35" s="1221"/>
      <c r="M35" s="1221"/>
    </row>
    <row r="36" spans="2:13">
      <c r="B36" s="1221" t="s">
        <v>237</v>
      </c>
      <c r="C36" s="1221"/>
      <c r="D36" s="1221"/>
      <c r="E36" s="1221"/>
      <c r="F36" s="1221"/>
      <c r="G36" s="1221"/>
      <c r="H36" s="1221"/>
      <c r="I36" s="1221"/>
      <c r="J36" s="1221"/>
      <c r="K36" s="1221"/>
      <c r="L36" s="1221"/>
      <c r="M36" s="1221"/>
    </row>
    <row r="37" spans="2:13">
      <c r="B37" s="1221" t="s">
        <v>1149</v>
      </c>
      <c r="C37" s="1221"/>
      <c r="D37" s="1221"/>
      <c r="E37" s="1221"/>
      <c r="F37" s="1221"/>
      <c r="G37" s="1221"/>
      <c r="H37" s="1221"/>
      <c r="I37" s="1221"/>
      <c r="J37" s="1221"/>
      <c r="K37" s="1221"/>
      <c r="L37" s="1221"/>
      <c r="M37" s="1221"/>
    </row>
    <row r="38" spans="2:13">
      <c r="B38" s="922"/>
      <c r="C38" s="923"/>
      <c r="D38" s="922"/>
      <c r="E38" s="922"/>
      <c r="F38" s="922"/>
      <c r="G38" s="922"/>
      <c r="H38" s="922"/>
      <c r="I38" s="922"/>
      <c r="J38" s="922"/>
      <c r="K38" s="922"/>
      <c r="L38" s="922"/>
      <c r="M38" s="756"/>
    </row>
    <row r="39" spans="2:13">
      <c r="B39" s="761"/>
      <c r="C39" s="762"/>
      <c r="D39" s="761"/>
      <c r="E39" s="761"/>
      <c r="F39" s="761"/>
      <c r="G39" s="761"/>
      <c r="H39" s="761"/>
      <c r="I39" s="761"/>
      <c r="J39" s="761"/>
      <c r="K39" s="761"/>
      <c r="L39" s="761"/>
    </row>
    <row r="40" spans="2:13">
      <c r="B40" s="761"/>
      <c r="C40" s="762"/>
      <c r="D40" s="761"/>
      <c r="E40" s="761"/>
      <c r="F40" s="761"/>
      <c r="G40" s="761"/>
      <c r="H40" s="761"/>
      <c r="I40" s="761"/>
      <c r="J40" s="761"/>
      <c r="K40" s="761"/>
      <c r="L40" s="761"/>
    </row>
    <row r="41" spans="2:13">
      <c r="B41" s="761"/>
      <c r="C41" s="762"/>
      <c r="D41" s="761"/>
      <c r="E41" s="761"/>
      <c r="F41" s="761"/>
      <c r="G41" s="761"/>
      <c r="H41" s="761"/>
      <c r="I41" s="761"/>
      <c r="J41" s="761"/>
      <c r="K41" s="761"/>
      <c r="L41" s="761"/>
    </row>
    <row r="42" spans="2:13">
      <c r="B42" s="761"/>
      <c r="C42" s="762"/>
      <c r="D42" s="761"/>
      <c r="E42" s="761"/>
      <c r="F42" s="761"/>
      <c r="G42" s="761"/>
      <c r="H42" s="761"/>
      <c r="I42" s="761"/>
      <c r="J42" s="761"/>
      <c r="K42" s="761"/>
      <c r="L42" s="761"/>
    </row>
    <row r="43" spans="2:13">
      <c r="B43" s="761"/>
      <c r="C43" s="762"/>
      <c r="D43" s="761"/>
      <c r="E43" s="761"/>
      <c r="F43" s="761"/>
      <c r="G43" s="761"/>
      <c r="H43" s="761"/>
      <c r="I43" s="761"/>
      <c r="J43" s="761"/>
      <c r="K43" s="761"/>
      <c r="L43" s="761"/>
    </row>
    <row r="44" spans="2:13">
      <c r="B44" s="761"/>
      <c r="C44" s="762"/>
      <c r="D44" s="761"/>
      <c r="E44" s="761"/>
      <c r="F44" s="761"/>
      <c r="G44" s="761"/>
      <c r="H44" s="761"/>
      <c r="I44" s="761"/>
      <c r="J44" s="761"/>
      <c r="K44" s="761"/>
      <c r="L44" s="761"/>
    </row>
    <row r="45" spans="2:13">
      <c r="B45" s="761"/>
      <c r="C45" s="762"/>
      <c r="D45" s="761"/>
      <c r="E45" s="761"/>
      <c r="F45" s="761"/>
      <c r="G45" s="761"/>
      <c r="H45" s="761"/>
      <c r="I45" s="761"/>
      <c r="J45" s="761"/>
      <c r="K45" s="761"/>
      <c r="L45" s="761"/>
    </row>
    <row r="46" spans="2:13">
      <c r="B46" s="761"/>
      <c r="C46" s="762"/>
      <c r="D46" s="761"/>
      <c r="E46" s="761"/>
      <c r="F46" s="761"/>
      <c r="G46" s="761"/>
      <c r="H46" s="761"/>
      <c r="I46" s="761"/>
      <c r="J46" s="761"/>
      <c r="K46" s="761"/>
      <c r="L46" s="761"/>
    </row>
    <row r="47" spans="2:13">
      <c r="C47" s="763"/>
    </row>
    <row r="48" spans="2:13">
      <c r="C48" s="763"/>
    </row>
  </sheetData>
  <mergeCells count="22">
    <mergeCell ref="B35:M35"/>
    <mergeCell ref="B36:M36"/>
    <mergeCell ref="B37:M37"/>
    <mergeCell ref="J15:J16"/>
    <mergeCell ref="K15:K16"/>
    <mergeCell ref="I15:I16"/>
    <mergeCell ref="B7:M7"/>
    <mergeCell ref="B8:M8"/>
    <mergeCell ref="B9:M9"/>
    <mergeCell ref="B6:L6"/>
    <mergeCell ref="B14:B16"/>
    <mergeCell ref="C14:G14"/>
    <mergeCell ref="C15:C16"/>
    <mergeCell ref="D15:D16"/>
    <mergeCell ref="L15:L16"/>
    <mergeCell ref="B12:M12"/>
    <mergeCell ref="M15:M16"/>
    <mergeCell ref="E15:E16"/>
    <mergeCell ref="F15:F16"/>
    <mergeCell ref="G15:G16"/>
    <mergeCell ref="H15:H16"/>
    <mergeCell ref="H14:M14"/>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23"/>
  <sheetViews>
    <sheetView workbookViewId="0">
      <selection activeCell="L29" sqref="L29"/>
    </sheetView>
  </sheetViews>
  <sheetFormatPr baseColWidth="10" defaultRowHeight="12.75"/>
  <cols>
    <col min="1" max="1" width="27" bestFit="1" customWidth="1"/>
    <col min="3" max="3" width="11.85546875" bestFit="1" customWidth="1"/>
    <col min="4" max="4" width="13.42578125" bestFit="1" customWidth="1"/>
    <col min="5" max="5" width="14.28515625" bestFit="1" customWidth="1"/>
  </cols>
  <sheetData>
    <row r="5" spans="1:5" ht="14.25">
      <c r="A5" s="900" t="s">
        <v>1125</v>
      </c>
    </row>
    <row r="6" spans="1:5" ht="14.25">
      <c r="A6" s="885" t="s">
        <v>1105</v>
      </c>
    </row>
    <row r="7" spans="1:5" ht="13.5" thickBot="1"/>
    <row r="8" spans="1:5">
      <c r="A8" s="764" t="s">
        <v>826</v>
      </c>
      <c r="B8" s="765" t="s">
        <v>853</v>
      </c>
      <c r="C8" s="765" t="s">
        <v>315</v>
      </c>
      <c r="D8" s="765" t="s">
        <v>185</v>
      </c>
      <c r="E8" s="766" t="s">
        <v>854</v>
      </c>
    </row>
    <row r="9" spans="1:5">
      <c r="A9" s="449"/>
      <c r="B9" s="451"/>
      <c r="C9" s="451"/>
      <c r="D9" s="451"/>
      <c r="E9" s="450"/>
    </row>
    <row r="10" spans="1:5">
      <c r="A10" s="770" t="s">
        <v>1066</v>
      </c>
      <c r="B10" s="696">
        <v>0</v>
      </c>
      <c r="C10" s="697">
        <f>SUM(C9)</f>
        <v>0</v>
      </c>
      <c r="D10" s="697">
        <f>SUM(D9)</f>
        <v>0</v>
      </c>
      <c r="E10" s="771">
        <f>SUM(E9)</f>
        <v>0</v>
      </c>
    </row>
    <row r="11" spans="1:5" ht="13.5" thickBot="1">
      <c r="A11" s="772" t="s">
        <v>1067</v>
      </c>
      <c r="B11" s="773">
        <v>0</v>
      </c>
      <c r="C11" s="809">
        <v>0</v>
      </c>
      <c r="D11" s="809">
        <v>0</v>
      </c>
      <c r="E11" s="810">
        <f>SUM(E10)</f>
        <v>0</v>
      </c>
    </row>
    <row r="21" spans="1:6">
      <c r="A21" s="1094" t="s">
        <v>944</v>
      </c>
      <c r="B21" s="1094"/>
      <c r="C21" s="1094"/>
      <c r="D21" s="1094"/>
      <c r="E21" s="1094"/>
      <c r="F21" s="921"/>
    </row>
    <row r="22" spans="1:6">
      <c r="A22" s="1094" t="s">
        <v>237</v>
      </c>
      <c r="B22" s="1094"/>
      <c r="C22" s="1094"/>
      <c r="D22" s="1094"/>
      <c r="E22" s="1094"/>
      <c r="F22" s="921"/>
    </row>
    <row r="23" spans="1:6">
      <c r="A23" s="1094" t="s">
        <v>1149</v>
      </c>
      <c r="B23" s="1094"/>
      <c r="C23" s="1094"/>
      <c r="D23" s="1094"/>
      <c r="E23" s="1094"/>
      <c r="F23" s="921"/>
    </row>
  </sheetData>
  <mergeCells count="3">
    <mergeCell ref="A21:E21"/>
    <mergeCell ref="A22:E22"/>
    <mergeCell ref="A23:E23"/>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M22"/>
  <sheetViews>
    <sheetView zoomScale="89" zoomScaleNormal="89" workbookViewId="0">
      <selection activeCell="A8" sqref="A8:E11"/>
    </sheetView>
  </sheetViews>
  <sheetFormatPr baseColWidth="10" defaultRowHeight="12.75"/>
  <cols>
    <col min="1" max="1" width="23.85546875" style="441" customWidth="1"/>
    <col min="2" max="2" width="12.7109375" style="441" bestFit="1" customWidth="1"/>
    <col min="3" max="3" width="14.28515625" style="441" bestFit="1" customWidth="1"/>
    <col min="4" max="4" width="14" style="441" bestFit="1" customWidth="1"/>
    <col min="5" max="5" width="14.85546875" style="441" bestFit="1" customWidth="1"/>
    <col min="6" max="9" width="11.42578125" style="441"/>
    <col min="14" max="16384" width="11.42578125" style="441"/>
  </cols>
  <sheetData>
    <row r="5" spans="1:5" ht="18">
      <c r="A5" s="904" t="s">
        <v>1106</v>
      </c>
    </row>
    <row r="7" spans="1:5" ht="20.100000000000001" customHeight="1" thickBot="1"/>
    <row r="8" spans="1:5" ht="20.100000000000001" customHeight="1">
      <c r="A8" s="764" t="s">
        <v>826</v>
      </c>
      <c r="B8" s="765" t="s">
        <v>853</v>
      </c>
      <c r="C8" s="765" t="s">
        <v>315</v>
      </c>
      <c r="D8" s="765" t="s">
        <v>185</v>
      </c>
      <c r="E8" s="766" t="s">
        <v>854</v>
      </c>
    </row>
    <row r="9" spans="1:5" ht="20.100000000000001" customHeight="1">
      <c r="A9" s="449" t="s">
        <v>359</v>
      </c>
      <c r="B9" s="451">
        <v>35379749</v>
      </c>
      <c r="C9" s="451">
        <v>5988182</v>
      </c>
      <c r="D9" s="451">
        <v>-20569991</v>
      </c>
      <c r="E9" s="450">
        <f>+B9+C9+D9</f>
        <v>20797940</v>
      </c>
    </row>
    <row r="10" spans="1:5" ht="20.100000000000001" customHeight="1">
      <c r="A10" s="770" t="s">
        <v>1066</v>
      </c>
      <c r="B10" s="697">
        <f>SUM(B9)</f>
        <v>35379749</v>
      </c>
      <c r="C10" s="697">
        <f>SUM(C9)</f>
        <v>5988182</v>
      </c>
      <c r="D10" s="697">
        <f>SUM(D9)</f>
        <v>-20569991</v>
      </c>
      <c r="E10" s="771">
        <f>SUM(E9)</f>
        <v>20797940</v>
      </c>
    </row>
    <row r="11" spans="1:5" ht="20.100000000000001" customHeight="1" thickBot="1">
      <c r="A11" s="772" t="s">
        <v>1067</v>
      </c>
      <c r="B11" s="809">
        <v>5532284</v>
      </c>
      <c r="C11" s="809">
        <v>29847465</v>
      </c>
      <c r="D11" s="809">
        <v>-10228008</v>
      </c>
      <c r="E11" s="810">
        <v>25151741</v>
      </c>
    </row>
    <row r="12" spans="1:5" ht="20.100000000000001" customHeight="1"/>
    <row r="13" spans="1:5" ht="20.100000000000001" customHeight="1"/>
    <row r="14" spans="1:5" ht="20.100000000000001" customHeight="1"/>
    <row r="15" spans="1:5" ht="20.100000000000001" customHeight="1"/>
    <row r="16" spans="1:5" ht="20.100000000000001" customHeight="1"/>
    <row r="17" spans="1:5" ht="20.100000000000001" customHeight="1"/>
    <row r="18" spans="1:5" ht="20.100000000000001" customHeight="1"/>
    <row r="19" spans="1:5" ht="20.100000000000001" customHeight="1"/>
    <row r="20" spans="1:5" ht="20.100000000000001" customHeight="1">
      <c r="A20" s="1094" t="s">
        <v>944</v>
      </c>
      <c r="B20" s="1094"/>
      <c r="C20" s="1094"/>
      <c r="D20" s="1094"/>
      <c r="E20" s="1094"/>
    </row>
    <row r="21" spans="1:5">
      <c r="A21" s="1094" t="s">
        <v>237</v>
      </c>
      <c r="B21" s="1094"/>
      <c r="C21" s="1094"/>
      <c r="D21" s="1094"/>
      <c r="E21" s="1094"/>
    </row>
    <row r="22" spans="1:5">
      <c r="A22" s="1094" t="s">
        <v>1149</v>
      </c>
      <c r="B22" s="1094"/>
      <c r="C22" s="1094"/>
      <c r="D22" s="1094"/>
      <c r="E22" s="1094"/>
    </row>
  </sheetData>
  <mergeCells count="3">
    <mergeCell ref="A20:E20"/>
    <mergeCell ref="A21:E21"/>
    <mergeCell ref="A22:E22"/>
  </mergeCells>
  <pageMargins left="0.7" right="0.7" top="0.75" bottom="0.75" header="0.3" footer="0.3"/>
  <pageSetup orientation="portrait" r:id="rId1"/>
  <ignoredErrors>
    <ignoredError sqref="E10" formula="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E23"/>
  <sheetViews>
    <sheetView workbookViewId="0">
      <selection activeCell="L17" sqref="L17"/>
    </sheetView>
  </sheetViews>
  <sheetFormatPr baseColWidth="10" defaultRowHeight="12.75"/>
  <cols>
    <col min="1" max="1" width="13.85546875" style="441" customWidth="1"/>
    <col min="2" max="3" width="13.42578125" style="441" bestFit="1" customWidth="1"/>
  </cols>
  <sheetData>
    <row r="5" spans="1:3">
      <c r="A5" s="691" t="s">
        <v>855</v>
      </c>
    </row>
    <row r="7" spans="1:3" ht="15" thickBot="1">
      <c r="A7" s="902" t="s">
        <v>1126</v>
      </c>
    </row>
    <row r="8" spans="1:3">
      <c r="A8" s="764" t="s">
        <v>826</v>
      </c>
      <c r="B8" s="765" t="s">
        <v>852</v>
      </c>
      <c r="C8" s="766" t="s">
        <v>856</v>
      </c>
    </row>
    <row r="9" spans="1:3">
      <c r="A9" s="449"/>
      <c r="B9" s="452">
        <v>0</v>
      </c>
      <c r="C9" s="453"/>
    </row>
    <row r="10" spans="1:3">
      <c r="A10" s="449"/>
      <c r="B10" s="452">
        <v>0</v>
      </c>
      <c r="C10" s="453"/>
    </row>
    <row r="11" spans="1:3">
      <c r="A11" s="449" t="s">
        <v>830</v>
      </c>
      <c r="B11" s="452"/>
      <c r="C11" s="453"/>
    </row>
    <row r="12" spans="1:3" ht="13.5" thickBot="1">
      <c r="A12" s="777" t="s">
        <v>829</v>
      </c>
      <c r="B12" s="454"/>
      <c r="C12" s="455"/>
    </row>
    <row r="21" spans="1:5">
      <c r="A21" s="1094" t="s">
        <v>944</v>
      </c>
      <c r="B21" s="1094"/>
      <c r="C21" s="1094"/>
      <c r="D21" s="921"/>
      <c r="E21" s="921"/>
    </row>
    <row r="22" spans="1:5">
      <c r="A22" s="1094" t="s">
        <v>237</v>
      </c>
      <c r="B22" s="1094"/>
      <c r="C22" s="1094"/>
      <c r="D22" s="921"/>
      <c r="E22" s="921"/>
    </row>
    <row r="23" spans="1:5">
      <c r="A23" s="1094" t="s">
        <v>1149</v>
      </c>
      <c r="B23" s="1094"/>
      <c r="C23" s="1094"/>
      <c r="D23" s="921"/>
      <c r="E23" s="921"/>
    </row>
  </sheetData>
  <mergeCells count="3">
    <mergeCell ref="A21:C21"/>
    <mergeCell ref="A22:C22"/>
    <mergeCell ref="A23:C2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FF00"/>
  </sheetPr>
  <dimension ref="A1:L107"/>
  <sheetViews>
    <sheetView zoomScale="85" zoomScaleNormal="85" workbookViewId="0">
      <selection activeCell="H7" sqref="H7"/>
    </sheetView>
  </sheetViews>
  <sheetFormatPr baseColWidth="10" defaultRowHeight="12.75"/>
  <cols>
    <col min="1" max="1" width="2.7109375" customWidth="1"/>
    <col min="2" max="2" width="2.7109375" style="1" customWidth="1"/>
    <col min="3" max="3" width="36.5703125" style="1" customWidth="1"/>
    <col min="4" max="4" width="14.42578125" style="1" bestFit="1" customWidth="1"/>
    <col min="5" max="5" width="14.42578125" style="1" customWidth="1"/>
    <col min="6" max="6" width="17.85546875" style="1" bestFit="1" customWidth="1"/>
    <col min="7" max="7" width="16.5703125" style="1" customWidth="1"/>
    <col min="8" max="8" width="18.140625" style="1" customWidth="1"/>
    <col min="9" max="9" width="32.7109375" customWidth="1"/>
    <col min="10" max="10" width="12.7109375" style="2" customWidth="1"/>
    <col min="12" max="12" width="12.7109375" style="2" customWidth="1"/>
  </cols>
  <sheetData>
    <row r="1" spans="1:8">
      <c r="A1" s="1093" t="s">
        <v>0</v>
      </c>
      <c r="B1" s="1093"/>
      <c r="C1" s="1093"/>
      <c r="D1" s="1093"/>
      <c r="E1" s="1093"/>
      <c r="F1" s="1093"/>
      <c r="G1" s="1093"/>
      <c r="H1" s="3"/>
    </row>
    <row r="2" spans="1:8">
      <c r="A2" s="1093" t="s">
        <v>1</v>
      </c>
      <c r="B2" s="1093"/>
      <c r="C2" s="1093"/>
      <c r="D2" s="1093"/>
      <c r="E2" s="1093"/>
      <c r="F2" s="1093"/>
      <c r="G2" s="1093"/>
      <c r="H2" s="3"/>
    </row>
    <row r="3" spans="1:8">
      <c r="A3" s="1093" t="s">
        <v>2</v>
      </c>
      <c r="B3" s="1093"/>
      <c r="C3" s="1093"/>
      <c r="D3" s="1093"/>
      <c r="E3" s="1093"/>
      <c r="F3" s="1093"/>
      <c r="G3" s="1093"/>
      <c r="H3" s="3"/>
    </row>
    <row r="4" spans="1:8">
      <c r="A4" s="1093" t="s">
        <v>3</v>
      </c>
      <c r="B4" s="1093"/>
      <c r="C4" s="1093"/>
      <c r="D4" s="1093"/>
      <c r="E4" s="1093"/>
      <c r="F4" s="1093"/>
      <c r="G4" s="1093"/>
      <c r="H4" s="3"/>
    </row>
    <row r="5" spans="1:8">
      <c r="A5" s="1093" t="s">
        <v>378</v>
      </c>
      <c r="B5" s="1093"/>
      <c r="C5" s="1093"/>
      <c r="D5" s="1093"/>
      <c r="E5" s="1093"/>
      <c r="F5" s="1093"/>
      <c r="G5" s="1093"/>
      <c r="H5" s="3"/>
    </row>
    <row r="6" spans="1:8">
      <c r="A6" s="4"/>
      <c r="B6" s="5"/>
      <c r="C6" s="5"/>
      <c r="D6" s="5"/>
      <c r="E6" s="5"/>
      <c r="F6" s="5"/>
    </row>
    <row r="7" spans="1:8">
      <c r="A7" s="6" t="s">
        <v>4</v>
      </c>
      <c r="B7" s="7"/>
      <c r="C7" s="7"/>
      <c r="D7" s="7"/>
      <c r="E7" s="7"/>
      <c r="F7" s="7"/>
      <c r="G7" s="8">
        <f>SUM(G9:G107)</f>
        <v>0</v>
      </c>
    </row>
    <row r="8" spans="1:8">
      <c r="A8" s="4"/>
      <c r="B8" s="5"/>
      <c r="C8" s="5"/>
      <c r="D8" s="5"/>
      <c r="E8" s="5"/>
      <c r="F8" s="5"/>
      <c r="G8" s="5"/>
    </row>
    <row r="9" spans="1:8">
      <c r="A9" s="4" t="s">
        <v>5</v>
      </c>
      <c r="B9" s="5"/>
      <c r="C9" s="5"/>
      <c r="D9" s="5">
        <v>2010</v>
      </c>
      <c r="E9" s="5">
        <v>2011</v>
      </c>
      <c r="F9" s="5"/>
      <c r="G9" s="5">
        <f>SUM(F10:F33)</f>
        <v>0</v>
      </c>
    </row>
    <row r="10" spans="1:8">
      <c r="A10" s="4"/>
      <c r="B10" s="5" t="s">
        <v>6</v>
      </c>
      <c r="C10" s="5"/>
      <c r="D10" s="5"/>
      <c r="E10" s="5"/>
      <c r="F10" s="9">
        <f>SUM(D11:D29)</f>
        <v>0</v>
      </c>
    </row>
    <row r="11" spans="1:8">
      <c r="C11" s="1" t="s">
        <v>379</v>
      </c>
    </row>
    <row r="12" spans="1:8">
      <c r="C12" s="1" t="s">
        <v>381</v>
      </c>
    </row>
    <row r="13" spans="1:8">
      <c r="C13" t="s">
        <v>382</v>
      </c>
    </row>
    <row r="14" spans="1:8">
      <c r="C14" t="s">
        <v>383</v>
      </c>
    </row>
    <row r="15" spans="1:8">
      <c r="C15" t="s">
        <v>384</v>
      </c>
    </row>
    <row r="16" spans="1:8">
      <c r="C16" t="s">
        <v>385</v>
      </c>
    </row>
    <row r="17" spans="2:10">
      <c r="B17"/>
      <c r="C17" t="s">
        <v>386</v>
      </c>
      <c r="D17"/>
      <c r="E17"/>
      <c r="F17"/>
      <c r="G17"/>
      <c r="H17"/>
      <c r="J17"/>
    </row>
    <row r="18" spans="2:10">
      <c r="B18"/>
      <c r="C18" t="s">
        <v>387</v>
      </c>
      <c r="D18"/>
      <c r="E18"/>
      <c r="F18"/>
      <c r="G18"/>
      <c r="H18"/>
      <c r="J18"/>
    </row>
    <row r="19" spans="2:10">
      <c r="B19"/>
      <c r="C19" t="s">
        <v>388</v>
      </c>
      <c r="D19"/>
      <c r="E19"/>
      <c r="F19"/>
      <c r="G19"/>
      <c r="H19"/>
      <c r="J19"/>
    </row>
    <row r="20" spans="2:10">
      <c r="B20"/>
      <c r="C20" t="s">
        <v>389</v>
      </c>
      <c r="D20"/>
      <c r="E20"/>
      <c r="F20"/>
      <c r="G20"/>
      <c r="H20"/>
      <c r="J20"/>
    </row>
    <row r="21" spans="2:10">
      <c r="B21"/>
      <c r="C21" t="s">
        <v>390</v>
      </c>
      <c r="D21"/>
      <c r="E21"/>
      <c r="F21"/>
      <c r="G21"/>
      <c r="H21"/>
      <c r="J21"/>
    </row>
    <row r="22" spans="2:10">
      <c r="B22"/>
      <c r="C22" t="s">
        <v>391</v>
      </c>
      <c r="D22"/>
      <c r="E22"/>
      <c r="F22"/>
      <c r="G22"/>
      <c r="H22"/>
      <c r="J22"/>
    </row>
    <row r="24" spans="2:10">
      <c r="C24" s="1" t="s">
        <v>7</v>
      </c>
      <c r="J24"/>
    </row>
    <row r="25" spans="2:10">
      <c r="C25" s="1" t="s">
        <v>8</v>
      </c>
      <c r="J25"/>
    </row>
    <row r="26" spans="2:10">
      <c r="C26" s="1" t="s">
        <v>9</v>
      </c>
      <c r="H26" s="1">
        <f>+D26+D28</f>
        <v>0</v>
      </c>
      <c r="I26" t="s">
        <v>10</v>
      </c>
      <c r="J26"/>
    </row>
    <row r="27" spans="2:10">
      <c r="C27" s="1" t="s">
        <v>11</v>
      </c>
      <c r="D27" s="1">
        <v>0</v>
      </c>
      <c r="H27" s="1">
        <v>0</v>
      </c>
      <c r="I27" s="4" t="s">
        <v>8</v>
      </c>
      <c r="J27"/>
    </row>
    <row r="28" spans="2:10">
      <c r="C28" s="1" t="s">
        <v>8</v>
      </c>
      <c r="H28" s="10">
        <v>0</v>
      </c>
      <c r="I28" s="11" t="s">
        <v>12</v>
      </c>
      <c r="J28" s="12">
        <v>0</v>
      </c>
    </row>
    <row r="29" spans="2:10">
      <c r="H29" s="10">
        <v>0</v>
      </c>
      <c r="I29" s="11" t="s">
        <v>13</v>
      </c>
      <c r="J29" s="12">
        <v>0</v>
      </c>
    </row>
    <row r="30" spans="2:10">
      <c r="H30" s="10">
        <v>0</v>
      </c>
      <c r="I30" s="11" t="s">
        <v>14</v>
      </c>
      <c r="J30" s="2">
        <v>0</v>
      </c>
    </row>
    <row r="31" spans="2:10">
      <c r="B31" s="5" t="s">
        <v>15</v>
      </c>
      <c r="C31" s="5"/>
      <c r="F31" s="13">
        <f>SUM(D32:D33)</f>
        <v>0</v>
      </c>
      <c r="H31" s="10">
        <v>0</v>
      </c>
      <c r="I31" s="11" t="s">
        <v>16</v>
      </c>
      <c r="J31" s="2">
        <v>0</v>
      </c>
    </row>
    <row r="32" spans="2:10">
      <c r="C32" s="1" t="s">
        <v>17</v>
      </c>
      <c r="H32" s="14">
        <v>0</v>
      </c>
      <c r="I32" s="11" t="s">
        <v>18</v>
      </c>
      <c r="J32" s="2">
        <v>0</v>
      </c>
    </row>
    <row r="33" spans="1:10">
      <c r="C33" s="1" t="s">
        <v>19</v>
      </c>
      <c r="H33" s="14">
        <v>0</v>
      </c>
      <c r="I33" s="11" t="s">
        <v>20</v>
      </c>
      <c r="J33" s="12">
        <v>0</v>
      </c>
    </row>
    <row r="34" spans="1:10">
      <c r="H34" s="14">
        <v>0</v>
      </c>
      <c r="I34" s="11" t="s">
        <v>21</v>
      </c>
      <c r="J34" s="12">
        <v>0</v>
      </c>
    </row>
    <row r="35" spans="1:10">
      <c r="A35" s="4" t="s">
        <v>22</v>
      </c>
      <c r="B35" s="5"/>
      <c r="C35" s="5"/>
      <c r="G35" s="5">
        <f>SUM(F36:F48)</f>
        <v>0</v>
      </c>
      <c r="H35" s="14">
        <v>0</v>
      </c>
      <c r="I35" s="11" t="s">
        <v>23</v>
      </c>
      <c r="J35" s="12">
        <v>0</v>
      </c>
    </row>
    <row r="36" spans="1:10">
      <c r="B36" s="1" t="s">
        <v>24</v>
      </c>
      <c r="F36" s="13">
        <f>SUM(D37:D45)</f>
        <v>0</v>
      </c>
      <c r="H36" s="14">
        <v>0</v>
      </c>
      <c r="I36" s="11" t="s">
        <v>25</v>
      </c>
      <c r="J36" s="12">
        <v>0</v>
      </c>
    </row>
    <row r="37" spans="1:10">
      <c r="C37" s="1" t="s">
        <v>26</v>
      </c>
      <c r="H37" s="14">
        <v>0</v>
      </c>
      <c r="I37" s="11" t="s">
        <v>27</v>
      </c>
      <c r="J37" s="12">
        <v>0</v>
      </c>
    </row>
    <row r="38" spans="1:10">
      <c r="C38" s="1" t="s">
        <v>28</v>
      </c>
      <c r="D38" s="1">
        <v>0</v>
      </c>
      <c r="H38" s="14">
        <v>0</v>
      </c>
      <c r="I38" s="11" t="s">
        <v>29</v>
      </c>
      <c r="J38" s="12">
        <v>0</v>
      </c>
    </row>
    <row r="39" spans="1:10">
      <c r="C39" s="1" t="s">
        <v>30</v>
      </c>
      <c r="H39" s="14">
        <v>0</v>
      </c>
      <c r="I39" s="11" t="s">
        <v>31</v>
      </c>
      <c r="J39" s="12">
        <v>0</v>
      </c>
    </row>
    <row r="40" spans="1:10">
      <c r="C40" s="1" t="s">
        <v>32</v>
      </c>
      <c r="H40" s="14">
        <v>0</v>
      </c>
      <c r="I40" s="11" t="s">
        <v>33</v>
      </c>
      <c r="J40" s="12">
        <v>0</v>
      </c>
    </row>
    <row r="41" spans="1:10">
      <c r="C41" s="1" t="s">
        <v>34</v>
      </c>
      <c r="D41" s="1">
        <v>0</v>
      </c>
      <c r="I41" s="15"/>
      <c r="J41" s="12"/>
    </row>
    <row r="42" spans="1:10">
      <c r="C42" s="1" t="s">
        <v>35</v>
      </c>
      <c r="D42" s="1">
        <v>0</v>
      </c>
      <c r="H42" s="1">
        <f>F36+F46</f>
        <v>0</v>
      </c>
      <c r="I42" s="11" t="s">
        <v>36</v>
      </c>
    </row>
    <row r="43" spans="1:10">
      <c r="C43" s="1" t="s">
        <v>37</v>
      </c>
      <c r="D43" s="1">
        <v>0</v>
      </c>
    </row>
    <row r="44" spans="1:10">
      <c r="C44" s="1" t="s">
        <v>38</v>
      </c>
      <c r="D44" s="16">
        <v>0</v>
      </c>
      <c r="E44" s="16"/>
      <c r="H44" s="1">
        <v>0</v>
      </c>
      <c r="I44" t="s">
        <v>39</v>
      </c>
    </row>
    <row r="45" spans="1:10">
      <c r="B45" s="1" t="s">
        <v>40</v>
      </c>
      <c r="H45" s="1">
        <v>0</v>
      </c>
      <c r="I45" t="s">
        <v>41</v>
      </c>
    </row>
    <row r="46" spans="1:10">
      <c r="A46" s="4"/>
      <c r="B46" s="1" t="s">
        <v>42</v>
      </c>
      <c r="F46" s="9">
        <f>SUM(D46)</f>
        <v>0</v>
      </c>
      <c r="H46" s="1">
        <v>0</v>
      </c>
      <c r="I46" t="s">
        <v>42</v>
      </c>
    </row>
    <row r="47" spans="1:10">
      <c r="H47" s="1">
        <v>0</v>
      </c>
    </row>
    <row r="48" spans="1:10">
      <c r="A48" s="4" t="s">
        <v>43</v>
      </c>
      <c r="F48" s="9">
        <f>D49</f>
        <v>0</v>
      </c>
      <c r="H48" s="1">
        <v>0</v>
      </c>
      <c r="I48" t="s">
        <v>44</v>
      </c>
    </row>
    <row r="49" spans="1:10">
      <c r="B49" s="17" t="s">
        <v>45</v>
      </c>
      <c r="D49" s="1">
        <f>H47+H48+H49+H50</f>
        <v>0</v>
      </c>
      <c r="H49" s="1">
        <v>0</v>
      </c>
    </row>
    <row r="50" spans="1:10">
      <c r="H50" s="1">
        <v>0</v>
      </c>
    </row>
    <row r="51" spans="1:10">
      <c r="A51" s="4" t="s">
        <v>46</v>
      </c>
      <c r="B51" s="5"/>
      <c r="C51" s="5"/>
      <c r="D51" s="5"/>
      <c r="E51" s="5"/>
      <c r="F51" s="5"/>
      <c r="G51" s="5">
        <f>+F52+F54+F60+F64+F67+F69+F71+F73-F89</f>
        <v>0</v>
      </c>
    </row>
    <row r="52" spans="1:10">
      <c r="A52" s="4"/>
      <c r="B52" s="17" t="s">
        <v>6</v>
      </c>
      <c r="C52" s="5"/>
      <c r="D52" s="5"/>
      <c r="E52" s="5"/>
      <c r="F52" s="9">
        <f>D53</f>
        <v>0</v>
      </c>
      <c r="G52" s="5"/>
      <c r="H52" s="18" t="s">
        <v>47</v>
      </c>
      <c r="I52" t="s">
        <v>12</v>
      </c>
      <c r="J52" s="2" t="s">
        <v>48</v>
      </c>
    </row>
    <row r="53" spans="1:10">
      <c r="A53" s="4"/>
      <c r="B53" s="5"/>
      <c r="C53" s="1" t="s">
        <v>7</v>
      </c>
      <c r="D53" s="17"/>
      <c r="E53" s="17"/>
      <c r="F53" s="5"/>
      <c r="G53" s="5"/>
      <c r="H53" s="1">
        <v>0</v>
      </c>
      <c r="I53" s="1">
        <v>0</v>
      </c>
      <c r="J53" s="1">
        <v>0</v>
      </c>
    </row>
    <row r="54" spans="1:10">
      <c r="B54" s="1" t="s">
        <v>49</v>
      </c>
      <c r="F54" s="9">
        <f>+D55+D56+D57+D58</f>
        <v>0</v>
      </c>
    </row>
    <row r="55" spans="1:10">
      <c r="C55" s="1" t="s">
        <v>50</v>
      </c>
      <c r="D55" s="1">
        <v>0</v>
      </c>
    </row>
    <row r="56" spans="1:10">
      <c r="C56" s="1" t="s">
        <v>42</v>
      </c>
    </row>
    <row r="57" spans="1:10">
      <c r="C57" s="1" t="s">
        <v>51</v>
      </c>
    </row>
    <row r="58" spans="1:10">
      <c r="C58" s="1" t="s">
        <v>52</v>
      </c>
    </row>
    <row r="59" spans="1:10">
      <c r="B59" s="1" t="s">
        <v>53</v>
      </c>
      <c r="J59"/>
    </row>
    <row r="60" spans="1:10">
      <c r="B60" s="1" t="s">
        <v>54</v>
      </c>
      <c r="F60" s="9">
        <f>+D61+D62+D63+D65</f>
        <v>0</v>
      </c>
      <c r="J60"/>
    </row>
    <row r="61" spans="1:10">
      <c r="C61" s="1" t="s">
        <v>55</v>
      </c>
      <c r="J61"/>
    </row>
    <row r="62" spans="1:10">
      <c r="C62" s="1" t="s">
        <v>56</v>
      </c>
      <c r="H62" s="1">
        <f>F60+F64</f>
        <v>0</v>
      </c>
      <c r="J62"/>
    </row>
    <row r="63" spans="1:10">
      <c r="C63" s="1" t="s">
        <v>56</v>
      </c>
      <c r="J63"/>
    </row>
    <row r="64" spans="1:10">
      <c r="B64" s="1" t="s">
        <v>57</v>
      </c>
      <c r="F64" s="9">
        <f>D66</f>
        <v>0</v>
      </c>
      <c r="J64"/>
    </row>
    <row r="65" spans="2:9" customFormat="1">
      <c r="B65" s="1"/>
      <c r="C65" s="1" t="s">
        <v>58</v>
      </c>
      <c r="D65" s="1"/>
      <c r="E65" s="1"/>
      <c r="F65" s="1"/>
      <c r="G65" s="1"/>
      <c r="H65" s="1">
        <f>D61+D62+D63+D65</f>
        <v>0</v>
      </c>
    </row>
    <row r="66" spans="2:9" customFormat="1">
      <c r="B66" s="1"/>
      <c r="C66" s="1" t="s">
        <v>59</v>
      </c>
      <c r="D66" s="1">
        <f>SUM(H67:H69)</f>
        <v>0</v>
      </c>
      <c r="E66" s="1"/>
      <c r="F66" s="1"/>
      <c r="G66" s="1"/>
      <c r="H66" s="14"/>
      <c r="I66" t="s">
        <v>60</v>
      </c>
    </row>
    <row r="67" spans="2:9" customFormat="1">
      <c r="B67" s="1" t="s">
        <v>61</v>
      </c>
      <c r="C67" s="1"/>
      <c r="D67" s="1"/>
      <c r="E67" s="1"/>
      <c r="F67" s="1">
        <f>+D68</f>
        <v>0</v>
      </c>
      <c r="G67" s="1"/>
      <c r="H67" s="1"/>
    </row>
    <row r="68" spans="2:9" customFormat="1">
      <c r="B68" s="1"/>
      <c r="C68" s="1" t="s">
        <v>62</v>
      </c>
      <c r="D68" s="1">
        <v>0</v>
      </c>
      <c r="E68" s="1"/>
      <c r="F68" s="1"/>
      <c r="G68" s="1"/>
      <c r="H68" s="1"/>
      <c r="I68" t="s">
        <v>63</v>
      </c>
    </row>
    <row r="69" spans="2:9" customFormat="1">
      <c r="B69" s="1" t="s">
        <v>64</v>
      </c>
      <c r="C69" s="1"/>
      <c r="D69" s="1"/>
      <c r="E69" s="1"/>
      <c r="F69" s="1">
        <f>D70</f>
        <v>0</v>
      </c>
      <c r="G69" s="1"/>
      <c r="H69" s="1"/>
      <c r="I69" t="s">
        <v>65</v>
      </c>
    </row>
    <row r="70" spans="2:9" customFormat="1">
      <c r="B70" s="1"/>
      <c r="C70" s="1" t="s">
        <v>66</v>
      </c>
      <c r="D70" s="1">
        <v>0</v>
      </c>
      <c r="E70" s="1"/>
      <c r="F70" s="1"/>
      <c r="G70" s="1"/>
      <c r="H70" s="1"/>
    </row>
    <row r="71" spans="2:9" customFormat="1">
      <c r="B71" s="1" t="s">
        <v>67</v>
      </c>
      <c r="C71" s="1"/>
      <c r="D71" s="1"/>
      <c r="E71" s="1"/>
      <c r="F71" s="9">
        <f>D72</f>
        <v>0</v>
      </c>
      <c r="G71" s="1"/>
      <c r="H71" s="1">
        <v>0</v>
      </c>
    </row>
    <row r="72" spans="2:9" customFormat="1">
      <c r="B72" s="1"/>
      <c r="C72" s="1" t="s">
        <v>68</v>
      </c>
      <c r="D72" s="1">
        <f>SUM(H71:H76)</f>
        <v>0</v>
      </c>
      <c r="E72" s="1"/>
      <c r="F72" s="1"/>
      <c r="G72" s="1"/>
      <c r="H72" s="1"/>
    </row>
    <row r="73" spans="2:9" customFormat="1">
      <c r="B73" s="1" t="s">
        <v>69</v>
      </c>
      <c r="C73" s="1"/>
      <c r="D73" s="1"/>
      <c r="E73" s="1"/>
      <c r="F73" s="5">
        <f>SUM(D74:D88)</f>
        <v>0</v>
      </c>
      <c r="G73" s="1"/>
      <c r="H73" s="1"/>
    </row>
    <row r="74" spans="2:9" customFormat="1">
      <c r="B74" s="1"/>
      <c r="C74" s="1" t="s">
        <v>70</v>
      </c>
      <c r="D74" s="1"/>
      <c r="E74" s="1"/>
      <c r="F74" s="1"/>
      <c r="G74" s="1"/>
      <c r="H74" s="1"/>
    </row>
    <row r="75" spans="2:9" customFormat="1">
      <c r="B75" s="1"/>
      <c r="C75" s="1" t="s">
        <v>71</v>
      </c>
      <c r="D75" s="1"/>
      <c r="E75" s="1"/>
      <c r="F75" s="1"/>
      <c r="G75" s="1"/>
      <c r="H75" s="1"/>
    </row>
    <row r="76" spans="2:9" customFormat="1">
      <c r="B76" s="1"/>
      <c r="C76" s="1" t="s">
        <v>72</v>
      </c>
      <c r="D76" s="1"/>
      <c r="E76" s="1"/>
      <c r="F76" s="1"/>
      <c r="G76" s="1"/>
      <c r="H76" s="1"/>
    </row>
    <row r="77" spans="2:9" customFormat="1">
      <c r="B77" s="1"/>
      <c r="C77" s="1" t="s">
        <v>73</v>
      </c>
      <c r="D77" s="1"/>
      <c r="E77" s="1"/>
      <c r="F77" s="1"/>
      <c r="G77" s="1"/>
      <c r="H77" s="1"/>
    </row>
    <row r="78" spans="2:9" customFormat="1">
      <c r="B78" s="1"/>
      <c r="C78" s="1" t="s">
        <v>74</v>
      </c>
      <c r="D78" s="1"/>
      <c r="E78" s="1"/>
      <c r="F78" s="1"/>
      <c r="G78" s="1"/>
      <c r="H78" s="1"/>
    </row>
    <row r="79" spans="2:9" customFormat="1">
      <c r="B79" s="1"/>
      <c r="C79" s="1" t="s">
        <v>75</v>
      </c>
      <c r="D79" s="1"/>
      <c r="E79" s="1"/>
      <c r="F79" s="1"/>
      <c r="G79" s="1"/>
      <c r="H79" s="1"/>
    </row>
    <row r="80" spans="2:9" customFormat="1">
      <c r="B80" s="1"/>
      <c r="C80" s="1" t="s">
        <v>76</v>
      </c>
      <c r="D80" s="1"/>
      <c r="E80" s="1"/>
      <c r="F80" s="1"/>
      <c r="G80" s="1"/>
      <c r="H80" s="1"/>
    </row>
    <row r="81" spans="2:9" customFormat="1">
      <c r="B81" s="1"/>
      <c r="C81" s="1" t="s">
        <v>77</v>
      </c>
      <c r="D81" s="1"/>
      <c r="E81" s="1"/>
      <c r="F81" s="1"/>
      <c r="G81" s="1"/>
      <c r="H81" s="1"/>
    </row>
    <row r="82" spans="2:9" customFormat="1">
      <c r="B82" s="1"/>
      <c r="C82" s="1" t="s">
        <v>78</v>
      </c>
      <c r="D82" s="1"/>
      <c r="E82" s="1"/>
      <c r="F82" s="1"/>
      <c r="G82" s="1"/>
      <c r="H82" s="1"/>
    </row>
    <row r="83" spans="2:9" customFormat="1">
      <c r="B83" s="1"/>
      <c r="C83" s="1" t="s">
        <v>79</v>
      </c>
      <c r="D83" s="1"/>
      <c r="E83" s="1"/>
      <c r="F83" s="1"/>
      <c r="G83" s="1"/>
      <c r="H83" s="1"/>
    </row>
    <row r="84" spans="2:9" customFormat="1">
      <c r="B84" s="1"/>
      <c r="C84" s="1" t="s">
        <v>80</v>
      </c>
      <c r="D84" s="1"/>
      <c r="E84" s="1"/>
      <c r="F84" s="1"/>
      <c r="G84" s="1"/>
      <c r="H84" s="1"/>
    </row>
    <row r="85" spans="2:9" customFormat="1">
      <c r="B85" s="1"/>
      <c r="C85" s="1" t="s">
        <v>81</v>
      </c>
      <c r="D85" s="1"/>
      <c r="E85" s="1"/>
      <c r="F85" s="1"/>
      <c r="G85" s="1"/>
      <c r="H85" s="1"/>
    </row>
    <row r="86" spans="2:9" customFormat="1">
      <c r="B86" s="1"/>
      <c r="C86" s="1" t="s">
        <v>82</v>
      </c>
      <c r="D86" s="1"/>
      <c r="E86" s="1"/>
      <c r="F86" s="1"/>
      <c r="G86" s="1"/>
      <c r="H86" s="1"/>
    </row>
    <row r="87" spans="2:9" customFormat="1">
      <c r="B87" s="1"/>
      <c r="C87" s="1" t="s">
        <v>83</v>
      </c>
      <c r="D87" s="1"/>
      <c r="E87" s="1"/>
      <c r="F87" s="1"/>
      <c r="G87" s="1"/>
      <c r="H87" s="1"/>
    </row>
    <row r="88" spans="2:9" customFormat="1">
      <c r="B88" s="1"/>
      <c r="C88" s="1" t="s">
        <v>84</v>
      </c>
      <c r="D88" s="1"/>
      <c r="E88" s="1"/>
      <c r="F88" s="1"/>
      <c r="G88" s="1"/>
      <c r="H88" s="1"/>
    </row>
    <row r="89" spans="2:9" customFormat="1">
      <c r="B89" s="1" t="s">
        <v>85</v>
      </c>
      <c r="C89" s="1"/>
      <c r="D89" s="1"/>
      <c r="E89" s="1"/>
      <c r="F89" s="5">
        <f>SUM(D90:D102)</f>
        <v>0</v>
      </c>
      <c r="G89" s="1"/>
      <c r="H89" s="1"/>
    </row>
    <row r="90" spans="2:9" customFormat="1">
      <c r="B90" s="1"/>
      <c r="C90" s="1" t="s">
        <v>70</v>
      </c>
      <c r="D90" s="1">
        <v>0</v>
      </c>
      <c r="E90" s="1"/>
      <c r="F90" s="1"/>
      <c r="G90" s="1"/>
      <c r="H90" s="1"/>
    </row>
    <row r="91" spans="2:9" customFormat="1">
      <c r="B91" s="1"/>
      <c r="C91" s="1" t="s">
        <v>71</v>
      </c>
      <c r="D91" s="1">
        <v>0</v>
      </c>
      <c r="E91" s="1"/>
      <c r="F91" s="1"/>
      <c r="G91" s="1"/>
      <c r="H91" s="1"/>
    </row>
    <row r="92" spans="2:9" customFormat="1">
      <c r="B92" s="1"/>
      <c r="C92" s="1" t="s">
        <v>72</v>
      </c>
      <c r="D92" s="1">
        <v>0</v>
      </c>
      <c r="E92" s="1"/>
      <c r="F92" s="1"/>
      <c r="G92" s="1"/>
      <c r="H92" s="1"/>
    </row>
    <row r="93" spans="2:9" customFormat="1">
      <c r="B93" s="1"/>
      <c r="C93" s="1" t="s">
        <v>73</v>
      </c>
      <c r="D93" s="1">
        <v>0</v>
      </c>
      <c r="E93" s="1"/>
      <c r="F93" s="1"/>
      <c r="G93" s="1"/>
      <c r="H93" s="1"/>
    </row>
    <row r="94" spans="2:9" customFormat="1">
      <c r="B94" s="1"/>
      <c r="C94" s="1" t="s">
        <v>74</v>
      </c>
      <c r="D94" s="1">
        <v>0</v>
      </c>
      <c r="E94" s="1"/>
      <c r="F94" s="1"/>
      <c r="G94" s="1"/>
      <c r="H94" s="1"/>
    </row>
    <row r="95" spans="2:9" customFormat="1">
      <c r="B95" s="1"/>
      <c r="C95" s="1" t="s">
        <v>75</v>
      </c>
      <c r="D95" s="1">
        <v>0</v>
      </c>
      <c r="E95" s="1"/>
      <c r="F95" s="1"/>
      <c r="G95" s="1"/>
      <c r="H95" s="1"/>
    </row>
    <row r="96" spans="2:9" customFormat="1">
      <c r="B96" s="1"/>
      <c r="C96" s="1" t="s">
        <v>84</v>
      </c>
      <c r="D96" s="1">
        <v>0</v>
      </c>
      <c r="E96" s="1"/>
      <c r="F96" s="1"/>
      <c r="G96" s="1"/>
      <c r="H96" s="1">
        <f>D96*83.24/100</f>
        <v>0</v>
      </c>
      <c r="I96" t="s">
        <v>86</v>
      </c>
    </row>
    <row r="97" spans="1:9" customFormat="1">
      <c r="B97" s="1"/>
      <c r="C97" s="1" t="s">
        <v>87</v>
      </c>
      <c r="D97" s="1">
        <v>0</v>
      </c>
      <c r="E97" s="1"/>
      <c r="F97" s="1"/>
      <c r="G97" s="1"/>
      <c r="H97" s="1">
        <f>D96-H96</f>
        <v>0</v>
      </c>
      <c r="I97" t="s">
        <v>88</v>
      </c>
    </row>
    <row r="98" spans="1:9" customFormat="1" ht="13.5" thickBot="1">
      <c r="B98" s="1"/>
      <c r="C98" s="1" t="s">
        <v>89</v>
      </c>
      <c r="D98" s="1">
        <v>0</v>
      </c>
      <c r="E98" s="1"/>
      <c r="F98" s="1"/>
      <c r="G98" s="1"/>
      <c r="H98" s="19">
        <f>SUM(H96:H97)</f>
        <v>0</v>
      </c>
    </row>
    <row r="99" spans="1:9" customFormat="1" ht="13.5" thickTop="1">
      <c r="B99" s="1"/>
      <c r="C99" s="1" t="s">
        <v>79</v>
      </c>
      <c r="D99" s="1">
        <v>0</v>
      </c>
      <c r="E99" s="1"/>
      <c r="F99" s="1"/>
      <c r="G99" s="1"/>
      <c r="H99" s="1"/>
    </row>
    <row r="100" spans="1:9" customFormat="1">
      <c r="B100" s="1"/>
      <c r="C100" s="1" t="s">
        <v>80</v>
      </c>
      <c r="D100" s="1">
        <v>0</v>
      </c>
      <c r="E100" s="1"/>
      <c r="F100" s="1"/>
      <c r="G100" s="1"/>
      <c r="H100" s="1"/>
    </row>
    <row r="101" spans="1:9" customFormat="1">
      <c r="B101" s="1"/>
      <c r="C101" s="1" t="s">
        <v>81</v>
      </c>
      <c r="D101" s="1">
        <v>0</v>
      </c>
      <c r="E101" s="1"/>
      <c r="F101" s="1"/>
      <c r="G101" s="1"/>
      <c r="H101" s="1"/>
    </row>
    <row r="102" spans="1:9" customFormat="1">
      <c r="B102" s="1"/>
      <c r="C102" s="1" t="s">
        <v>83</v>
      </c>
      <c r="D102" s="1">
        <v>0</v>
      </c>
      <c r="E102" s="1"/>
      <c r="F102" s="1"/>
      <c r="G102" s="1"/>
      <c r="H102" s="1"/>
    </row>
    <row r="104" spans="1:9" customFormat="1">
      <c r="A104" s="4" t="s">
        <v>90</v>
      </c>
      <c r="B104" s="5"/>
      <c r="C104" s="5"/>
      <c r="D104" s="5"/>
      <c r="E104" s="5"/>
      <c r="F104" s="5"/>
      <c r="G104" s="5"/>
      <c r="H104" s="1"/>
    </row>
    <row r="106" spans="1:9" customFormat="1">
      <c r="A106" s="4" t="s">
        <v>91</v>
      </c>
      <c r="B106" s="1"/>
      <c r="C106" s="1"/>
      <c r="D106" s="1"/>
      <c r="E106" s="1"/>
      <c r="F106" s="1"/>
      <c r="G106" s="5">
        <f>F107</f>
        <v>0</v>
      </c>
      <c r="H106" s="1"/>
    </row>
    <row r="107" spans="1:9" customFormat="1">
      <c r="B107" s="1" t="s">
        <v>92</v>
      </c>
      <c r="C107" s="1"/>
      <c r="D107" s="1"/>
      <c r="E107" s="1"/>
      <c r="F107" s="1">
        <v>0</v>
      </c>
      <c r="G107" s="5"/>
    </row>
  </sheetData>
  <mergeCells count="5">
    <mergeCell ref="A5:G5"/>
    <mergeCell ref="A1:G1"/>
    <mergeCell ref="A2:G2"/>
    <mergeCell ref="A3:G3"/>
    <mergeCell ref="A4:G4"/>
  </mergeCells>
  <phoneticPr fontId="19" type="noConversion"/>
  <printOptions horizontalCentered="1"/>
  <pageMargins left="0.86597222222222225" right="0.74791666666666667" top="0.40972222222222227" bottom="0.98402777777777783" header="0.51180555555555562" footer="0.51180555555555562"/>
  <pageSetup paperSize="9" scale="63" firstPageNumber="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23"/>
  <sheetViews>
    <sheetView workbookViewId="0">
      <selection activeCell="A21" sqref="A21:C23"/>
    </sheetView>
  </sheetViews>
  <sheetFormatPr baseColWidth="10" defaultRowHeight="12.75"/>
  <cols>
    <col min="1" max="1" width="15" style="441" customWidth="1"/>
    <col min="2" max="2" width="13.28515625" style="441" bestFit="1" customWidth="1"/>
    <col min="3" max="3" width="13.42578125" style="441" bestFit="1" customWidth="1"/>
  </cols>
  <sheetData>
    <row r="6" spans="1:3">
      <c r="A6" s="691" t="s">
        <v>857</v>
      </c>
    </row>
    <row r="8" spans="1:3" ht="15" thickBot="1">
      <c r="A8" s="902" t="s">
        <v>1126</v>
      </c>
    </row>
    <row r="9" spans="1:3">
      <c r="A9" s="764" t="s">
        <v>858</v>
      </c>
      <c r="B9" s="765" t="s">
        <v>852</v>
      </c>
      <c r="C9" s="766" t="s">
        <v>856</v>
      </c>
    </row>
    <row r="10" spans="1:3">
      <c r="A10" s="767"/>
      <c r="B10" s="768"/>
      <c r="C10" s="769"/>
    </row>
    <row r="11" spans="1:3">
      <c r="A11" s="449"/>
      <c r="B11" s="452"/>
      <c r="C11" s="453"/>
    </row>
    <row r="12" spans="1:3">
      <c r="A12" s="743" t="s">
        <v>830</v>
      </c>
      <c r="B12" s="744"/>
      <c r="C12" s="745"/>
    </row>
    <row r="13" spans="1:3" ht="13.5" thickBot="1">
      <c r="A13" s="749" t="s">
        <v>829</v>
      </c>
      <c r="B13" s="774"/>
      <c r="C13" s="775"/>
    </row>
    <row r="21" spans="1:3">
      <c r="A21" s="1094" t="s">
        <v>944</v>
      </c>
      <c r="B21" s="1094"/>
      <c r="C21" s="1094"/>
    </row>
    <row r="22" spans="1:3">
      <c r="A22" s="1094" t="s">
        <v>237</v>
      </c>
      <c r="B22" s="1094"/>
      <c r="C22" s="1094"/>
    </row>
    <row r="23" spans="1:3">
      <c r="A23" s="1094" t="s">
        <v>1149</v>
      </c>
      <c r="B23" s="1094"/>
      <c r="C23" s="1094"/>
    </row>
  </sheetData>
  <mergeCells count="3">
    <mergeCell ref="A21:C21"/>
    <mergeCell ref="A22:C22"/>
    <mergeCell ref="A23:C23"/>
  </mergeCells>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H42"/>
  <sheetViews>
    <sheetView workbookViewId="0">
      <selection activeCell="G21" sqref="G21"/>
    </sheetView>
  </sheetViews>
  <sheetFormatPr baseColWidth="10" defaultRowHeight="12.75"/>
  <cols>
    <col min="1" max="1" width="31.85546875" style="441" customWidth="1"/>
    <col min="2" max="2" width="13.42578125" style="441" bestFit="1" customWidth="1"/>
    <col min="3" max="3" width="13.5703125" style="441" bestFit="1" customWidth="1"/>
    <col min="5" max="5" width="32.28515625" style="441" bestFit="1" customWidth="1"/>
    <col min="6" max="6" width="13.42578125" style="441" bestFit="1" customWidth="1"/>
    <col min="7" max="7" width="13.5703125" style="441" bestFit="1" customWidth="1"/>
    <col min="8" max="8" width="11.5703125" style="441" bestFit="1" customWidth="1"/>
  </cols>
  <sheetData>
    <row r="6" spans="1:8" ht="14.25">
      <c r="A6" s="885"/>
      <c r="B6"/>
    </row>
    <row r="7" spans="1:8" ht="14.25">
      <c r="A7" s="898" t="s">
        <v>1127</v>
      </c>
    </row>
    <row r="8" spans="1:8" ht="14.25">
      <c r="A8" s="898"/>
    </row>
    <row r="9" spans="1:8" ht="64.5" customHeight="1">
      <c r="A9" s="1143" t="s">
        <v>1206</v>
      </c>
      <c r="B9" s="1143"/>
      <c r="C9" s="1143"/>
    </row>
    <row r="10" spans="1:8" ht="14.25">
      <c r="A10" s="898"/>
    </row>
    <row r="11" spans="1:8" s="886" customFormat="1">
      <c r="A11" s="597"/>
      <c r="B11" s="597"/>
      <c r="C11" s="597"/>
      <c r="E11" s="597"/>
      <c r="F11" s="597"/>
      <c r="G11" s="597"/>
      <c r="H11" s="597"/>
    </row>
    <row r="12" spans="1:8" s="886" customFormat="1" ht="13.5" thickBot="1">
      <c r="A12" s="636" t="s">
        <v>859</v>
      </c>
      <c r="B12" s="636"/>
      <c r="C12" s="636"/>
    </row>
    <row r="13" spans="1:8">
      <c r="A13" s="446" t="s">
        <v>826</v>
      </c>
      <c r="B13" s="447" t="s">
        <v>852</v>
      </c>
      <c r="C13" s="448" t="s">
        <v>856</v>
      </c>
    </row>
    <row r="14" spans="1:8">
      <c r="A14" s="449" t="s">
        <v>860</v>
      </c>
      <c r="B14" s="694">
        <v>10412475</v>
      </c>
      <c r="C14" s="450">
        <v>0</v>
      </c>
    </row>
    <row r="15" spans="1:8">
      <c r="A15" s="449" t="s">
        <v>862</v>
      </c>
      <c r="B15" s="694">
        <f>80165+731000</f>
        <v>811165</v>
      </c>
      <c r="C15" s="450">
        <v>0</v>
      </c>
    </row>
    <row r="16" spans="1:8">
      <c r="A16" s="449" t="s">
        <v>863</v>
      </c>
      <c r="B16" s="694">
        <v>43407230</v>
      </c>
      <c r="C16" s="450">
        <v>0</v>
      </c>
    </row>
    <row r="17" spans="1:5">
      <c r="A17" s="449" t="s">
        <v>864</v>
      </c>
      <c r="B17" s="694">
        <v>0</v>
      </c>
      <c r="C17" s="450">
        <v>0</v>
      </c>
    </row>
    <row r="18" spans="1:5">
      <c r="A18" s="449" t="s">
        <v>1002</v>
      </c>
      <c r="B18" s="694">
        <v>3300000</v>
      </c>
      <c r="C18" s="450">
        <v>0</v>
      </c>
    </row>
    <row r="19" spans="1:5">
      <c r="A19" s="449" t="s">
        <v>866</v>
      </c>
      <c r="B19" s="451">
        <v>0</v>
      </c>
      <c r="C19" s="450">
        <v>0</v>
      </c>
    </row>
    <row r="20" spans="1:5">
      <c r="A20" s="770" t="s">
        <v>830</v>
      </c>
      <c r="B20" s="697">
        <f>SUM(B14:B19)</f>
        <v>57930870</v>
      </c>
      <c r="C20" s="779">
        <v>0</v>
      </c>
    </row>
    <row r="21" spans="1:5" ht="13.5" thickBot="1">
      <c r="A21" s="749" t="s">
        <v>829</v>
      </c>
      <c r="B21" s="780">
        <v>44428353</v>
      </c>
      <c r="C21" s="781">
        <v>0</v>
      </c>
    </row>
    <row r="24" spans="1:5">
      <c r="C24" s="847"/>
    </row>
    <row r="25" spans="1:5">
      <c r="C25" s="847"/>
    </row>
    <row r="26" spans="1:5" ht="13.5" thickBot="1">
      <c r="A26" s="636" t="s">
        <v>1128</v>
      </c>
      <c r="B26" s="636"/>
      <c r="C26" s="636"/>
      <c r="D26" s="597"/>
      <c r="E26" s="886"/>
    </row>
    <row r="27" spans="1:5">
      <c r="A27" s="446" t="s">
        <v>826</v>
      </c>
      <c r="B27" s="447" t="s">
        <v>852</v>
      </c>
      <c r="C27" s="448" t="s">
        <v>856</v>
      </c>
      <c r="D27" s="441"/>
      <c r="E27"/>
    </row>
    <row r="28" spans="1:5">
      <c r="A28" s="449" t="s">
        <v>867</v>
      </c>
      <c r="B28" s="694">
        <v>3879037</v>
      </c>
      <c r="C28" s="453">
        <v>0</v>
      </c>
      <c r="D28" s="441"/>
      <c r="E28"/>
    </row>
    <row r="29" spans="1:5">
      <c r="A29" s="449" t="s">
        <v>865</v>
      </c>
      <c r="B29" s="694">
        <v>73094</v>
      </c>
      <c r="C29" s="453">
        <v>0</v>
      </c>
      <c r="D29" s="441"/>
      <c r="E29"/>
    </row>
    <row r="30" spans="1:5">
      <c r="A30" s="449" t="s">
        <v>861</v>
      </c>
      <c r="B30" s="694">
        <v>0</v>
      </c>
      <c r="C30" s="450">
        <v>0</v>
      </c>
      <c r="D30" s="441"/>
      <c r="E30"/>
    </row>
    <row r="31" spans="1:5">
      <c r="A31" s="449" t="s">
        <v>1196</v>
      </c>
      <c r="B31" s="694">
        <v>6857653</v>
      </c>
      <c r="C31" s="453">
        <v>0</v>
      </c>
      <c r="D31" s="776"/>
      <c r="E31"/>
    </row>
    <row r="32" spans="1:5">
      <c r="A32" s="449" t="s">
        <v>1218</v>
      </c>
      <c r="B32" s="694">
        <v>8056792</v>
      </c>
      <c r="C32" s="453">
        <v>0</v>
      </c>
      <c r="D32" s="776"/>
      <c r="E32"/>
    </row>
    <row r="33" spans="1:5">
      <c r="A33" s="770" t="s">
        <v>830</v>
      </c>
      <c r="B33" s="697">
        <f>SUM(B28:B32)</f>
        <v>18866576</v>
      </c>
      <c r="C33" s="778">
        <v>0</v>
      </c>
      <c r="D33" s="442"/>
      <c r="E33"/>
    </row>
    <row r="34" spans="1:5" ht="13.5" thickBot="1">
      <c r="A34" s="749" t="s">
        <v>829</v>
      </c>
      <c r="B34" s="780">
        <v>32584764</v>
      </c>
      <c r="C34" s="775">
        <v>0</v>
      </c>
      <c r="D34" s="442"/>
      <c r="E34"/>
    </row>
    <row r="40" spans="1:5">
      <c r="A40" s="1094" t="s">
        <v>944</v>
      </c>
      <c r="B40" s="1094"/>
      <c r="C40" s="1094"/>
    </row>
    <row r="41" spans="1:5">
      <c r="A41" s="1094" t="s">
        <v>237</v>
      </c>
      <c r="B41" s="1094"/>
      <c r="C41" s="1094"/>
    </row>
    <row r="42" spans="1:5">
      <c r="A42" s="1094" t="s">
        <v>1149</v>
      </c>
      <c r="B42" s="1094"/>
      <c r="C42" s="1094"/>
    </row>
  </sheetData>
  <mergeCells count="4">
    <mergeCell ref="A9:C9"/>
    <mergeCell ref="A40:C40"/>
    <mergeCell ref="A41:C41"/>
    <mergeCell ref="A42:C42"/>
  </mergeCell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N33"/>
  <sheetViews>
    <sheetView workbookViewId="0">
      <selection activeCell="A9" sqref="A9"/>
    </sheetView>
  </sheetViews>
  <sheetFormatPr baseColWidth="10" defaultRowHeight="12.75"/>
  <cols>
    <col min="1" max="1" width="32.140625" style="441" customWidth="1"/>
    <col min="2" max="2" width="15.28515625" style="441" bestFit="1" customWidth="1"/>
    <col min="3" max="3" width="17.42578125" style="441" customWidth="1"/>
    <col min="4" max="4" width="17.5703125" style="441" customWidth="1"/>
    <col min="5" max="5" width="13.7109375" style="441" customWidth="1"/>
    <col min="6" max="6" width="12.42578125" style="441" bestFit="1" customWidth="1"/>
    <col min="7" max="8" width="11.5703125" style="441" bestFit="1" customWidth="1"/>
    <col min="9" max="9" width="32.5703125" style="441" customWidth="1"/>
    <col min="10" max="10" width="11.5703125" style="782" bestFit="1" customWidth="1"/>
    <col min="11" max="11" width="13.7109375" style="782" customWidth="1"/>
    <col min="12" max="12" width="11.5703125" style="782" bestFit="1" customWidth="1"/>
    <col min="13" max="14" width="11.42578125" style="782"/>
    <col min="15" max="16384" width="11.42578125" style="441"/>
  </cols>
  <sheetData>
    <row r="6" spans="1:4" ht="13.5" thickBot="1">
      <c r="A6" s="636" t="s">
        <v>1226</v>
      </c>
      <c r="B6" s="636"/>
      <c r="C6" s="636"/>
    </row>
    <row r="7" spans="1:4">
      <c r="A7" s="783" t="s">
        <v>826</v>
      </c>
      <c r="B7" s="784" t="s">
        <v>852</v>
      </c>
      <c r="C7" s="785" t="s">
        <v>856</v>
      </c>
    </row>
    <row r="8" spans="1:4">
      <c r="A8" s="449" t="s">
        <v>868</v>
      </c>
      <c r="B8" s="451">
        <v>0</v>
      </c>
      <c r="C8" s="450">
        <v>0</v>
      </c>
    </row>
    <row r="9" spans="1:4">
      <c r="A9" s="449" t="s">
        <v>1053</v>
      </c>
      <c r="B9" s="451">
        <v>0</v>
      </c>
      <c r="C9" s="450">
        <v>0</v>
      </c>
    </row>
    <row r="10" spans="1:4">
      <c r="A10" s="449" t="s">
        <v>790</v>
      </c>
      <c r="B10" s="451">
        <f>9328000477-1543157-19093570</f>
        <v>9307363750</v>
      </c>
      <c r="C10" s="450">
        <v>0</v>
      </c>
    </row>
    <row r="11" spans="1:4">
      <c r="A11" s="463" t="s">
        <v>830</v>
      </c>
      <c r="B11" s="1075">
        <f>SUM(B10)</f>
        <v>9307363750</v>
      </c>
      <c r="C11" s="1076">
        <v>0</v>
      </c>
      <c r="D11" s="776"/>
    </row>
    <row r="12" spans="1:4" ht="13.5" thickBot="1">
      <c r="A12" s="749" t="s">
        <v>829</v>
      </c>
      <c r="B12" s="790">
        <v>11151691021</v>
      </c>
      <c r="C12" s="455">
        <v>0</v>
      </c>
      <c r="D12" s="776"/>
    </row>
    <row r="21" spans="1:14">
      <c r="A21" s="1094" t="s">
        <v>944</v>
      </c>
      <c r="B21" s="1094"/>
      <c r="C21" s="1094"/>
    </row>
    <row r="22" spans="1:14">
      <c r="A22" s="1094" t="s">
        <v>237</v>
      </c>
      <c r="B22" s="1094"/>
      <c r="C22" s="1094"/>
    </row>
    <row r="23" spans="1:14" s="691" customFormat="1">
      <c r="A23" s="1094" t="s">
        <v>1149</v>
      </c>
      <c r="B23" s="1094"/>
      <c r="C23" s="1094"/>
      <c r="M23" s="797"/>
      <c r="N23" s="797"/>
    </row>
    <row r="26" spans="1:14">
      <c r="L26" s="798"/>
    </row>
    <row r="27" spans="1:14">
      <c r="L27" s="798"/>
    </row>
    <row r="28" spans="1:14">
      <c r="L28" s="798"/>
    </row>
    <row r="32" spans="1:14">
      <c r="I32" s="691"/>
      <c r="J32" s="797"/>
      <c r="K32" s="797"/>
    </row>
    <row r="33" spans="9:14" s="691" customFormat="1">
      <c r="I33" s="441"/>
      <c r="J33" s="782"/>
      <c r="K33" s="782"/>
      <c r="L33" s="797"/>
      <c r="M33" s="797"/>
      <c r="N33" s="797"/>
    </row>
  </sheetData>
  <mergeCells count="3">
    <mergeCell ref="A21:C21"/>
    <mergeCell ref="A22:C22"/>
    <mergeCell ref="A23:C23"/>
  </mergeCell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22"/>
  <sheetViews>
    <sheetView workbookViewId="0">
      <selection activeCell="B10" sqref="B10"/>
    </sheetView>
  </sheetViews>
  <sheetFormatPr baseColWidth="10" defaultRowHeight="12.75"/>
  <cols>
    <col min="1" max="1" width="42.5703125" bestFit="1" customWidth="1"/>
    <col min="2" max="2" width="13.85546875" bestFit="1" customWidth="1"/>
    <col min="3" max="3" width="14" bestFit="1" customWidth="1"/>
  </cols>
  <sheetData>
    <row r="5" spans="1:3">
      <c r="A5" s="441" t="s">
        <v>1004</v>
      </c>
      <c r="B5" s="441"/>
      <c r="C5" s="441"/>
    </row>
    <row r="6" spans="1:3">
      <c r="A6" s="441"/>
      <c r="B6" s="441"/>
      <c r="C6" s="441"/>
    </row>
    <row r="7" spans="1:3" ht="15" thickBot="1">
      <c r="A7" s="885" t="s">
        <v>1129</v>
      </c>
      <c r="B7" s="441"/>
      <c r="C7" s="441"/>
    </row>
    <row r="8" spans="1:3">
      <c r="A8" s="783" t="s">
        <v>826</v>
      </c>
      <c r="B8" s="784" t="s">
        <v>852</v>
      </c>
      <c r="C8" s="785" t="s">
        <v>856</v>
      </c>
    </row>
    <row r="9" spans="1:3">
      <c r="A9" s="449" t="s">
        <v>1148</v>
      </c>
      <c r="B9" s="919">
        <v>0</v>
      </c>
      <c r="C9" s="453">
        <v>0</v>
      </c>
    </row>
    <row r="10" spans="1:3" s="4" customFormat="1">
      <c r="A10" s="743" t="s">
        <v>830</v>
      </c>
      <c r="B10" s="920">
        <f>SUM(B9)</f>
        <v>0</v>
      </c>
      <c r="C10" s="745">
        <v>0</v>
      </c>
    </row>
    <row r="11" spans="1:3" ht="13.5" thickBot="1">
      <c r="A11" s="749" t="s">
        <v>829</v>
      </c>
      <c r="B11" s="774">
        <v>0</v>
      </c>
      <c r="C11" s="775">
        <v>0</v>
      </c>
    </row>
    <row r="20" spans="1:3">
      <c r="A20" s="1094" t="s">
        <v>944</v>
      </c>
      <c r="B20" s="1094"/>
      <c r="C20" s="1094"/>
    </row>
    <row r="21" spans="1:3">
      <c r="A21" s="1094" t="s">
        <v>237</v>
      </c>
      <c r="B21" s="1094"/>
      <c r="C21" s="1094"/>
    </row>
    <row r="22" spans="1:3">
      <c r="A22" s="1094" t="s">
        <v>1149</v>
      </c>
      <c r="B22" s="1094"/>
      <c r="C22" s="1094"/>
    </row>
  </sheetData>
  <mergeCells count="3">
    <mergeCell ref="A20:C20"/>
    <mergeCell ref="A21:C21"/>
    <mergeCell ref="A22:C22"/>
  </mergeCells>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I28"/>
  <sheetViews>
    <sheetView workbookViewId="0">
      <selection activeCell="K19" sqref="K19"/>
    </sheetView>
  </sheetViews>
  <sheetFormatPr baseColWidth="10" defaultRowHeight="12.75"/>
  <cols>
    <col min="1" max="1" width="26.7109375" customWidth="1"/>
    <col min="3" max="3" width="16.7109375" customWidth="1"/>
    <col min="6" max="7" width="12.42578125" bestFit="1" customWidth="1"/>
  </cols>
  <sheetData>
    <row r="7" spans="1:9">
      <c r="A7" s="441" t="s">
        <v>869</v>
      </c>
      <c r="B7" s="441"/>
      <c r="C7" s="441"/>
      <c r="D7" s="441"/>
      <c r="E7" s="441"/>
      <c r="F7" s="441"/>
      <c r="G7" s="441"/>
      <c r="H7" s="441"/>
    </row>
    <row r="8" spans="1:9">
      <c r="A8" s="441"/>
      <c r="B8" s="441"/>
      <c r="C8" s="441"/>
      <c r="D8" s="441"/>
      <c r="E8" s="441"/>
      <c r="F8" s="441"/>
      <c r="G8" s="441"/>
      <c r="H8" s="441"/>
    </row>
    <row r="9" spans="1:9">
      <c r="A9" s="441"/>
      <c r="B9" s="441"/>
      <c r="C9" s="441"/>
      <c r="D9" s="441"/>
      <c r="E9" s="441"/>
      <c r="F9" s="441"/>
      <c r="G9" s="441"/>
      <c r="H9" s="441"/>
    </row>
    <row r="10" spans="1:9">
      <c r="A10" s="597"/>
      <c r="B10" s="597"/>
      <c r="C10" s="597"/>
      <c r="D10" s="597"/>
      <c r="E10" s="597"/>
      <c r="F10" s="597"/>
      <c r="G10" s="597"/>
      <c r="H10" s="441"/>
    </row>
    <row r="11" spans="1:9" ht="13.5" thickBot="1">
      <c r="A11" s="597"/>
      <c r="B11" s="597"/>
      <c r="C11" s="597"/>
      <c r="D11" s="597"/>
      <c r="E11" s="597"/>
      <c r="F11" s="887"/>
      <c r="G11" s="887"/>
      <c r="H11" s="782"/>
    </row>
    <row r="12" spans="1:9" ht="38.25">
      <c r="A12" s="799" t="s">
        <v>871</v>
      </c>
      <c r="B12" s="444" t="s">
        <v>870</v>
      </c>
      <c r="C12" s="444" t="s">
        <v>872</v>
      </c>
      <c r="D12" s="444" t="s">
        <v>873</v>
      </c>
      <c r="E12" s="444" t="s">
        <v>1104</v>
      </c>
      <c r="F12" s="444" t="s">
        <v>874</v>
      </c>
      <c r="G12" s="800" t="s">
        <v>875</v>
      </c>
      <c r="H12" s="442"/>
    </row>
    <row r="13" spans="1:9" ht="38.25">
      <c r="A13" s="801" t="s">
        <v>1219</v>
      </c>
      <c r="B13" s="802" t="s">
        <v>876</v>
      </c>
      <c r="C13" s="803" t="s">
        <v>790</v>
      </c>
      <c r="D13" s="768">
        <v>100</v>
      </c>
      <c r="E13" s="918">
        <v>44296</v>
      </c>
      <c r="F13" s="804">
        <v>1543157</v>
      </c>
      <c r="G13" s="805">
        <v>128268031</v>
      </c>
      <c r="H13" s="691"/>
    </row>
    <row r="14" spans="1:9" ht="38.25">
      <c r="A14" s="1036" t="s">
        <v>1220</v>
      </c>
      <c r="B14" s="802" t="s">
        <v>876</v>
      </c>
      <c r="C14" s="803" t="s">
        <v>790</v>
      </c>
      <c r="D14" s="768">
        <v>100</v>
      </c>
      <c r="E14" s="918">
        <v>44296</v>
      </c>
      <c r="F14" s="1037">
        <v>19093570</v>
      </c>
      <c r="G14" s="1038">
        <v>0</v>
      </c>
      <c r="H14" s="691"/>
    </row>
    <row r="15" spans="1:9" ht="13.5" thickBot="1">
      <c r="A15" s="749" t="s">
        <v>803</v>
      </c>
      <c r="B15" s="774"/>
      <c r="C15" s="774"/>
      <c r="D15" s="774"/>
      <c r="E15" s="774"/>
      <c r="F15" s="806">
        <f>SUM(F13:F14)</f>
        <v>20636727</v>
      </c>
      <c r="G15" s="807">
        <f>SUM(G13:G14)</f>
        <v>128268031</v>
      </c>
    </row>
    <row r="16" spans="1:9">
      <c r="I16" s="1011"/>
    </row>
    <row r="18" spans="1:9">
      <c r="I18" s="1011"/>
    </row>
    <row r="19" spans="1:9">
      <c r="I19" s="967"/>
    </row>
    <row r="21" spans="1:9">
      <c r="I21" s="967"/>
    </row>
    <row r="26" spans="1:9">
      <c r="A26" s="1094" t="s">
        <v>944</v>
      </c>
      <c r="B26" s="1094"/>
      <c r="C26" s="1094"/>
      <c r="D26" s="1094"/>
      <c r="E26" s="1094"/>
      <c r="F26" s="1094"/>
      <c r="G26" s="1094"/>
    </row>
    <row r="27" spans="1:9">
      <c r="A27" s="1094" t="s">
        <v>237</v>
      </c>
      <c r="B27" s="1094"/>
      <c r="C27" s="1094"/>
      <c r="D27" s="1094"/>
      <c r="E27" s="1094"/>
      <c r="F27" s="1094"/>
      <c r="G27" s="1094"/>
    </row>
    <row r="28" spans="1:9">
      <c r="A28" s="1094" t="s">
        <v>1149</v>
      </c>
      <c r="B28" s="1094"/>
      <c r="C28" s="1094"/>
      <c r="D28" s="1094"/>
      <c r="E28" s="1094"/>
      <c r="F28" s="1094"/>
      <c r="G28" s="1094"/>
    </row>
  </sheetData>
  <mergeCells count="3">
    <mergeCell ref="A26:G26"/>
    <mergeCell ref="A27:G27"/>
    <mergeCell ref="A28:G28"/>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3"/>
  <sheetViews>
    <sheetView workbookViewId="0">
      <selection activeCell="M21" sqref="M21"/>
    </sheetView>
  </sheetViews>
  <sheetFormatPr baseColWidth="10" defaultRowHeight="12.75"/>
  <sheetData>
    <row r="6" spans="1:5">
      <c r="A6" s="441" t="s">
        <v>1003</v>
      </c>
      <c r="B6" s="782"/>
      <c r="C6" s="782"/>
      <c r="D6" s="782"/>
      <c r="E6" s="782"/>
    </row>
    <row r="7" spans="1:5">
      <c r="A7" s="441"/>
      <c r="B7" s="782"/>
      <c r="C7" s="782"/>
      <c r="D7" s="782"/>
      <c r="E7" s="782"/>
    </row>
    <row r="8" spans="1:5" ht="14.25">
      <c r="A8" s="902" t="s">
        <v>1129</v>
      </c>
      <c r="B8" s="782"/>
      <c r="C8" s="782"/>
      <c r="D8" s="782"/>
      <c r="E8" s="782"/>
    </row>
    <row r="9" spans="1:5" ht="13.5" thickBot="1">
      <c r="A9" s="441"/>
      <c r="B9" s="782"/>
      <c r="C9" s="782"/>
      <c r="D9" s="782"/>
      <c r="E9" s="782"/>
    </row>
    <row r="10" spans="1:5" ht="51">
      <c r="A10" s="459" t="s">
        <v>877</v>
      </c>
      <c r="B10" s="460" t="s">
        <v>872</v>
      </c>
      <c r="C10" s="460" t="s">
        <v>878</v>
      </c>
      <c r="D10" s="460" t="s">
        <v>879</v>
      </c>
      <c r="E10" s="786" t="s">
        <v>880</v>
      </c>
    </row>
    <row r="11" spans="1:5">
      <c r="A11" s="449"/>
      <c r="B11" s="692"/>
      <c r="C11" s="692"/>
      <c r="D11" s="692"/>
      <c r="E11" s="787"/>
    </row>
    <row r="12" spans="1:5">
      <c r="A12" s="743" t="s">
        <v>830</v>
      </c>
      <c r="B12" s="692"/>
      <c r="C12" s="692"/>
      <c r="D12" s="692"/>
      <c r="E12" s="787"/>
    </row>
    <row r="13" spans="1:5" ht="13.5" thickBot="1">
      <c r="A13" s="749" t="s">
        <v>829</v>
      </c>
      <c r="B13" s="788"/>
      <c r="C13" s="788"/>
      <c r="D13" s="788"/>
      <c r="E13" s="789"/>
    </row>
    <row r="21" spans="1:5">
      <c r="A21" s="1094" t="s">
        <v>944</v>
      </c>
      <c r="B21" s="1094"/>
      <c r="C21" s="1094"/>
      <c r="D21" s="1094"/>
      <c r="E21" s="1094"/>
    </row>
    <row r="22" spans="1:5">
      <c r="A22" s="1094" t="s">
        <v>237</v>
      </c>
      <c r="B22" s="1094"/>
      <c r="C22" s="1094"/>
      <c r="D22" s="1094"/>
      <c r="E22" s="1094"/>
    </row>
    <row r="23" spans="1:5">
      <c r="A23" s="1094" t="s">
        <v>1149</v>
      </c>
      <c r="B23" s="1094"/>
      <c r="C23" s="1094"/>
      <c r="D23" s="1094"/>
      <c r="E23" s="1094"/>
    </row>
  </sheetData>
  <mergeCells count="3">
    <mergeCell ref="A21:E21"/>
    <mergeCell ref="A22:E22"/>
    <mergeCell ref="A23:E23"/>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2"/>
  <sheetViews>
    <sheetView workbookViewId="0">
      <selection activeCell="K25" sqref="K25"/>
    </sheetView>
  </sheetViews>
  <sheetFormatPr baseColWidth="10" defaultRowHeight="12.75"/>
  <cols>
    <col min="1" max="1" width="37.42578125" bestFit="1" customWidth="1"/>
    <col min="2" max="2" width="11.28515625" bestFit="1" customWidth="1"/>
    <col min="3" max="3" width="12.42578125" bestFit="1" customWidth="1"/>
  </cols>
  <sheetData>
    <row r="6" spans="1:4">
      <c r="A6" s="441" t="s">
        <v>881</v>
      </c>
      <c r="B6" s="782"/>
      <c r="C6" s="782"/>
      <c r="D6" s="782"/>
    </row>
    <row r="7" spans="1:4">
      <c r="A7" s="441"/>
      <c r="B7" s="782"/>
      <c r="C7" s="782"/>
      <c r="D7" s="782"/>
    </row>
    <row r="8" spans="1:4">
      <c r="A8" s="441"/>
      <c r="B8" s="782"/>
      <c r="C8" s="782"/>
      <c r="D8" s="782"/>
    </row>
    <row r="9" spans="1:4" ht="25.5">
      <c r="A9" s="791" t="s">
        <v>826</v>
      </c>
      <c r="B9" s="792" t="s">
        <v>882</v>
      </c>
      <c r="C9" s="792" t="s">
        <v>883</v>
      </c>
      <c r="D9" s="782"/>
    </row>
    <row r="10" spans="1:4">
      <c r="A10" s="452" t="s">
        <v>483</v>
      </c>
      <c r="B10" s="793">
        <v>69522003</v>
      </c>
      <c r="C10" s="794">
        <v>265889988</v>
      </c>
      <c r="D10" s="782"/>
    </row>
    <row r="11" spans="1:4">
      <c r="A11" s="744" t="s">
        <v>884</v>
      </c>
      <c r="B11" s="795">
        <f>SUM(B10:B10)</f>
        <v>69522003</v>
      </c>
      <c r="C11" s="795">
        <f>SUM(C10:C10)</f>
        <v>265889988</v>
      </c>
      <c r="D11" s="782"/>
    </row>
    <row r="12" spans="1:4">
      <c r="A12" s="744" t="s">
        <v>885</v>
      </c>
      <c r="B12" s="795">
        <v>2138693</v>
      </c>
      <c r="C12" s="795">
        <v>0</v>
      </c>
      <c r="D12" s="796"/>
    </row>
    <row r="20" spans="1:5">
      <c r="A20" s="1094" t="s">
        <v>944</v>
      </c>
      <c r="B20" s="1094"/>
      <c r="C20" s="1094"/>
      <c r="D20" s="921"/>
      <c r="E20" s="921"/>
    </row>
    <row r="21" spans="1:5">
      <c r="A21" s="1094" t="s">
        <v>237</v>
      </c>
      <c r="B21" s="1094"/>
      <c r="C21" s="1094"/>
      <c r="D21" s="921"/>
      <c r="E21" s="921"/>
    </row>
    <row r="22" spans="1:5">
      <c r="A22" s="1094" t="s">
        <v>1149</v>
      </c>
      <c r="B22" s="1094"/>
      <c r="C22" s="1094"/>
      <c r="D22" s="921"/>
      <c r="E22" s="921"/>
    </row>
  </sheetData>
  <mergeCells count="3">
    <mergeCell ref="A20:C20"/>
    <mergeCell ref="A21:C21"/>
    <mergeCell ref="A22:C2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E20"/>
  <sheetViews>
    <sheetView workbookViewId="0">
      <selection activeCell="I20" sqref="I20"/>
    </sheetView>
  </sheetViews>
  <sheetFormatPr baseColWidth="10" defaultRowHeight="12.75"/>
  <cols>
    <col min="1" max="1" width="26" customWidth="1"/>
    <col min="2" max="2" width="9.140625" bestFit="1" customWidth="1"/>
    <col min="3" max="3" width="26.5703125" customWidth="1"/>
    <col min="4" max="4" width="15" bestFit="1" customWidth="1"/>
    <col min="5" max="5" width="16.7109375" bestFit="1" customWidth="1"/>
  </cols>
  <sheetData>
    <row r="6" spans="1:5" ht="13.5" thickBot="1">
      <c r="A6" s="441" t="s">
        <v>898</v>
      </c>
      <c r="B6" s="441"/>
      <c r="C6" s="441"/>
      <c r="D6" s="441"/>
      <c r="E6" s="441"/>
    </row>
    <row r="7" spans="1:5">
      <c r="A7" s="1041"/>
      <c r="B7" s="1042"/>
      <c r="C7" s="1042"/>
      <c r="D7" s="1224" t="s">
        <v>886</v>
      </c>
      <c r="E7" s="1225"/>
    </row>
    <row r="8" spans="1:5">
      <c r="A8" s="1043" t="s">
        <v>871</v>
      </c>
      <c r="B8" s="1039" t="s">
        <v>870</v>
      </c>
      <c r="C8" s="1039" t="s">
        <v>872</v>
      </c>
      <c r="D8" s="1039" t="s">
        <v>874</v>
      </c>
      <c r="E8" s="1044" t="s">
        <v>875</v>
      </c>
    </row>
    <row r="9" spans="1:5" ht="25.5">
      <c r="A9" s="449" t="s">
        <v>1219</v>
      </c>
      <c r="B9" s="452" t="s">
        <v>876</v>
      </c>
      <c r="C9" s="692" t="s">
        <v>790</v>
      </c>
      <c r="D9" s="451">
        <v>1543157</v>
      </c>
      <c r="E9" s="450">
        <v>128268031</v>
      </c>
    </row>
    <row r="10" spans="1:5" ht="25.5">
      <c r="A10" s="449" t="s">
        <v>1220</v>
      </c>
      <c r="B10" s="452" t="s">
        <v>876</v>
      </c>
      <c r="C10" s="692" t="s">
        <v>790</v>
      </c>
      <c r="D10" s="451">
        <v>19093570</v>
      </c>
      <c r="E10" s="450">
        <v>0</v>
      </c>
    </row>
    <row r="11" spans="1:5">
      <c r="A11" s="770" t="s">
        <v>1082</v>
      </c>
      <c r="B11" s="1040">
        <v>0</v>
      </c>
      <c r="C11" s="1040">
        <v>0</v>
      </c>
      <c r="D11" s="697"/>
      <c r="E11" s="1045"/>
    </row>
    <row r="12" spans="1:5" ht="13.5" thickBot="1">
      <c r="A12" s="772" t="s">
        <v>1083</v>
      </c>
      <c r="B12" s="808"/>
      <c r="C12" s="808"/>
      <c r="D12" s="809">
        <f>SUM(D9:D11)</f>
        <v>20636727</v>
      </c>
      <c r="E12" s="810">
        <f>+E9</f>
        <v>128268031</v>
      </c>
    </row>
    <row r="18" spans="1:5">
      <c r="A18" s="1094" t="s">
        <v>944</v>
      </c>
      <c r="B18" s="1094"/>
      <c r="C18" s="1094"/>
      <c r="D18" s="1094"/>
      <c r="E18" s="1094"/>
    </row>
    <row r="19" spans="1:5">
      <c r="A19" s="1094" t="s">
        <v>237</v>
      </c>
      <c r="B19" s="1094"/>
      <c r="C19" s="1094"/>
      <c r="D19" s="1094"/>
      <c r="E19" s="1094"/>
    </row>
    <row r="20" spans="1:5">
      <c r="A20" s="1094" t="s">
        <v>1149</v>
      </c>
      <c r="B20" s="1094"/>
      <c r="C20" s="1094"/>
      <c r="D20" s="1094"/>
      <c r="E20" s="1094"/>
    </row>
  </sheetData>
  <mergeCells count="4">
    <mergeCell ref="D7:E7"/>
    <mergeCell ref="A18:E18"/>
    <mergeCell ref="A19:E19"/>
    <mergeCell ref="A20:E20"/>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F25"/>
  <sheetViews>
    <sheetView workbookViewId="0">
      <selection activeCell="A23" sqref="A23:F25"/>
    </sheetView>
  </sheetViews>
  <sheetFormatPr baseColWidth="10" defaultRowHeight="12.75"/>
  <cols>
    <col min="1" max="1" width="22.7109375" customWidth="1"/>
  </cols>
  <sheetData>
    <row r="6" spans="1:6" s="441" customFormat="1">
      <c r="A6" s="441" t="s">
        <v>899</v>
      </c>
    </row>
    <row r="7" spans="1:6" s="441" customFormat="1"/>
    <row r="8" spans="1:6" s="441" customFormat="1" ht="14.25">
      <c r="A8" s="902" t="s">
        <v>1130</v>
      </c>
    </row>
    <row r="9" spans="1:6" s="441" customFormat="1" ht="13.5" thickBot="1"/>
    <row r="10" spans="1:6" s="441" customFormat="1" ht="25.5">
      <c r="A10" s="799" t="s">
        <v>887</v>
      </c>
      <c r="B10" s="811" t="s">
        <v>870</v>
      </c>
      <c r="C10" s="811" t="s">
        <v>826</v>
      </c>
      <c r="D10" s="811" t="s">
        <v>888</v>
      </c>
      <c r="E10" s="811" t="s">
        <v>889</v>
      </c>
      <c r="F10" s="445" t="s">
        <v>826</v>
      </c>
    </row>
    <row r="11" spans="1:6" s="441" customFormat="1">
      <c r="A11" s="449"/>
      <c r="B11" s="452"/>
      <c r="C11" s="452"/>
      <c r="D11" s="452"/>
      <c r="E11" s="452"/>
      <c r="F11" s="453"/>
    </row>
    <row r="12" spans="1:6" s="441" customFormat="1">
      <c r="A12" s="449"/>
      <c r="B12" s="452"/>
      <c r="C12" s="452"/>
      <c r="D12" s="452"/>
      <c r="E12" s="452"/>
      <c r="F12" s="453"/>
    </row>
    <row r="13" spans="1:6" s="441" customFormat="1">
      <c r="A13" s="449"/>
      <c r="B13" s="452"/>
      <c r="C13" s="452"/>
      <c r="D13" s="452"/>
      <c r="E13" s="452"/>
      <c r="F13" s="453"/>
    </row>
    <row r="14" spans="1:6" s="441" customFormat="1">
      <c r="A14" s="449" t="s">
        <v>890</v>
      </c>
      <c r="B14" s="452"/>
      <c r="C14" s="452"/>
      <c r="D14" s="452"/>
      <c r="E14" s="452"/>
      <c r="F14" s="453"/>
    </row>
    <row r="15" spans="1:6" s="441" customFormat="1" ht="13.5" thickBot="1">
      <c r="A15" s="777" t="s">
        <v>815</v>
      </c>
      <c r="B15" s="454"/>
      <c r="C15" s="454"/>
      <c r="D15" s="454"/>
      <c r="E15" s="454"/>
      <c r="F15" s="455"/>
    </row>
    <row r="23" spans="1:6">
      <c r="A23" s="1094" t="s">
        <v>944</v>
      </c>
      <c r="B23" s="1094"/>
      <c r="C23" s="1094"/>
      <c r="D23" s="1094"/>
      <c r="E23" s="1094"/>
      <c r="F23" s="1094"/>
    </row>
    <row r="24" spans="1:6">
      <c r="A24" s="1094" t="s">
        <v>237</v>
      </c>
      <c r="B24" s="1094"/>
      <c r="C24" s="1094"/>
      <c r="D24" s="1094"/>
      <c r="E24" s="1094"/>
      <c r="F24" s="1094"/>
    </row>
    <row r="25" spans="1:6">
      <c r="A25" s="1094" t="s">
        <v>1149</v>
      </c>
      <c r="B25" s="1094"/>
      <c r="C25" s="1094"/>
      <c r="D25" s="1094"/>
      <c r="E25" s="1094"/>
      <c r="F25" s="1094"/>
    </row>
  </sheetData>
  <mergeCells count="3">
    <mergeCell ref="A23:F23"/>
    <mergeCell ref="A24:F24"/>
    <mergeCell ref="A25:F25"/>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H25"/>
  <sheetViews>
    <sheetView zoomScaleNormal="100" workbookViewId="0">
      <selection activeCell="K21" sqref="K21"/>
    </sheetView>
  </sheetViews>
  <sheetFormatPr baseColWidth="10" defaultRowHeight="12.75"/>
  <cols>
    <col min="1" max="1" width="25.28515625" customWidth="1"/>
    <col min="2" max="2" width="17.140625" customWidth="1"/>
    <col min="3" max="3" width="14.140625" bestFit="1" customWidth="1"/>
    <col min="4" max="4" width="14.140625" customWidth="1"/>
    <col min="5" max="5" width="16.7109375" customWidth="1"/>
    <col min="6" max="6" width="12.28515625" bestFit="1" customWidth="1"/>
    <col min="7" max="7" width="12.5703125" bestFit="1" customWidth="1"/>
  </cols>
  <sheetData>
    <row r="6" spans="1:8" s="441" customFormat="1">
      <c r="A6" s="691" t="s">
        <v>900</v>
      </c>
    </row>
    <row r="7" spans="1:8" s="441" customFormat="1">
      <c r="A7" s="441" t="s">
        <v>901</v>
      </c>
    </row>
    <row r="8" spans="1:8" s="441" customFormat="1" ht="13.5" thickBot="1"/>
    <row r="9" spans="1:8" s="441" customFormat="1" ht="25.5">
      <c r="A9" s="443" t="s">
        <v>826</v>
      </c>
      <c r="B9" s="444" t="s">
        <v>891</v>
      </c>
      <c r="C9" s="811" t="s">
        <v>315</v>
      </c>
      <c r="D9" s="811" t="s">
        <v>644</v>
      </c>
      <c r="E9" s="800" t="s">
        <v>892</v>
      </c>
    </row>
    <row r="10" spans="1:8" s="441" customFormat="1">
      <c r="A10" s="449" t="s">
        <v>522</v>
      </c>
      <c r="B10" s="451">
        <v>840000000</v>
      </c>
      <c r="C10" s="451">
        <v>1260000000</v>
      </c>
      <c r="D10" s="451">
        <v>0</v>
      </c>
      <c r="E10" s="450">
        <f>+B10+C10-D10</f>
        <v>2100000000</v>
      </c>
      <c r="F10" s="847"/>
      <c r="G10" s="847"/>
      <c r="H10" s="847"/>
    </row>
    <row r="11" spans="1:8" s="441" customFormat="1">
      <c r="A11" s="449" t="s">
        <v>893</v>
      </c>
      <c r="B11" s="451">
        <v>447720323</v>
      </c>
      <c r="C11" s="451">
        <v>0</v>
      </c>
      <c r="D11" s="451">
        <v>447720323</v>
      </c>
      <c r="E11" s="450">
        <f t="shared" ref="E11:E14" si="0">+B11+C11-D11</f>
        <v>0</v>
      </c>
      <c r="F11" s="847"/>
      <c r="G11" s="847"/>
      <c r="H11" s="847"/>
    </row>
    <row r="12" spans="1:8" s="441" customFormat="1">
      <c r="A12" s="449" t="s">
        <v>894</v>
      </c>
      <c r="B12" s="451">
        <v>288592622</v>
      </c>
      <c r="C12" s="451">
        <v>503967637</v>
      </c>
      <c r="D12" s="451">
        <v>0</v>
      </c>
      <c r="E12" s="450">
        <f>+B12+C12-D12</f>
        <v>792560259</v>
      </c>
      <c r="F12" s="847"/>
      <c r="G12" s="847"/>
      <c r="H12" s="847"/>
    </row>
    <row r="13" spans="1:8" s="441" customFormat="1">
      <c r="A13" s="449" t="s">
        <v>895</v>
      </c>
      <c r="B13" s="451">
        <v>0</v>
      </c>
      <c r="C13" s="451">
        <v>0</v>
      </c>
      <c r="D13" s="451">
        <v>0</v>
      </c>
      <c r="E13" s="450">
        <f t="shared" si="0"/>
        <v>0</v>
      </c>
      <c r="F13" s="847"/>
      <c r="G13" s="847"/>
      <c r="H13" s="847"/>
    </row>
    <row r="14" spans="1:8" s="441" customFormat="1">
      <c r="A14" s="449" t="s">
        <v>896</v>
      </c>
      <c r="B14" s="694">
        <v>249989723</v>
      </c>
      <c r="C14" s="694">
        <v>407025486</v>
      </c>
      <c r="D14" s="451">
        <v>249989723</v>
      </c>
      <c r="E14" s="450">
        <f t="shared" si="0"/>
        <v>407025486</v>
      </c>
      <c r="F14" s="847"/>
      <c r="G14" s="847"/>
      <c r="H14" s="847"/>
    </row>
    <row r="15" spans="1:8" s="691" customFormat="1" ht="13.5" thickBot="1">
      <c r="A15" s="749" t="s">
        <v>670</v>
      </c>
      <c r="B15" s="780">
        <f>SUM(B10:B14)</f>
        <v>1826302668</v>
      </c>
      <c r="C15" s="780">
        <f>SUM(C10:C14)</f>
        <v>2170993123</v>
      </c>
      <c r="D15" s="780">
        <f>SUM(D10:D14)</f>
        <v>697710046</v>
      </c>
      <c r="E15" s="790">
        <f>SUM(E10:E14)</f>
        <v>3299585745</v>
      </c>
      <c r="F15" s="847"/>
      <c r="G15" s="847"/>
      <c r="H15" s="847"/>
    </row>
    <row r="16" spans="1:8" s="441" customFormat="1">
      <c r="G16" s="596"/>
    </row>
    <row r="23" spans="1:6">
      <c r="A23" s="1094" t="s">
        <v>944</v>
      </c>
      <c r="B23" s="1094"/>
      <c r="C23" s="1094"/>
      <c r="D23" s="1094"/>
      <c r="E23" s="1094"/>
      <c r="F23" s="921"/>
    </row>
    <row r="24" spans="1:6">
      <c r="A24" s="1094" t="s">
        <v>237</v>
      </c>
      <c r="B24" s="1094"/>
      <c r="C24" s="1094"/>
      <c r="D24" s="1094"/>
      <c r="E24" s="1094"/>
      <c r="F24" s="921"/>
    </row>
    <row r="25" spans="1:6">
      <c r="A25" s="1094" t="s">
        <v>1149</v>
      </c>
      <c r="B25" s="1094"/>
      <c r="C25" s="1094"/>
      <c r="D25" s="1094"/>
      <c r="E25" s="1094"/>
      <c r="F25" s="921"/>
    </row>
  </sheetData>
  <mergeCells count="3">
    <mergeCell ref="A23:E23"/>
    <mergeCell ref="A24:E24"/>
    <mergeCell ref="A25:E2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FF00"/>
  </sheetPr>
  <dimension ref="A1:H69"/>
  <sheetViews>
    <sheetView topLeftCell="A34"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20.140625" style="1" customWidth="1"/>
    <col min="6" max="6" width="18.42578125" style="1" customWidth="1"/>
    <col min="7" max="7" width="14.28515625" style="1" customWidth="1"/>
  </cols>
  <sheetData>
    <row r="1" spans="1:7">
      <c r="A1" s="1093" t="s">
        <v>0</v>
      </c>
      <c r="B1" s="1093"/>
      <c r="C1" s="1093"/>
      <c r="D1" s="1093"/>
      <c r="E1" s="1093"/>
      <c r="F1" s="1093"/>
    </row>
    <row r="2" spans="1:7">
      <c r="A2" s="1093" t="s">
        <v>1</v>
      </c>
      <c r="B2" s="1093"/>
      <c r="C2" s="1093"/>
      <c r="D2" s="1093"/>
      <c r="E2" s="1093"/>
      <c r="F2" s="1093"/>
    </row>
    <row r="3" spans="1:7">
      <c r="A3" s="1093" t="s">
        <v>2</v>
      </c>
      <c r="B3" s="1093"/>
      <c r="C3" s="1093"/>
      <c r="D3" s="1093"/>
      <c r="E3" s="1093"/>
      <c r="F3" s="1093"/>
    </row>
    <row r="4" spans="1:7">
      <c r="A4" s="1093" t="s">
        <v>3</v>
      </c>
      <c r="B4" s="1093"/>
      <c r="C4" s="1093"/>
      <c r="D4" s="1093"/>
      <c r="E4" s="1093"/>
      <c r="F4" s="1093"/>
    </row>
    <row r="5" spans="1:7">
      <c r="A5" s="1093" t="str">
        <f>ACTIVO!A5</f>
        <v>01/01/11 AL 31/12/11</v>
      </c>
      <c r="B5" s="1093"/>
      <c r="C5" s="1093"/>
      <c r="D5" s="1093"/>
      <c r="E5" s="1093"/>
      <c r="F5" s="1093"/>
    </row>
    <row r="6" spans="1:7">
      <c r="A6" s="4"/>
      <c r="B6" s="5"/>
      <c r="C6" s="5"/>
      <c r="D6" s="5"/>
      <c r="E6" s="5"/>
    </row>
    <row r="7" spans="1:7">
      <c r="A7" s="6" t="s">
        <v>93</v>
      </c>
      <c r="B7" s="7"/>
      <c r="C7" s="7"/>
      <c r="D7" s="7"/>
      <c r="E7" s="7"/>
      <c r="F7" s="8">
        <f>SUM(F9:F69)</f>
        <v>0</v>
      </c>
      <c r="G7" s="1">
        <f>+ACTIVO!G7-PASIVO!F7</f>
        <v>0</v>
      </c>
    </row>
    <row r="8" spans="1:7">
      <c r="A8" s="4"/>
      <c r="B8" s="5"/>
      <c r="C8" s="5"/>
      <c r="D8" s="5"/>
      <c r="E8" s="5"/>
      <c r="F8" s="5"/>
    </row>
    <row r="9" spans="1:7">
      <c r="A9" s="4" t="s">
        <v>94</v>
      </c>
      <c r="B9" s="5"/>
      <c r="C9" s="5"/>
      <c r="D9" s="5"/>
      <c r="E9" s="5"/>
      <c r="F9" s="5">
        <f>SUM(E10:E34)</f>
        <v>0</v>
      </c>
    </row>
    <row r="10" spans="1:7">
      <c r="A10" s="4"/>
      <c r="B10" s="5" t="s">
        <v>95</v>
      </c>
      <c r="C10" s="5"/>
      <c r="D10" s="5"/>
      <c r="E10" s="5">
        <f>SUM(D11:D16)</f>
        <v>0</v>
      </c>
    </row>
    <row r="11" spans="1:7">
      <c r="C11" s="1" t="s">
        <v>96</v>
      </c>
      <c r="D11" s="1">
        <v>0</v>
      </c>
    </row>
    <row r="12" spans="1:7">
      <c r="C12" s="1" t="s">
        <v>97</v>
      </c>
      <c r="D12" s="1">
        <v>0</v>
      </c>
    </row>
    <row r="13" spans="1:7">
      <c r="C13" s="1" t="s">
        <v>98</v>
      </c>
      <c r="D13" s="1">
        <v>0</v>
      </c>
    </row>
    <row r="14" spans="1:7">
      <c r="C14" s="1" t="s">
        <v>99</v>
      </c>
      <c r="D14" s="1">
        <v>0</v>
      </c>
    </row>
    <row r="15" spans="1:7">
      <c r="C15" s="1" t="s">
        <v>100</v>
      </c>
      <c r="D15" s="1">
        <v>0</v>
      </c>
    </row>
    <row r="16" spans="1:7">
      <c r="C16" s="1" t="s">
        <v>101</v>
      </c>
      <c r="D16" s="1">
        <v>0</v>
      </c>
    </row>
    <row r="18" spans="1:6">
      <c r="B18" s="5" t="s">
        <v>102</v>
      </c>
      <c r="C18" s="5"/>
      <c r="E18" s="5">
        <f>+D19+D20</f>
        <v>0</v>
      </c>
    </row>
    <row r="19" spans="1:6">
      <c r="C19" s="1" t="s">
        <v>103</v>
      </c>
      <c r="D19" s="1">
        <v>0</v>
      </c>
    </row>
    <row r="20" spans="1:6">
      <c r="C20" s="1" t="s">
        <v>104</v>
      </c>
      <c r="D20" s="1">
        <v>0</v>
      </c>
    </row>
    <row r="22" spans="1:6">
      <c r="A22" s="4"/>
      <c r="B22" s="5" t="s">
        <v>105</v>
      </c>
      <c r="C22" s="5"/>
      <c r="E22" s="5">
        <f>+D23+D24</f>
        <v>0</v>
      </c>
      <c r="F22" s="5"/>
    </row>
    <row r="23" spans="1:6">
      <c r="C23" s="1" t="s">
        <v>106</v>
      </c>
      <c r="D23" s="1">
        <v>0</v>
      </c>
    </row>
    <row r="24" spans="1:6">
      <c r="C24" s="1" t="s">
        <v>106</v>
      </c>
      <c r="D24" s="1">
        <v>0</v>
      </c>
    </row>
    <row r="26" spans="1:6">
      <c r="A26" s="4"/>
      <c r="B26" s="5" t="s">
        <v>107</v>
      </c>
      <c r="C26" s="5"/>
      <c r="D26" s="5"/>
      <c r="E26" s="5">
        <f>+D27+D28</f>
        <v>0</v>
      </c>
    </row>
    <row r="27" spans="1:6">
      <c r="C27" s="1" t="s">
        <v>108</v>
      </c>
      <c r="D27" s="1">
        <v>0</v>
      </c>
    </row>
    <row r="28" spans="1:6">
      <c r="C28" s="1" t="s">
        <v>109</v>
      </c>
      <c r="D28" s="1">
        <v>0</v>
      </c>
    </row>
    <row r="30" spans="1:6">
      <c r="B30" s="5" t="s">
        <v>110</v>
      </c>
      <c r="C30" s="5"/>
      <c r="D30" s="5"/>
      <c r="E30" s="5">
        <f>SUM(D31:D32)</f>
        <v>0</v>
      </c>
    </row>
    <row r="31" spans="1:6">
      <c r="C31" s="1" t="s">
        <v>102</v>
      </c>
      <c r="D31" s="1">
        <v>0</v>
      </c>
    </row>
    <row r="32" spans="1:6">
      <c r="C32" s="1" t="s">
        <v>111</v>
      </c>
      <c r="D32" s="1">
        <v>0</v>
      </c>
    </row>
    <row r="33" spans="1:6">
      <c r="B33" s="5" t="s">
        <v>112</v>
      </c>
      <c r="C33" s="5"/>
      <c r="D33" s="5"/>
      <c r="E33" s="5">
        <f>+D34</f>
        <v>0</v>
      </c>
    </row>
    <row r="34" spans="1:6">
      <c r="C34" s="1" t="s">
        <v>113</v>
      </c>
      <c r="D34" s="1">
        <v>0</v>
      </c>
    </row>
    <row r="36" spans="1:6">
      <c r="A36" s="4" t="s">
        <v>114</v>
      </c>
      <c r="B36" s="5"/>
      <c r="C36" s="5"/>
      <c r="D36" s="5"/>
      <c r="E36" s="5"/>
      <c r="F36" s="5">
        <f>+E38+E41+E44</f>
        <v>0</v>
      </c>
    </row>
    <row r="38" spans="1:6">
      <c r="B38" s="5" t="s">
        <v>115</v>
      </c>
      <c r="C38" s="5"/>
      <c r="D38" s="5"/>
      <c r="E38" s="5">
        <f>+D39</f>
        <v>0</v>
      </c>
    </row>
    <row r="39" spans="1:6">
      <c r="C39" s="1" t="s">
        <v>96</v>
      </c>
      <c r="D39" s="1">
        <v>0</v>
      </c>
    </row>
    <row r="41" spans="1:6">
      <c r="B41" s="5" t="s">
        <v>116</v>
      </c>
      <c r="C41" s="5"/>
      <c r="D41" s="5"/>
      <c r="E41" s="5">
        <f>+D42</f>
        <v>0</v>
      </c>
    </row>
    <row r="42" spans="1:6">
      <c r="C42" s="1" t="s">
        <v>117</v>
      </c>
      <c r="D42" s="1">
        <v>0</v>
      </c>
    </row>
    <row r="44" spans="1:6">
      <c r="B44" s="5" t="s">
        <v>118</v>
      </c>
      <c r="C44" s="5"/>
      <c r="D44" s="5"/>
      <c r="E44" s="5">
        <f>SUM(D45:D53)</f>
        <v>0</v>
      </c>
    </row>
    <row r="45" spans="1:6">
      <c r="C45" s="1" t="s">
        <v>119</v>
      </c>
      <c r="D45" s="1">
        <v>0</v>
      </c>
    </row>
    <row r="46" spans="1:6">
      <c r="C46" s="1" t="s">
        <v>120</v>
      </c>
      <c r="D46" s="1">
        <v>0</v>
      </c>
    </row>
    <row r="47" spans="1:6">
      <c r="C47" s="1" t="s">
        <v>121</v>
      </c>
      <c r="D47" s="1">
        <v>0</v>
      </c>
    </row>
    <row r="48" spans="1:6">
      <c r="C48" s="1" t="s">
        <v>122</v>
      </c>
      <c r="D48" s="1">
        <v>0</v>
      </c>
    </row>
    <row r="49" spans="1:8">
      <c r="C49" s="1" t="s">
        <v>9</v>
      </c>
      <c r="D49" s="1">
        <v>0</v>
      </c>
    </row>
    <row r="50" spans="1:8">
      <c r="C50" s="1" t="s">
        <v>123</v>
      </c>
      <c r="D50" s="1">
        <v>0</v>
      </c>
    </row>
    <row r="51" spans="1:8">
      <c r="C51" s="1" t="s">
        <v>124</v>
      </c>
      <c r="D51" s="1">
        <v>0</v>
      </c>
      <c r="G51" s="1">
        <v>0</v>
      </c>
      <c r="H51" t="s">
        <v>125</v>
      </c>
    </row>
    <row r="52" spans="1:8">
      <c r="C52" s="1" t="s">
        <v>126</v>
      </c>
      <c r="D52" s="1">
        <v>0</v>
      </c>
      <c r="G52" s="1">
        <v>0</v>
      </c>
      <c r="H52" t="s">
        <v>127</v>
      </c>
    </row>
    <row r="53" spans="1:8">
      <c r="C53" s="1" t="s">
        <v>44</v>
      </c>
      <c r="D53" s="1">
        <v>0</v>
      </c>
    </row>
    <row r="54" spans="1:8">
      <c r="A54" s="5" t="s">
        <v>128</v>
      </c>
      <c r="B54" s="5"/>
      <c r="C54" s="5"/>
      <c r="D54" s="5"/>
      <c r="E54" s="5"/>
      <c r="F54" s="5">
        <f>SUM(D55:D64)</f>
        <v>0</v>
      </c>
    </row>
    <row r="55" spans="1:8">
      <c r="C55" s="1" t="s">
        <v>129</v>
      </c>
      <c r="D55" s="1">
        <v>0</v>
      </c>
    </row>
    <row r="56" spans="1:8">
      <c r="C56" s="1" t="s">
        <v>130</v>
      </c>
      <c r="D56" s="1">
        <v>0</v>
      </c>
    </row>
    <row r="57" spans="1:8">
      <c r="C57" s="1" t="s">
        <v>131</v>
      </c>
      <c r="D57" s="1">
        <v>0</v>
      </c>
    </row>
    <row r="58" spans="1:8">
      <c r="C58" s="1" t="s">
        <v>132</v>
      </c>
      <c r="D58" s="1">
        <v>0</v>
      </c>
    </row>
    <row r="59" spans="1:8">
      <c r="C59" s="1" t="s">
        <v>133</v>
      </c>
      <c r="D59" s="1">
        <v>0</v>
      </c>
    </row>
    <row r="60" spans="1:8">
      <c r="C60" s="1" t="s">
        <v>134</v>
      </c>
      <c r="D60" s="20">
        <v>0</v>
      </c>
    </row>
    <row r="61" spans="1:8">
      <c r="C61" s="1" t="s">
        <v>135</v>
      </c>
      <c r="D61" s="1">
        <v>0</v>
      </c>
    </row>
    <row r="62" spans="1:8">
      <c r="C62" s="1" t="s">
        <v>136</v>
      </c>
      <c r="D62" s="1">
        <v>0</v>
      </c>
    </row>
    <row r="63" spans="1:8">
      <c r="C63" s="1" t="s">
        <v>137</v>
      </c>
      <c r="D63" s="1">
        <v>0</v>
      </c>
    </row>
    <row r="64" spans="1:8">
      <c r="C64" s="1" t="s">
        <v>138</v>
      </c>
      <c r="D64" s="1">
        <v>0</v>
      </c>
    </row>
    <row r="66" spans="1:6">
      <c r="A66" s="4" t="s">
        <v>139</v>
      </c>
      <c r="F66" s="5">
        <v>0</v>
      </c>
    </row>
    <row r="68" spans="1:6">
      <c r="A68" s="4" t="s">
        <v>91</v>
      </c>
      <c r="F68" s="5">
        <f>D69</f>
        <v>0</v>
      </c>
    </row>
    <row r="69" spans="1:6">
      <c r="B69" s="1" t="s">
        <v>92</v>
      </c>
      <c r="D69" s="1">
        <v>0</v>
      </c>
    </row>
  </sheetData>
  <mergeCells count="5">
    <mergeCell ref="A5:F5"/>
    <mergeCell ref="A1:F1"/>
    <mergeCell ref="A2:F2"/>
    <mergeCell ref="A3:F3"/>
    <mergeCell ref="A4:F4"/>
  </mergeCells>
  <phoneticPr fontId="19" type="noConversion"/>
  <pageMargins left="0.7597222222222223" right="0.74791666666666667" top="0.37986111111111115" bottom="0.77013888888888893" header="0.51180555555555562" footer="0.51180555555555562"/>
  <pageSetup paperSize="9" scale="90" firstPageNumber="0" orientation="portrait" horizontalDpi="300" verticalDpi="300"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F26"/>
  <sheetViews>
    <sheetView workbookViewId="0">
      <selection activeCell="A12" sqref="A12"/>
    </sheetView>
  </sheetViews>
  <sheetFormatPr baseColWidth="10" defaultRowHeight="12.75"/>
  <cols>
    <col min="1" max="1" width="32.42578125" customWidth="1"/>
  </cols>
  <sheetData>
    <row r="6" spans="1:6" s="441" customFormat="1">
      <c r="A6" s="441" t="s">
        <v>902</v>
      </c>
    </row>
    <row r="7" spans="1:6" s="441" customFormat="1">
      <c r="A7" s="441" t="s">
        <v>1131</v>
      </c>
    </row>
    <row r="8" spans="1:6" s="441" customFormat="1" ht="13.5" thickBot="1"/>
    <row r="9" spans="1:6" s="441" customFormat="1" ht="38.25">
      <c r="A9" s="443" t="s">
        <v>826</v>
      </c>
      <c r="B9" s="444" t="s">
        <v>891</v>
      </c>
      <c r="C9" s="811" t="s">
        <v>315</v>
      </c>
      <c r="D9" s="811" t="s">
        <v>644</v>
      </c>
      <c r="E9" s="444" t="s">
        <v>824</v>
      </c>
      <c r="F9" s="800" t="s">
        <v>897</v>
      </c>
    </row>
    <row r="10" spans="1:6" s="441" customFormat="1">
      <c r="A10" s="449" t="s">
        <v>325</v>
      </c>
      <c r="B10" s="452"/>
      <c r="C10" s="452"/>
      <c r="D10" s="452"/>
      <c r="E10" s="452"/>
      <c r="F10" s="453"/>
    </row>
    <row r="11" spans="1:6" s="441" customFormat="1">
      <c r="A11" s="449" t="s">
        <v>247</v>
      </c>
      <c r="B11" s="452"/>
      <c r="C11" s="452"/>
      <c r="D11" s="452"/>
      <c r="E11" s="452"/>
      <c r="F11" s="453"/>
    </row>
    <row r="12" spans="1:6" s="441" customFormat="1">
      <c r="A12" s="449" t="s">
        <v>903</v>
      </c>
      <c r="B12" s="1226" t="s">
        <v>840</v>
      </c>
      <c r="C12" s="1197"/>
      <c r="D12" s="1197"/>
      <c r="E12" s="1197"/>
      <c r="F12" s="1198"/>
    </row>
    <row r="13" spans="1:6" s="441" customFormat="1">
      <c r="A13" s="449" t="s">
        <v>904</v>
      </c>
      <c r="B13" s="452"/>
      <c r="C13" s="452"/>
      <c r="D13" s="452"/>
      <c r="E13" s="452"/>
      <c r="F13" s="453"/>
    </row>
    <row r="14" spans="1:6" s="441" customFormat="1" ht="13.5" thickBot="1">
      <c r="A14" s="777" t="s">
        <v>247</v>
      </c>
      <c r="B14" s="454"/>
      <c r="C14" s="454"/>
      <c r="D14" s="454"/>
      <c r="E14" s="454"/>
      <c r="F14" s="455"/>
    </row>
    <row r="24" spans="1:6">
      <c r="A24" s="1094" t="s">
        <v>944</v>
      </c>
      <c r="B24" s="1094"/>
      <c r="C24" s="1094"/>
      <c r="D24" s="1094"/>
      <c r="E24" s="1094"/>
      <c r="F24" s="1094"/>
    </row>
    <row r="25" spans="1:6">
      <c r="A25" s="1094" t="s">
        <v>237</v>
      </c>
      <c r="B25" s="1094"/>
      <c r="C25" s="1094"/>
      <c r="D25" s="1094"/>
      <c r="E25" s="1094"/>
      <c r="F25" s="1094"/>
    </row>
    <row r="26" spans="1:6">
      <c r="A26" s="1094" t="s">
        <v>1149</v>
      </c>
      <c r="B26" s="1094"/>
      <c r="C26" s="1094"/>
      <c r="D26" s="1094"/>
      <c r="E26" s="1094"/>
      <c r="F26" s="1094"/>
    </row>
  </sheetData>
  <mergeCells count="4">
    <mergeCell ref="B12:F12"/>
    <mergeCell ref="A24:F24"/>
    <mergeCell ref="A25:F25"/>
    <mergeCell ref="A26:F26"/>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F56"/>
  <sheetViews>
    <sheetView topLeftCell="A22" zoomScaleNormal="100" workbookViewId="0">
      <selection activeCell="A27" sqref="A27"/>
    </sheetView>
  </sheetViews>
  <sheetFormatPr baseColWidth="10" defaultRowHeight="12.75"/>
  <cols>
    <col min="1" max="1" width="57.42578125" style="441" customWidth="1"/>
    <col min="2" max="2" width="15.42578125" style="441" customWidth="1"/>
    <col min="3" max="3" width="16.28515625" style="441" bestFit="1" customWidth="1"/>
    <col min="4" max="4" width="16.5703125" style="441" customWidth="1"/>
    <col min="5" max="5" width="17.28515625" style="441" customWidth="1"/>
    <col min="6" max="6" width="17.140625" style="441" bestFit="1" customWidth="1"/>
    <col min="7" max="7" width="13.28515625" style="441" bestFit="1" customWidth="1"/>
    <col min="8" max="8" width="11.42578125" style="441"/>
    <col min="9" max="9" width="12.5703125" style="441" bestFit="1" customWidth="1"/>
    <col min="10" max="16384" width="11.42578125" style="441"/>
  </cols>
  <sheetData>
    <row r="5" spans="1:3" s="691" customFormat="1">
      <c r="A5" s="691" t="s">
        <v>905</v>
      </c>
    </row>
    <row r="6" spans="1:3">
      <c r="A6" s="691" t="s">
        <v>906</v>
      </c>
    </row>
    <row r="7" spans="1:3">
      <c r="A7" s="441" t="s">
        <v>907</v>
      </c>
    </row>
    <row r="9" spans="1:3" ht="13.5" thickBot="1"/>
    <row r="10" spans="1:3">
      <c r="A10" s="443" t="s">
        <v>826</v>
      </c>
      <c r="B10" s="444" t="s">
        <v>874</v>
      </c>
      <c r="C10" s="445" t="s">
        <v>875</v>
      </c>
    </row>
    <row r="11" spans="1:3">
      <c r="A11" s="449" t="s">
        <v>908</v>
      </c>
      <c r="B11" s="452">
        <v>0</v>
      </c>
      <c r="C11" s="453">
        <v>0</v>
      </c>
    </row>
    <row r="12" spans="1:3" s="691" customFormat="1" ht="13.5" thickBot="1">
      <c r="A12" s="749" t="s">
        <v>247</v>
      </c>
      <c r="B12" s="774">
        <v>0</v>
      </c>
      <c r="C12" s="775">
        <v>0</v>
      </c>
    </row>
    <row r="15" spans="1:3">
      <c r="A15" s="691" t="s">
        <v>909</v>
      </c>
    </row>
    <row r="16" spans="1:3" ht="15" thickBot="1">
      <c r="A16" s="885" t="s">
        <v>907</v>
      </c>
    </row>
    <row r="17" spans="1:3">
      <c r="A17" s="443" t="s">
        <v>826</v>
      </c>
      <c r="B17" s="444" t="s">
        <v>874</v>
      </c>
      <c r="C17" s="445" t="s">
        <v>875</v>
      </c>
    </row>
    <row r="18" spans="1:3">
      <c r="A18" s="449"/>
      <c r="B18" s="452">
        <v>0</v>
      </c>
      <c r="C18" s="453">
        <v>0</v>
      </c>
    </row>
    <row r="19" spans="1:3" s="691" customFormat="1" ht="13.5" thickBot="1">
      <c r="A19" s="749" t="s">
        <v>247</v>
      </c>
      <c r="B19" s="774">
        <v>0</v>
      </c>
      <c r="C19" s="775">
        <v>0</v>
      </c>
    </row>
    <row r="22" spans="1:3" s="850" customFormat="1">
      <c r="A22" s="691" t="s">
        <v>1309</v>
      </c>
    </row>
    <row r="23" spans="1:3" s="850" customFormat="1">
      <c r="A23" s="441" t="s">
        <v>1310</v>
      </c>
    </row>
    <row r="24" spans="1:3" s="850" customFormat="1">
      <c r="A24" s="441"/>
    </row>
    <row r="25" spans="1:3" s="850" customFormat="1">
      <c r="A25" s="441" t="s">
        <v>1311</v>
      </c>
    </row>
    <row r="26" spans="1:3" s="850" customFormat="1">
      <c r="A26" s="441" t="s">
        <v>1312</v>
      </c>
    </row>
    <row r="27" spans="1:3" s="850" customFormat="1">
      <c r="A27" s="441"/>
    </row>
    <row r="28" spans="1:3" s="850" customFormat="1">
      <c r="A28" s="691"/>
    </row>
    <row r="29" spans="1:3" s="597" customFormat="1" ht="13.5" thickBot="1">
      <c r="A29" s="636"/>
      <c r="B29" s="688">
        <v>44196</v>
      </c>
      <c r="C29" s="688">
        <v>43830</v>
      </c>
    </row>
    <row r="30" spans="1:3">
      <c r="A30" s="443" t="s">
        <v>826</v>
      </c>
      <c r="B30" s="444" t="s">
        <v>874</v>
      </c>
      <c r="C30" s="445" t="s">
        <v>875</v>
      </c>
    </row>
    <row r="31" spans="1:3">
      <c r="A31" s="878" t="s">
        <v>1152</v>
      </c>
      <c r="B31" s="851">
        <v>87758516</v>
      </c>
      <c r="C31" s="863">
        <v>91774512</v>
      </c>
    </row>
    <row r="32" spans="1:3">
      <c r="A32" s="878" t="s">
        <v>1153</v>
      </c>
      <c r="B32" s="851">
        <f>516474872-12412024</f>
        <v>504062848</v>
      </c>
      <c r="C32" s="863">
        <v>321921140</v>
      </c>
    </row>
    <row r="33" spans="1:3">
      <c r="A33" s="862" t="s">
        <v>1073</v>
      </c>
      <c r="B33" s="851">
        <v>17899372</v>
      </c>
      <c r="C33" s="863">
        <v>15786066</v>
      </c>
    </row>
    <row r="34" spans="1:3">
      <c r="A34" s="862" t="s">
        <v>910</v>
      </c>
      <c r="B34" s="851">
        <v>123061392</v>
      </c>
      <c r="C34" s="863">
        <v>123704928</v>
      </c>
    </row>
    <row r="35" spans="1:3">
      <c r="A35" s="862" t="s">
        <v>911</v>
      </c>
      <c r="B35" s="851">
        <v>1748214224</v>
      </c>
      <c r="C35" s="863">
        <v>1051133223</v>
      </c>
    </row>
    <row r="36" spans="1:3" ht="13.5" thickBot="1">
      <c r="A36" s="749" t="s">
        <v>247</v>
      </c>
      <c r="B36" s="780">
        <f>SUM(B31:B35)</f>
        <v>2480996352</v>
      </c>
      <c r="C36" s="812">
        <f>SUM(C31:C35)</f>
        <v>1604319869</v>
      </c>
    </row>
    <row r="40" spans="1:3">
      <c r="A40" s="691" t="s">
        <v>1065</v>
      </c>
    </row>
    <row r="41" spans="1:3" ht="13.5" thickBot="1"/>
    <row r="42" spans="1:3">
      <c r="A42" s="443" t="s">
        <v>826</v>
      </c>
      <c r="B42" s="444" t="s">
        <v>874</v>
      </c>
      <c r="C42" s="445" t="s">
        <v>875</v>
      </c>
    </row>
    <row r="43" spans="1:3">
      <c r="A43" s="449" t="s">
        <v>912</v>
      </c>
      <c r="B43" s="452">
        <v>0</v>
      </c>
      <c r="C43" s="450">
        <v>0</v>
      </c>
    </row>
    <row r="44" spans="1:3" ht="13.5" thickBot="1">
      <c r="A44" s="749" t="s">
        <v>247</v>
      </c>
      <c r="B44" s="454">
        <v>0</v>
      </c>
      <c r="C44" s="455">
        <v>0</v>
      </c>
    </row>
    <row r="54" spans="1:6">
      <c r="A54" s="1094" t="s">
        <v>944</v>
      </c>
      <c r="B54" s="1094"/>
      <c r="C54" s="1094"/>
      <c r="D54" s="921"/>
      <c r="E54" s="921"/>
      <c r="F54" s="921"/>
    </row>
    <row r="55" spans="1:6">
      <c r="A55" s="1094" t="s">
        <v>237</v>
      </c>
      <c r="B55" s="1094"/>
      <c r="C55" s="1094"/>
      <c r="D55" s="921"/>
      <c r="E55" s="921"/>
      <c r="F55" s="921"/>
    </row>
    <row r="56" spans="1:6">
      <c r="A56" s="1094" t="s">
        <v>1149</v>
      </c>
      <c r="B56" s="1094"/>
      <c r="C56" s="1094"/>
      <c r="D56" s="921"/>
      <c r="E56" s="921"/>
      <c r="F56" s="921"/>
    </row>
  </sheetData>
  <mergeCells count="3">
    <mergeCell ref="A54:C54"/>
    <mergeCell ref="A55:C55"/>
    <mergeCell ref="A56:C56"/>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51"/>
  <sheetViews>
    <sheetView topLeftCell="A28" zoomScale="106" zoomScaleNormal="106" workbookViewId="0">
      <selection activeCell="F18" sqref="F18"/>
    </sheetView>
  </sheetViews>
  <sheetFormatPr baseColWidth="10" defaultRowHeight="12.75"/>
  <cols>
    <col min="1" max="1" width="37.85546875" style="441" customWidth="1"/>
    <col min="2" max="2" width="18.42578125" style="441" customWidth="1"/>
    <col min="3" max="3" width="19.28515625" style="441" customWidth="1"/>
    <col min="4" max="5" width="11.42578125" style="441"/>
    <col min="9" max="16384" width="11.42578125" style="441"/>
  </cols>
  <sheetData>
    <row r="5" spans="1:8" s="597" customFormat="1">
      <c r="A5" s="597" t="s">
        <v>1214</v>
      </c>
      <c r="F5" s="886"/>
      <c r="G5" s="886"/>
      <c r="H5" s="886"/>
    </row>
    <row r="6" spans="1:8" s="597" customFormat="1" ht="13.5" thickBot="1">
      <c r="A6" s="636"/>
      <c r="B6" s="688">
        <v>44196</v>
      </c>
      <c r="C6" s="688">
        <v>43830</v>
      </c>
      <c r="F6" s="886"/>
      <c r="G6" s="886"/>
      <c r="H6" s="886"/>
    </row>
    <row r="7" spans="1:8" ht="13.5" thickBot="1">
      <c r="A7" s="972" t="s">
        <v>826</v>
      </c>
      <c r="B7" s="968" t="s">
        <v>874</v>
      </c>
      <c r="C7" s="975" t="s">
        <v>875</v>
      </c>
    </row>
    <row r="8" spans="1:8">
      <c r="A8" s="976" t="s">
        <v>1061</v>
      </c>
      <c r="B8" s="969"/>
      <c r="C8" s="974"/>
    </row>
    <row r="9" spans="1:8">
      <c r="A9" s="969" t="s">
        <v>920</v>
      </c>
      <c r="B9" s="930">
        <v>78126120</v>
      </c>
      <c r="C9" s="930">
        <v>44715016</v>
      </c>
    </row>
    <row r="10" spans="1:8">
      <c r="A10" s="977" t="s">
        <v>1058</v>
      </c>
      <c r="B10" s="930">
        <v>3336439</v>
      </c>
      <c r="C10" s="930">
        <v>3245563</v>
      </c>
    </row>
    <row r="11" spans="1:8">
      <c r="A11" s="969" t="s">
        <v>913</v>
      </c>
      <c r="B11" s="930">
        <v>975856</v>
      </c>
      <c r="C11" s="930">
        <v>175019</v>
      </c>
    </row>
    <row r="12" spans="1:8">
      <c r="A12" s="978" t="s">
        <v>1000</v>
      </c>
      <c r="B12" s="970">
        <f>SUM(B9:B11)</f>
        <v>82438415</v>
      </c>
      <c r="C12" s="970">
        <f>SUM(C9:C11)</f>
        <v>48135598</v>
      </c>
    </row>
    <row r="13" spans="1:8">
      <c r="A13" s="976" t="s">
        <v>1062</v>
      </c>
      <c r="B13" s="971"/>
      <c r="C13" s="973"/>
    </row>
    <row r="14" spans="1:8">
      <c r="A14" s="969" t="s">
        <v>1210</v>
      </c>
      <c r="B14" s="930">
        <v>5555102</v>
      </c>
      <c r="C14" s="930">
        <v>14879371</v>
      </c>
    </row>
    <row r="15" spans="1:8">
      <c r="A15" s="978" t="s">
        <v>1063</v>
      </c>
      <c r="B15" s="970">
        <f>SUM(B14)</f>
        <v>5555102</v>
      </c>
      <c r="C15" s="970">
        <f>SUM(C14)</f>
        <v>14879371</v>
      </c>
    </row>
    <row r="16" spans="1:8">
      <c r="A16" s="976" t="s">
        <v>1298</v>
      </c>
      <c r="B16" s="929"/>
      <c r="C16" s="929"/>
    </row>
    <row r="17" spans="1:3">
      <c r="A17" s="969" t="s">
        <v>915</v>
      </c>
      <c r="B17" s="983">
        <v>7045985</v>
      </c>
      <c r="C17" s="983">
        <v>7753847</v>
      </c>
    </row>
    <row r="18" spans="1:3">
      <c r="A18" s="969" t="s">
        <v>1161</v>
      </c>
      <c r="B18" s="930">
        <f>1186082+1727447+2439450</f>
        <v>5352979</v>
      </c>
      <c r="C18" s="930">
        <v>7802532</v>
      </c>
    </row>
    <row r="19" spans="1:3">
      <c r="A19" s="985" t="s">
        <v>919</v>
      </c>
      <c r="B19" s="931">
        <v>77547</v>
      </c>
      <c r="C19" s="930">
        <v>48990</v>
      </c>
    </row>
    <row r="20" spans="1:3">
      <c r="A20" s="969" t="s">
        <v>928</v>
      </c>
      <c r="B20" s="930">
        <v>0</v>
      </c>
      <c r="C20" s="930">
        <v>81280</v>
      </c>
    </row>
    <row r="21" spans="1:3">
      <c r="A21" s="969" t="s">
        <v>921</v>
      </c>
      <c r="B21" s="930">
        <v>18130143</v>
      </c>
      <c r="C21" s="930">
        <v>19249596</v>
      </c>
    </row>
    <row r="22" spans="1:3">
      <c r="A22" s="969" t="s">
        <v>930</v>
      </c>
      <c r="B22" s="930">
        <v>780910</v>
      </c>
      <c r="C22" s="930">
        <v>818182</v>
      </c>
    </row>
    <row r="23" spans="1:3">
      <c r="A23" s="969" t="s">
        <v>1154</v>
      </c>
      <c r="B23" s="930">
        <v>445455</v>
      </c>
      <c r="C23" s="930">
        <v>0</v>
      </c>
    </row>
    <row r="24" spans="1:3" ht="25.5">
      <c r="A24" s="977" t="s">
        <v>1001</v>
      </c>
      <c r="B24" s="930">
        <v>3437178</v>
      </c>
      <c r="C24" s="931">
        <v>2045455</v>
      </c>
    </row>
    <row r="25" spans="1:3">
      <c r="A25" s="969" t="s">
        <v>926</v>
      </c>
      <c r="B25" s="930">
        <v>866408</v>
      </c>
      <c r="C25" s="930">
        <v>8585168</v>
      </c>
    </row>
    <row r="26" spans="1:3">
      <c r="A26" s="969" t="s">
        <v>1037</v>
      </c>
      <c r="B26" s="930">
        <v>16804065</v>
      </c>
      <c r="C26" s="1006">
        <v>14476283</v>
      </c>
    </row>
    <row r="27" spans="1:3">
      <c r="A27" s="969" t="s">
        <v>925</v>
      </c>
      <c r="B27" s="930">
        <v>405875</v>
      </c>
      <c r="C27" s="930">
        <v>2067722</v>
      </c>
    </row>
    <row r="28" spans="1:3">
      <c r="A28" s="969" t="s">
        <v>916</v>
      </c>
      <c r="B28" s="930">
        <v>90909</v>
      </c>
      <c r="C28" s="930">
        <v>5921613</v>
      </c>
    </row>
    <row r="29" spans="1:3">
      <c r="A29" s="984" t="s">
        <v>1208</v>
      </c>
      <c r="B29" s="930">
        <v>1434500</v>
      </c>
      <c r="C29" s="983">
        <v>7369935</v>
      </c>
    </row>
    <row r="30" spans="1:3">
      <c r="A30" s="929" t="s">
        <v>1211</v>
      </c>
      <c r="B30" s="930">
        <v>0</v>
      </c>
      <c r="C30" s="930">
        <v>8930092</v>
      </c>
    </row>
    <row r="31" spans="1:3">
      <c r="A31" s="969" t="s">
        <v>917</v>
      </c>
      <c r="B31" s="983">
        <v>1544628</v>
      </c>
      <c r="C31" s="983">
        <v>5379924</v>
      </c>
    </row>
    <row r="32" spans="1:3">
      <c r="A32" s="985" t="s">
        <v>922</v>
      </c>
      <c r="B32" s="931">
        <v>45998964</v>
      </c>
      <c r="C32" s="931">
        <v>41390527</v>
      </c>
    </row>
    <row r="33" spans="1:8">
      <c r="A33" s="979" t="s">
        <v>914</v>
      </c>
      <c r="B33" s="986">
        <v>7920000</v>
      </c>
      <c r="C33" s="986">
        <v>6906789</v>
      </c>
    </row>
    <row r="34" spans="1:8">
      <c r="A34" s="979" t="s">
        <v>1209</v>
      </c>
      <c r="B34" s="931">
        <v>0</v>
      </c>
      <c r="C34" s="986">
        <v>10618475</v>
      </c>
    </row>
    <row r="35" spans="1:8">
      <c r="A35" s="979" t="s">
        <v>929</v>
      </c>
      <c r="B35" s="931">
        <v>200000</v>
      </c>
      <c r="C35" s="931">
        <v>157726</v>
      </c>
    </row>
    <row r="36" spans="1:8">
      <c r="A36" s="979" t="s">
        <v>924</v>
      </c>
      <c r="B36" s="931">
        <v>11928021</v>
      </c>
      <c r="C36" s="931">
        <v>20003531</v>
      </c>
    </row>
    <row r="37" spans="1:8">
      <c r="A37" s="979" t="s">
        <v>927</v>
      </c>
      <c r="B37" s="931">
        <v>44000</v>
      </c>
      <c r="C37" s="931">
        <v>823800</v>
      </c>
    </row>
    <row r="38" spans="1:8">
      <c r="A38" s="984" t="s">
        <v>923</v>
      </c>
      <c r="B38" s="931">
        <v>0</v>
      </c>
      <c r="C38" s="931">
        <v>180600</v>
      </c>
    </row>
    <row r="39" spans="1:8">
      <c r="A39" s="984" t="s">
        <v>1168</v>
      </c>
      <c r="B39" s="930">
        <v>17200000</v>
      </c>
      <c r="C39" s="930">
        <v>0</v>
      </c>
    </row>
    <row r="40" spans="1:8">
      <c r="A40" s="984" t="s">
        <v>918</v>
      </c>
      <c r="B40" s="930">
        <v>1601364</v>
      </c>
      <c r="C40" s="930">
        <v>907273</v>
      </c>
    </row>
    <row r="41" spans="1:8">
      <c r="A41" s="984" t="s">
        <v>1059</v>
      </c>
      <c r="B41" s="930">
        <v>0</v>
      </c>
      <c r="C41" s="930">
        <v>1090909</v>
      </c>
    </row>
    <row r="42" spans="1:8">
      <c r="A42" s="984" t="s">
        <v>1212</v>
      </c>
      <c r="B42" s="983">
        <v>8148021</v>
      </c>
      <c r="C42" s="983">
        <v>11742720</v>
      </c>
    </row>
    <row r="43" spans="1:8">
      <c r="A43" s="1005" t="s">
        <v>610</v>
      </c>
      <c r="B43" s="931">
        <v>1624545</v>
      </c>
      <c r="C43" s="931">
        <v>2318182</v>
      </c>
    </row>
    <row r="44" spans="1:8" ht="13.5" thickBot="1">
      <c r="A44" s="980" t="s">
        <v>1213</v>
      </c>
      <c r="B44" s="932">
        <f>SUM(B17:B43)</f>
        <v>151081497</v>
      </c>
      <c r="C44" s="932">
        <f>SUM(C17:C43)</f>
        <v>186671151</v>
      </c>
      <c r="F44" s="441"/>
      <c r="G44" s="441"/>
      <c r="H44" s="441"/>
    </row>
    <row r="45" spans="1:8" ht="27.75" customHeight="1"/>
    <row r="49" spans="1:3">
      <c r="A49" s="1094" t="s">
        <v>944</v>
      </c>
      <c r="B49" s="1094"/>
      <c r="C49" s="1094"/>
    </row>
    <row r="50" spans="1:3">
      <c r="A50" s="1094" t="s">
        <v>237</v>
      </c>
      <c r="B50" s="1094"/>
      <c r="C50" s="1094"/>
    </row>
    <row r="51" spans="1:3">
      <c r="A51" s="1094" t="s">
        <v>1149</v>
      </c>
      <c r="B51" s="1094"/>
      <c r="C51" s="1094"/>
    </row>
  </sheetData>
  <sortState ref="A17:C48">
    <sortCondition ref="A17:A48"/>
  </sortState>
  <mergeCells count="3">
    <mergeCell ref="A49:C49"/>
    <mergeCell ref="A50:C50"/>
    <mergeCell ref="A51:C51"/>
  </mergeCell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C60"/>
  <sheetViews>
    <sheetView workbookViewId="0">
      <selection activeCell="J25" sqref="J25"/>
    </sheetView>
  </sheetViews>
  <sheetFormatPr baseColWidth="10" defaultRowHeight="12.75"/>
  <cols>
    <col min="1" max="1" width="33.140625" style="441" customWidth="1"/>
    <col min="2" max="2" width="17.85546875" style="441" customWidth="1"/>
    <col min="3" max="3" width="19.42578125" style="441" customWidth="1"/>
  </cols>
  <sheetData>
    <row r="6" spans="1:3" s="886" customFormat="1">
      <c r="A6" s="597" t="s">
        <v>931</v>
      </c>
      <c r="B6" s="597"/>
      <c r="C6" s="597"/>
    </row>
    <row r="7" spans="1:3" s="886" customFormat="1" ht="13.5" thickBot="1">
      <c r="A7" s="636"/>
      <c r="B7" s="688">
        <v>44196</v>
      </c>
      <c r="C7" s="688">
        <v>43830</v>
      </c>
    </row>
    <row r="8" spans="1:3">
      <c r="A8" s="443" t="s">
        <v>554</v>
      </c>
      <c r="B8" s="444" t="s">
        <v>874</v>
      </c>
      <c r="C8" s="445" t="s">
        <v>875</v>
      </c>
    </row>
    <row r="9" spans="1:3">
      <c r="A9" s="449" t="s">
        <v>932</v>
      </c>
      <c r="B9" s="451">
        <v>2469218</v>
      </c>
      <c r="C9" s="450">
        <v>0</v>
      </c>
    </row>
    <row r="10" spans="1:3">
      <c r="A10" s="449" t="s">
        <v>933</v>
      </c>
      <c r="B10" s="451">
        <v>25685691</v>
      </c>
      <c r="C10" s="450">
        <v>0</v>
      </c>
    </row>
    <row r="11" spans="1:3">
      <c r="A11" s="449" t="s">
        <v>555</v>
      </c>
      <c r="B11" s="451">
        <v>0</v>
      </c>
      <c r="C11" s="450">
        <v>0</v>
      </c>
    </row>
    <row r="12" spans="1:3">
      <c r="A12" s="449" t="s">
        <v>928</v>
      </c>
      <c r="B12" s="451">
        <v>5279</v>
      </c>
      <c r="C12" s="450">
        <v>77985</v>
      </c>
    </row>
    <row r="13" spans="1:3" ht="13.5" thickBot="1">
      <c r="A13" s="456" t="s">
        <v>803</v>
      </c>
      <c r="B13" s="457">
        <f>SUM(B9:B12)</f>
        <v>28160188</v>
      </c>
      <c r="C13" s="458">
        <f>SUM(C9:C12)</f>
        <v>77985</v>
      </c>
    </row>
    <row r="14" spans="1:3">
      <c r="A14" s="443" t="s">
        <v>934</v>
      </c>
      <c r="B14" s="444" t="s">
        <v>874</v>
      </c>
      <c r="C14" s="445" t="s">
        <v>875</v>
      </c>
    </row>
    <row r="15" spans="1:3">
      <c r="A15" s="449" t="s">
        <v>604</v>
      </c>
      <c r="B15" s="450">
        <v>73010718</v>
      </c>
      <c r="C15" s="450">
        <v>70935909</v>
      </c>
    </row>
    <row r="16" spans="1:3">
      <c r="A16" s="853" t="s">
        <v>1068</v>
      </c>
      <c r="B16" s="854">
        <v>2722372</v>
      </c>
      <c r="C16" s="855">
        <v>0</v>
      </c>
    </row>
    <row r="17" spans="1:3">
      <c r="A17" s="449" t="s">
        <v>928</v>
      </c>
      <c r="B17" s="854">
        <v>14335</v>
      </c>
      <c r="C17" s="855">
        <v>0</v>
      </c>
    </row>
    <row r="18" spans="1:3" ht="13.5" thickBot="1">
      <c r="A18" s="456" t="s">
        <v>803</v>
      </c>
      <c r="B18" s="457">
        <f>SUM(B15:B17)</f>
        <v>75747425</v>
      </c>
      <c r="C18" s="458">
        <f>SUM(C15)</f>
        <v>70935909</v>
      </c>
    </row>
    <row r="26" spans="1:3">
      <c r="A26" s="1094" t="s">
        <v>944</v>
      </c>
      <c r="B26" s="1094"/>
      <c r="C26" s="1094"/>
    </row>
    <row r="27" spans="1:3">
      <c r="A27" s="1094" t="s">
        <v>237</v>
      </c>
      <c r="B27" s="1094"/>
      <c r="C27" s="1094"/>
    </row>
    <row r="28" spans="1:3">
      <c r="A28" s="1094" t="s">
        <v>1149</v>
      </c>
      <c r="B28" s="1094"/>
      <c r="C28" s="1094"/>
    </row>
    <row r="55" spans="1:1">
      <c r="A55" s="442"/>
    </row>
    <row r="56" spans="1:1">
      <c r="A56" s="469"/>
    </row>
    <row r="59" spans="1:1">
      <c r="A59" s="442"/>
    </row>
    <row r="60" spans="1:1">
      <c r="A60" s="469"/>
    </row>
  </sheetData>
  <mergeCells count="3">
    <mergeCell ref="A26:C26"/>
    <mergeCell ref="A27:C27"/>
    <mergeCell ref="A28:C28"/>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24"/>
  <sheetViews>
    <sheetView workbookViewId="0">
      <selection activeCell="F16" sqref="F16:F17"/>
    </sheetView>
  </sheetViews>
  <sheetFormatPr baseColWidth="10" defaultRowHeight="12.75"/>
  <cols>
    <col min="1" max="1" width="31.140625" bestFit="1" customWidth="1"/>
    <col min="2" max="2" width="17.140625" customWidth="1"/>
    <col min="3" max="3" width="18.85546875" bestFit="1" customWidth="1"/>
  </cols>
  <sheetData>
    <row r="5" spans="1:3" s="886" customFormat="1">
      <c r="A5" s="597" t="s">
        <v>935</v>
      </c>
      <c r="B5" s="597"/>
      <c r="C5" s="597"/>
    </row>
    <row r="6" spans="1:3" s="886" customFormat="1" ht="13.5" thickBot="1">
      <c r="A6" s="636"/>
      <c r="B6" s="688">
        <v>44196</v>
      </c>
      <c r="C6" s="688">
        <v>43830</v>
      </c>
    </row>
    <row r="7" spans="1:3">
      <c r="A7" s="459" t="s">
        <v>936</v>
      </c>
      <c r="B7" s="460" t="s">
        <v>874</v>
      </c>
      <c r="C7" s="461" t="s">
        <v>875</v>
      </c>
    </row>
    <row r="8" spans="1:3">
      <c r="A8" s="449" t="s">
        <v>1194</v>
      </c>
      <c r="B8" s="451">
        <v>2110327</v>
      </c>
      <c r="C8" s="450">
        <v>52736</v>
      </c>
    </row>
    <row r="9" spans="1:3" ht="25.5">
      <c r="A9" s="1026" t="s">
        <v>1195</v>
      </c>
      <c r="B9" s="462">
        <v>74522231</v>
      </c>
      <c r="C9" s="450">
        <v>39842001</v>
      </c>
    </row>
    <row r="10" spans="1:3">
      <c r="A10" s="463" t="s">
        <v>937</v>
      </c>
      <c r="B10" s="464">
        <f>SUM(B8:B9)</f>
        <v>76632558</v>
      </c>
      <c r="C10" s="465">
        <f>SUM(C8:C9)</f>
        <v>39894737</v>
      </c>
    </row>
    <row r="11" spans="1:3">
      <c r="A11" s="466" t="s">
        <v>603</v>
      </c>
      <c r="B11" s="467"/>
      <c r="C11" s="468"/>
    </row>
    <row r="12" spans="1:3">
      <c r="A12" s="449"/>
      <c r="B12" s="452">
        <v>0</v>
      </c>
      <c r="C12" s="453">
        <v>0</v>
      </c>
    </row>
    <row r="13" spans="1:3">
      <c r="A13" s="449"/>
      <c r="B13" s="451">
        <v>0</v>
      </c>
      <c r="C13" s="450">
        <v>0</v>
      </c>
    </row>
    <row r="14" spans="1:3" ht="13.5" thickBot="1">
      <c r="A14" s="456" t="s">
        <v>937</v>
      </c>
      <c r="B14" s="458">
        <f>SUM(B12:B13)</f>
        <v>0</v>
      </c>
      <c r="C14" s="458">
        <f>SUM(C12:C13)</f>
        <v>0</v>
      </c>
    </row>
    <row r="22" spans="1:3">
      <c r="A22" s="1094" t="s">
        <v>944</v>
      </c>
      <c r="B22" s="1094"/>
      <c r="C22" s="1094"/>
    </row>
    <row r="23" spans="1:3">
      <c r="A23" s="1094" t="s">
        <v>237</v>
      </c>
      <c r="B23" s="1094"/>
      <c r="C23" s="1094"/>
    </row>
    <row r="24" spans="1:3">
      <c r="A24" s="1094" t="s">
        <v>1149</v>
      </c>
      <c r="B24" s="1094"/>
      <c r="C24" s="1094"/>
    </row>
  </sheetData>
  <mergeCells count="3">
    <mergeCell ref="A22:C22"/>
    <mergeCell ref="A23:C23"/>
    <mergeCell ref="A24:C24"/>
  </mergeCells>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C26"/>
  <sheetViews>
    <sheetView workbookViewId="0">
      <selection activeCell="H20" sqref="H20"/>
    </sheetView>
  </sheetViews>
  <sheetFormatPr baseColWidth="10" defaultRowHeight="12.75"/>
  <cols>
    <col min="1" max="1" width="25.140625" bestFit="1" customWidth="1"/>
    <col min="2" max="2" width="16.42578125" customWidth="1"/>
    <col min="3" max="3" width="16.7109375" bestFit="1" customWidth="1"/>
  </cols>
  <sheetData>
    <row r="5" spans="1:3">
      <c r="A5" s="441" t="s">
        <v>939</v>
      </c>
      <c r="B5" s="441"/>
      <c r="C5" s="441"/>
    </row>
    <row r="6" spans="1:3">
      <c r="A6" s="441" t="s">
        <v>940</v>
      </c>
      <c r="B6" s="441"/>
      <c r="C6" s="441"/>
    </row>
    <row r="7" spans="1:3" ht="13.5" thickBot="1">
      <c r="A7" s="636"/>
      <c r="B7" s="688">
        <v>44196</v>
      </c>
      <c r="C7" s="688">
        <v>43830</v>
      </c>
    </row>
    <row r="8" spans="1:3">
      <c r="A8" s="443" t="s">
        <v>557</v>
      </c>
      <c r="B8" s="444" t="s">
        <v>874</v>
      </c>
      <c r="C8" s="445" t="s">
        <v>875</v>
      </c>
    </row>
    <row r="9" spans="1:3">
      <c r="A9" s="449" t="s">
        <v>557</v>
      </c>
      <c r="B9" s="1034">
        <v>1471154</v>
      </c>
      <c r="C9" s="450">
        <v>294231</v>
      </c>
    </row>
    <row r="10" spans="1:3" ht="13.5" thickBot="1">
      <c r="A10" s="456" t="s">
        <v>803</v>
      </c>
      <c r="B10" s="988">
        <f>SUM(B9)</f>
        <v>1471154</v>
      </c>
      <c r="C10" s="458">
        <f>SUM(C9:C9)</f>
        <v>294231</v>
      </c>
    </row>
    <row r="11" spans="1:3">
      <c r="A11" s="636"/>
      <c r="B11" s="945"/>
      <c r="C11" s="636"/>
    </row>
    <row r="12" spans="1:3" ht="13.5" thickBot="1">
      <c r="A12" s="636"/>
      <c r="B12" s="945"/>
      <c r="C12" s="636"/>
    </row>
    <row r="13" spans="1:3">
      <c r="A13" s="443" t="s">
        <v>938</v>
      </c>
      <c r="B13" s="987" t="s">
        <v>874</v>
      </c>
      <c r="C13" s="445" t="s">
        <v>875</v>
      </c>
    </row>
    <row r="14" spans="1:3">
      <c r="A14" s="449" t="s">
        <v>1162</v>
      </c>
      <c r="B14" s="1034">
        <v>0</v>
      </c>
      <c r="C14" s="450">
        <v>1799890</v>
      </c>
    </row>
    <row r="15" spans="1:3" ht="13.5" thickBot="1">
      <c r="A15" s="456" t="s">
        <v>803</v>
      </c>
      <c r="B15" s="988">
        <f>SUM(B14)</f>
        <v>0</v>
      </c>
      <c r="C15" s="458">
        <f>SUM(C14)</f>
        <v>1799890</v>
      </c>
    </row>
    <row r="24" spans="1:3">
      <c r="A24" s="1094" t="s">
        <v>944</v>
      </c>
      <c r="B24" s="1094"/>
      <c r="C24" s="1094"/>
    </row>
    <row r="25" spans="1:3">
      <c r="A25" s="1094" t="s">
        <v>237</v>
      </c>
      <c r="B25" s="1094"/>
      <c r="C25" s="1094"/>
    </row>
    <row r="26" spans="1:3">
      <c r="A26" s="1094" t="s">
        <v>1149</v>
      </c>
      <c r="B26" s="1094"/>
      <c r="C26" s="1094"/>
    </row>
  </sheetData>
  <mergeCells count="3">
    <mergeCell ref="A24:C24"/>
    <mergeCell ref="A25:C25"/>
    <mergeCell ref="A26:C26"/>
  </mergeCells>
  <pageMargins left="0.7" right="0.7" top="0.75" bottom="0.75" header="0.3" footer="0.3"/>
  <pageSetup orientation="portrait"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0"/>
  <sheetViews>
    <sheetView workbookViewId="0">
      <selection activeCell="M7" sqref="M7"/>
    </sheetView>
  </sheetViews>
  <sheetFormatPr baseColWidth="10" defaultRowHeight="12.75"/>
  <cols>
    <col min="2" max="2" width="11" bestFit="1" customWidth="1"/>
    <col min="3" max="3" width="27.5703125" customWidth="1"/>
    <col min="4" max="4" width="17.28515625" customWidth="1"/>
  </cols>
  <sheetData>
    <row r="1" spans="1:4">
      <c r="A1" t="s">
        <v>1278</v>
      </c>
    </row>
    <row r="3" spans="1:4">
      <c r="A3" t="s">
        <v>1279</v>
      </c>
    </row>
    <row r="4" spans="1:4">
      <c r="A4" t="s">
        <v>1280</v>
      </c>
    </row>
    <row r="5" spans="1:4">
      <c r="A5" t="s">
        <v>1281</v>
      </c>
    </row>
    <row r="6" spans="1:4">
      <c r="A6" t="s">
        <v>1282</v>
      </c>
    </row>
    <row r="7" spans="1:4">
      <c r="A7" t="s">
        <v>1283</v>
      </c>
    </row>
    <row r="8" spans="1:4">
      <c r="A8" t="s">
        <v>1284</v>
      </c>
    </row>
    <row r="11" spans="1:4">
      <c r="A11" s="1015" t="s">
        <v>1169</v>
      </c>
      <c r="B11" s="1015" t="s">
        <v>941</v>
      </c>
      <c r="C11" s="1015" t="s">
        <v>1170</v>
      </c>
      <c r="D11" s="1015" t="s">
        <v>1171</v>
      </c>
    </row>
    <row r="12" spans="1:4">
      <c r="A12" s="1013">
        <v>44015</v>
      </c>
      <c r="B12" s="1014" t="s">
        <v>1172</v>
      </c>
      <c r="C12" s="1012" t="s">
        <v>1174</v>
      </c>
      <c r="D12" s="1012" t="s">
        <v>1176</v>
      </c>
    </row>
    <row r="13" spans="1:4">
      <c r="A13" s="1013">
        <v>44015</v>
      </c>
      <c r="B13" s="1014" t="s">
        <v>1173</v>
      </c>
      <c r="C13" s="1012" t="s">
        <v>1175</v>
      </c>
      <c r="D13" s="1012" t="s">
        <v>1177</v>
      </c>
    </row>
    <row r="17" spans="1:1">
      <c r="A17" t="s">
        <v>1285</v>
      </c>
    </row>
    <row r="18" spans="1:1">
      <c r="A18" t="s">
        <v>1286</v>
      </c>
    </row>
    <row r="20" spans="1:1">
      <c r="A20" t="s">
        <v>1287</v>
      </c>
    </row>
    <row r="21" spans="1:1">
      <c r="A21" t="s">
        <v>1288</v>
      </c>
    </row>
    <row r="23" spans="1:1">
      <c r="A23" t="s">
        <v>1292</v>
      </c>
    </row>
    <row r="24" spans="1:1">
      <c r="A24" t="s">
        <v>1289</v>
      </c>
    </row>
    <row r="26" spans="1:1">
      <c r="A26" t="s">
        <v>1293</v>
      </c>
    </row>
    <row r="27" spans="1:1">
      <c r="A27" t="s">
        <v>1290</v>
      </c>
    </row>
    <row r="29" spans="1:1">
      <c r="A29" t="s">
        <v>1294</v>
      </c>
    </row>
    <row r="30" spans="1:1">
      <c r="A30" t="s">
        <v>1291</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86"/>
  <sheetViews>
    <sheetView tabSelected="1" zoomScale="87" zoomScaleNormal="87" workbookViewId="0">
      <selection activeCell="G72" sqref="G72"/>
    </sheetView>
  </sheetViews>
  <sheetFormatPr baseColWidth="10" defaultRowHeight="12.75"/>
  <cols>
    <col min="1" max="1" width="30.5703125" style="441" customWidth="1"/>
    <col min="2" max="2" width="33.140625" style="441" customWidth="1"/>
    <col min="3" max="3" width="14.28515625" style="441" bestFit="1" customWidth="1"/>
    <col min="4" max="4" width="14.7109375" style="441" customWidth="1"/>
    <col min="5" max="5" width="4.5703125" style="441" customWidth="1"/>
    <col min="6" max="6" width="12.140625" style="441" customWidth="1"/>
    <col min="7" max="7" width="14.28515625" style="441" customWidth="1"/>
    <col min="8" max="8" width="14.28515625" style="441" bestFit="1" customWidth="1"/>
    <col min="9" max="9" width="14.5703125" style="441" customWidth="1"/>
    <col min="10" max="16384" width="11.42578125" style="441"/>
  </cols>
  <sheetData>
    <row r="6" spans="1:10" ht="14.25">
      <c r="A6" s="905" t="s">
        <v>1132</v>
      </c>
      <c r="B6" s="905"/>
      <c r="C6" s="905"/>
      <c r="D6" s="905"/>
      <c r="E6" s="905"/>
      <c r="F6" s="905"/>
      <c r="G6" s="905"/>
    </row>
    <row r="8" spans="1:10" ht="14.25">
      <c r="A8" s="905" t="s">
        <v>1133</v>
      </c>
      <c r="B8" s="905"/>
      <c r="C8" s="905"/>
      <c r="D8" s="905"/>
      <c r="E8" s="905"/>
    </row>
    <row r="10" spans="1:10" ht="14.25">
      <c r="A10" s="905" t="s">
        <v>1138</v>
      </c>
      <c r="B10" s="905"/>
      <c r="C10" s="905"/>
      <c r="D10" s="905"/>
      <c r="E10" s="905"/>
    </row>
    <row r="11" spans="1:10" ht="14.25">
      <c r="A11" s="888" t="s">
        <v>1134</v>
      </c>
    </row>
    <row r="13" spans="1:10" ht="20.100000000000001" customHeight="1">
      <c r="A13" s="452">
        <v>1</v>
      </c>
      <c r="B13" s="452" t="s">
        <v>1221</v>
      </c>
      <c r="C13" s="1090" t="s">
        <v>942</v>
      </c>
      <c r="D13" s="1226">
        <v>221</v>
      </c>
      <c r="E13" s="1233"/>
      <c r="F13" s="1091">
        <v>221</v>
      </c>
      <c r="G13" s="452" t="s">
        <v>943</v>
      </c>
      <c r="H13" s="802">
        <v>221</v>
      </c>
      <c r="I13" s="451">
        <v>2210000000</v>
      </c>
      <c r="J13" s="1007">
        <v>0.85</v>
      </c>
    </row>
    <row r="14" spans="1:10" ht="20.100000000000001" customHeight="1">
      <c r="A14" s="452">
        <v>2</v>
      </c>
      <c r="B14" s="452" t="s">
        <v>1220</v>
      </c>
      <c r="C14" s="1090" t="s">
        <v>942</v>
      </c>
      <c r="D14" s="1226">
        <v>26</v>
      </c>
      <c r="E14" s="1233"/>
      <c r="F14" s="1091">
        <v>26</v>
      </c>
      <c r="G14" s="452" t="s">
        <v>943</v>
      </c>
      <c r="H14" s="802">
        <v>26</v>
      </c>
      <c r="I14" s="451">
        <v>260000000</v>
      </c>
      <c r="J14" s="1007">
        <v>0.1</v>
      </c>
    </row>
    <row r="16" spans="1:10" ht="14.25">
      <c r="A16" s="889" t="s">
        <v>1135</v>
      </c>
      <c r="B16" s="889"/>
      <c r="C16" s="889"/>
      <c r="D16" s="889"/>
    </row>
    <row r="18" spans="1:7" ht="14.25">
      <c r="A18" s="902" t="s">
        <v>1136</v>
      </c>
    </row>
    <row r="20" spans="1:7" s="597" customFormat="1" ht="14.25">
      <c r="A20" s="1022" t="s">
        <v>1137</v>
      </c>
    </row>
    <row r="22" spans="1:7" ht="14.25">
      <c r="A22" s="889" t="s">
        <v>1139</v>
      </c>
      <c r="B22" s="889"/>
      <c r="C22" s="889"/>
      <c r="D22" s="889"/>
      <c r="E22" s="889"/>
      <c r="F22" s="889"/>
    </row>
    <row r="25" spans="1:7" ht="14.25">
      <c r="A25" s="1234" t="s">
        <v>1140</v>
      </c>
      <c r="B25" s="1234"/>
      <c r="C25" s="1234"/>
      <c r="D25" s="1234"/>
      <c r="E25" s="1234"/>
      <c r="F25" s="1234"/>
      <c r="G25" s="1234"/>
    </row>
    <row r="27" spans="1:7" ht="76.5" customHeight="1">
      <c r="A27" s="813" t="s">
        <v>945</v>
      </c>
      <c r="B27" s="814" t="s">
        <v>946</v>
      </c>
      <c r="C27" s="814" t="s">
        <v>947</v>
      </c>
      <c r="D27" s="1227" t="s">
        <v>948</v>
      </c>
      <c r="E27" s="1227"/>
    </row>
    <row r="28" spans="1:7">
      <c r="A28" s="452" t="s">
        <v>949</v>
      </c>
      <c r="B28" s="452"/>
      <c r="C28" s="452"/>
      <c r="D28" s="1228"/>
      <c r="E28" s="1228"/>
    </row>
    <row r="31" spans="1:7" ht="14.25">
      <c r="A31" s="901" t="s">
        <v>1141</v>
      </c>
    </row>
    <row r="33" spans="1:5" ht="25.5">
      <c r="A33" s="813" t="s">
        <v>945</v>
      </c>
      <c r="B33" s="814" t="s">
        <v>950</v>
      </c>
      <c r="C33" s="814" t="s">
        <v>951</v>
      </c>
      <c r="D33" s="1227" t="s">
        <v>952</v>
      </c>
      <c r="E33" s="1227"/>
    </row>
    <row r="34" spans="1:5" ht="20.100000000000001" customHeight="1">
      <c r="A34" s="452" t="s">
        <v>949</v>
      </c>
      <c r="B34" s="452"/>
      <c r="C34" s="452"/>
      <c r="D34" s="1228"/>
      <c r="E34" s="1228"/>
    </row>
    <row r="35" spans="1:5" ht="20.100000000000001" customHeight="1"/>
    <row r="36" spans="1:5" ht="20.100000000000001" customHeight="1"/>
    <row r="37" spans="1:5" ht="20.100000000000001" customHeight="1"/>
    <row r="38" spans="1:5" ht="20.100000000000001" customHeight="1">
      <c r="A38" s="901" t="s">
        <v>1142</v>
      </c>
    </row>
    <row r="40" spans="1:5" ht="20.100000000000001" customHeight="1">
      <c r="A40" s="452" t="s">
        <v>953</v>
      </c>
      <c r="B40" s="452" t="s">
        <v>954</v>
      </c>
    </row>
    <row r="41" spans="1:5" ht="20.100000000000001" customHeight="1">
      <c r="A41" s="452" t="s">
        <v>949</v>
      </c>
      <c r="B41" s="452"/>
    </row>
    <row r="43" spans="1:5" ht="14.25">
      <c r="A43" s="900" t="s">
        <v>1143</v>
      </c>
    </row>
    <row r="44" spans="1:5" ht="14.25">
      <c r="A44" s="900"/>
    </row>
    <row r="45" spans="1:5" ht="14.25">
      <c r="A45" s="900" t="s">
        <v>1207</v>
      </c>
    </row>
    <row r="46" spans="1:5" ht="14.25">
      <c r="A46" s="900"/>
    </row>
    <row r="47" spans="1:5" ht="14.25">
      <c r="A47" s="902" t="s">
        <v>1144</v>
      </c>
    </row>
    <row r="48" spans="1:5" ht="14.25">
      <c r="A48" s="900"/>
    </row>
    <row r="49" spans="1:8">
      <c r="A49" s="636"/>
      <c r="B49" s="636"/>
      <c r="C49" s="636"/>
      <c r="D49" s="636"/>
      <c r="E49" s="597"/>
    </row>
    <row r="50" spans="1:8">
      <c r="A50" s="636"/>
      <c r="B50" s="815">
        <v>44196</v>
      </c>
      <c r="C50" s="815">
        <v>43830</v>
      </c>
      <c r="D50" s="815"/>
    </row>
    <row r="51" spans="1:8" ht="13.5" thickBot="1">
      <c r="A51" s="636"/>
      <c r="B51" s="815" t="s">
        <v>959</v>
      </c>
      <c r="C51" s="815" t="s">
        <v>959</v>
      </c>
      <c r="D51" s="815"/>
    </row>
    <row r="52" spans="1:8">
      <c r="A52" s="816" t="s">
        <v>405</v>
      </c>
      <c r="B52" s="817"/>
      <c r="C52" s="818"/>
      <c r="D52" s="1087"/>
    </row>
    <row r="53" spans="1:8">
      <c r="A53" s="819" t="s">
        <v>955</v>
      </c>
      <c r="B53" s="820"/>
      <c r="C53" s="821"/>
      <c r="D53" s="1087"/>
    </row>
    <row r="54" spans="1:8">
      <c r="A54" s="822" t="s">
        <v>956</v>
      </c>
      <c r="B54" s="820"/>
      <c r="C54" s="821"/>
      <c r="D54" s="1087"/>
    </row>
    <row r="55" spans="1:8">
      <c r="A55" s="823" t="s">
        <v>904</v>
      </c>
      <c r="B55" s="820"/>
      <c r="C55" s="821"/>
      <c r="D55" s="1087"/>
    </row>
    <row r="56" spans="1:8" ht="25.5">
      <c r="A56" s="1054" t="s">
        <v>957</v>
      </c>
      <c r="B56" s="824">
        <v>20636727</v>
      </c>
      <c r="C56" s="1025">
        <v>128268031</v>
      </c>
      <c r="D56" s="1088"/>
    </row>
    <row r="57" spans="1:8" s="691" customFormat="1">
      <c r="A57" s="822" t="s">
        <v>958</v>
      </c>
      <c r="B57" s="825">
        <f>+B56</f>
        <v>20636727</v>
      </c>
      <c r="C57" s="826">
        <f>+C56</f>
        <v>128268031</v>
      </c>
      <c r="D57" s="1089"/>
    </row>
    <row r="58" spans="1:8">
      <c r="A58" s="823" t="s">
        <v>673</v>
      </c>
      <c r="B58" s="820"/>
      <c r="C58" s="821"/>
      <c r="D58" s="1087"/>
    </row>
    <row r="59" spans="1:8" ht="13.5" thickBot="1">
      <c r="A59" s="827" t="s">
        <v>349</v>
      </c>
      <c r="B59" s="828"/>
      <c r="C59" s="829"/>
      <c r="D59" s="1087"/>
    </row>
    <row r="61" spans="1:8" ht="14.25">
      <c r="A61" s="902" t="s">
        <v>1144</v>
      </c>
    </row>
    <row r="64" spans="1:8" ht="13.5" thickBot="1">
      <c r="A64" s="636"/>
      <c r="B64" s="636"/>
      <c r="C64" s="636"/>
      <c r="D64" s="636"/>
      <c r="E64" s="636"/>
      <c r="F64" s="636"/>
      <c r="G64" s="688">
        <v>44196</v>
      </c>
      <c r="H64" s="688">
        <v>43830</v>
      </c>
    </row>
    <row r="65" spans="1:10" ht="25.5">
      <c r="A65" s="799" t="s">
        <v>871</v>
      </c>
      <c r="B65" s="444" t="s">
        <v>870</v>
      </c>
      <c r="C65" s="444" t="s">
        <v>872</v>
      </c>
      <c r="D65" s="1229" t="s">
        <v>873</v>
      </c>
      <c r="E65" s="1229"/>
      <c r="F65" s="444" t="s">
        <v>1104</v>
      </c>
      <c r="G65" s="444" t="s">
        <v>874</v>
      </c>
      <c r="H65" s="800" t="s">
        <v>875</v>
      </c>
    </row>
    <row r="66" spans="1:10" ht="38.25">
      <c r="A66" s="801" t="s">
        <v>1219</v>
      </c>
      <c r="B66" s="802" t="s">
        <v>876</v>
      </c>
      <c r="C66" s="803" t="s">
        <v>790</v>
      </c>
      <c r="D66" s="1230">
        <v>100</v>
      </c>
      <c r="E66" s="1230"/>
      <c r="F66" s="918">
        <v>44296</v>
      </c>
      <c r="G66" s="804">
        <v>1543157</v>
      </c>
      <c r="H66" s="805">
        <v>128268031</v>
      </c>
    </row>
    <row r="67" spans="1:10" ht="38.25">
      <c r="A67" s="1036" t="s">
        <v>1220</v>
      </c>
      <c r="B67" s="802" t="s">
        <v>876</v>
      </c>
      <c r="C67" s="803" t="s">
        <v>790</v>
      </c>
      <c r="D67" s="1230">
        <v>100</v>
      </c>
      <c r="E67" s="1230"/>
      <c r="F67" s="918">
        <v>44296</v>
      </c>
      <c r="G67" s="1037">
        <v>19093570</v>
      </c>
      <c r="H67" s="1038">
        <v>0</v>
      </c>
    </row>
    <row r="68" spans="1:10" ht="13.5" thickBot="1">
      <c r="A68" s="749" t="s">
        <v>803</v>
      </c>
      <c r="B68" s="774"/>
      <c r="C68" s="774"/>
      <c r="D68" s="1231"/>
      <c r="E68" s="1232"/>
      <c r="F68" s="774"/>
      <c r="G68" s="806">
        <f>SUM(G66:G67)</f>
        <v>20636727</v>
      </c>
      <c r="H68" s="807">
        <f>SUM(H66:H67)</f>
        <v>128268031</v>
      </c>
    </row>
    <row r="69" spans="1:10">
      <c r="J69" s="1023"/>
    </row>
    <row r="71" spans="1:10">
      <c r="J71" s="1023"/>
    </row>
    <row r="73" spans="1:10">
      <c r="A73" s="906" t="s">
        <v>1145</v>
      </c>
    </row>
    <row r="84" spans="1:7">
      <c r="A84" s="1094" t="s">
        <v>944</v>
      </c>
      <c r="B84" s="1094"/>
      <c r="C84" s="1094"/>
      <c r="D84" s="1094"/>
      <c r="E84" s="1094"/>
      <c r="F84" s="1094"/>
      <c r="G84" s="1094"/>
    </row>
    <row r="85" spans="1:7">
      <c r="A85" s="1094" t="s">
        <v>237</v>
      </c>
      <c r="B85" s="1094"/>
      <c r="C85" s="1094"/>
      <c r="D85" s="1094"/>
      <c r="E85" s="1094"/>
      <c r="F85" s="1094"/>
      <c r="G85" s="1094"/>
    </row>
    <row r="86" spans="1:7">
      <c r="A86" s="1094" t="s">
        <v>1149</v>
      </c>
      <c r="B86" s="1094"/>
      <c r="C86" s="1094"/>
      <c r="D86" s="1094"/>
      <c r="E86" s="1094"/>
      <c r="F86" s="1094"/>
      <c r="G86" s="1094"/>
    </row>
  </sheetData>
  <mergeCells count="14">
    <mergeCell ref="D13:E13"/>
    <mergeCell ref="D14:E14"/>
    <mergeCell ref="A25:G25"/>
    <mergeCell ref="A84:G84"/>
    <mergeCell ref="A85:G85"/>
    <mergeCell ref="A86:G86"/>
    <mergeCell ref="D27:E27"/>
    <mergeCell ref="D28:E28"/>
    <mergeCell ref="D33:E33"/>
    <mergeCell ref="D34:E34"/>
    <mergeCell ref="D65:E65"/>
    <mergeCell ref="D66:E66"/>
    <mergeCell ref="D67:E67"/>
    <mergeCell ref="D68:E68"/>
  </mergeCells>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tabColor indexed="10"/>
  </sheetPr>
  <dimension ref="A1:N44"/>
  <sheetViews>
    <sheetView showGridLines="0" zoomScale="75" zoomScaleNormal="75" workbookViewId="0">
      <selection activeCell="B17" sqref="B17"/>
    </sheetView>
  </sheetViews>
  <sheetFormatPr baseColWidth="10" defaultColWidth="11.42578125" defaultRowHeight="14.25"/>
  <cols>
    <col min="1" max="1" width="35" style="64" customWidth="1"/>
    <col min="2" max="2" width="15.5703125" style="64" customWidth="1"/>
    <col min="3" max="3" width="14.28515625" style="64" customWidth="1"/>
    <col min="4" max="5" width="13.28515625" style="64" customWidth="1"/>
    <col min="6" max="6" width="14" style="64" customWidth="1"/>
    <col min="7" max="7" width="15.28515625" style="64" customWidth="1"/>
    <col min="8" max="8" width="17.28515625" style="64" customWidth="1"/>
    <col min="9" max="14" width="16.85546875" style="64" customWidth="1"/>
    <col min="15" max="16384" width="11.42578125" style="64"/>
  </cols>
  <sheetData>
    <row r="1" spans="1:14">
      <c r="A1" s="1236" t="s">
        <v>239</v>
      </c>
      <c r="B1" s="1236"/>
      <c r="C1" s="1236"/>
      <c r="D1" s="1236"/>
      <c r="E1" s="1236"/>
      <c r="F1" s="1236"/>
      <c r="G1" s="1236"/>
      <c r="H1" s="1236"/>
      <c r="I1" s="1236"/>
      <c r="J1" s="1236"/>
      <c r="K1" s="1236"/>
      <c r="L1" s="1236"/>
      <c r="M1" s="1236"/>
      <c r="N1" s="1236"/>
    </row>
    <row r="2" spans="1:14">
      <c r="A2" s="1236" t="s">
        <v>283</v>
      </c>
      <c r="B2" s="1236"/>
      <c r="C2" s="1236"/>
      <c r="D2" s="1236"/>
      <c r="E2" s="1236"/>
      <c r="F2" s="1236"/>
      <c r="G2" s="1236"/>
      <c r="H2" s="1236"/>
      <c r="I2" s="1236"/>
      <c r="J2" s="1236"/>
      <c r="K2" s="1236"/>
      <c r="L2" s="1236"/>
      <c r="M2" s="1236"/>
      <c r="N2" s="65" t="s">
        <v>284</v>
      </c>
    </row>
    <row r="3" spans="1:14">
      <c r="A3" s="1236" t="s">
        <v>285</v>
      </c>
      <c r="B3" s="1236"/>
      <c r="C3" s="1236"/>
      <c r="D3" s="1236"/>
      <c r="E3" s="1236"/>
      <c r="F3" s="1236"/>
      <c r="G3" s="1236"/>
      <c r="H3" s="1236"/>
      <c r="I3" s="1236"/>
      <c r="J3" s="1236"/>
      <c r="K3" s="1236"/>
      <c r="L3" s="1236"/>
      <c r="M3" s="1236"/>
      <c r="N3" s="1236"/>
    </row>
    <row r="4" spans="1:14" ht="15">
      <c r="A4" s="66"/>
      <c r="B4" s="1235" t="s">
        <v>228</v>
      </c>
      <c r="C4" s="1235"/>
      <c r="D4" s="1235"/>
      <c r="E4" s="1235"/>
      <c r="F4" s="1235"/>
      <c r="G4" s="1235"/>
      <c r="H4" s="1235"/>
      <c r="I4" s="1235"/>
      <c r="J4" s="1235"/>
      <c r="K4" s="1235"/>
      <c r="L4" s="1235"/>
      <c r="M4" s="1235"/>
      <c r="N4" s="1235"/>
    </row>
    <row r="5" spans="1:14">
      <c r="A5" s="1236" t="s">
        <v>286</v>
      </c>
      <c r="B5" s="1236"/>
      <c r="C5" s="1236"/>
      <c r="D5" s="1236"/>
      <c r="E5" s="1236"/>
      <c r="F5" s="1236"/>
      <c r="G5" s="1236"/>
      <c r="H5" s="1236"/>
      <c r="I5" s="1236"/>
      <c r="J5" s="1236"/>
      <c r="K5" s="1236"/>
      <c r="L5" s="1236"/>
      <c r="M5" s="1236"/>
      <c r="N5" s="1236"/>
    </row>
    <row r="6" spans="1:14">
      <c r="A6" s="1236" t="s">
        <v>287</v>
      </c>
      <c r="B6" s="1236"/>
      <c r="C6" s="1236"/>
      <c r="D6" s="1236"/>
      <c r="E6" s="1236"/>
      <c r="F6" s="1236"/>
      <c r="G6" s="1236"/>
      <c r="H6" s="1236"/>
      <c r="I6" s="1236"/>
      <c r="J6" s="1236"/>
      <c r="K6" s="1236"/>
      <c r="L6" s="1236"/>
      <c r="M6" s="1236"/>
      <c r="N6" s="1236"/>
    </row>
    <row r="7" spans="1:14">
      <c r="A7" s="1236" t="s">
        <v>245</v>
      </c>
      <c r="B7" s="1236"/>
      <c r="C7" s="1236"/>
      <c r="D7" s="1236"/>
      <c r="E7" s="1236"/>
      <c r="F7" s="1236"/>
      <c r="G7" s="1236"/>
      <c r="H7" s="1236"/>
      <c r="I7" s="1236"/>
      <c r="J7" s="1236"/>
      <c r="K7" s="1236"/>
      <c r="L7" s="1236"/>
      <c r="M7" s="1236"/>
      <c r="N7" s="1236"/>
    </row>
    <row r="8" spans="1:14" ht="15">
      <c r="A8" s="68"/>
      <c r="B8" s="68"/>
      <c r="C8" s="68"/>
      <c r="D8" s="68"/>
      <c r="E8" s="68"/>
      <c r="F8" s="68"/>
      <c r="G8" s="68"/>
      <c r="H8" s="68"/>
      <c r="I8" s="68"/>
      <c r="J8" s="68"/>
      <c r="K8" s="68"/>
      <c r="L8" s="68"/>
      <c r="M8" s="68"/>
      <c r="N8" s="69"/>
    </row>
    <row r="9" spans="1:14" ht="15">
      <c r="A9" s="70"/>
      <c r="B9" s="1237" t="s">
        <v>288</v>
      </c>
      <c r="C9" s="1237"/>
      <c r="D9" s="1237"/>
      <c r="E9" s="1237"/>
      <c r="F9" s="1237"/>
      <c r="G9" s="1237"/>
      <c r="H9" s="1238" t="s">
        <v>289</v>
      </c>
      <c r="I9" s="1238"/>
      <c r="J9" s="1238"/>
      <c r="K9" s="1238"/>
      <c r="L9" s="1238"/>
      <c r="M9" s="1238"/>
      <c r="N9" s="71"/>
    </row>
    <row r="10" spans="1:14" ht="15">
      <c r="A10" s="72"/>
      <c r="B10" s="67" t="s">
        <v>290</v>
      </c>
      <c r="C10" s="67"/>
      <c r="D10" s="67"/>
      <c r="E10" s="67"/>
      <c r="F10" s="67"/>
      <c r="G10" s="67" t="s">
        <v>290</v>
      </c>
      <c r="H10" s="73" t="s">
        <v>290</v>
      </c>
      <c r="I10" s="67"/>
      <c r="J10" s="67"/>
      <c r="K10" s="67"/>
      <c r="L10" s="67"/>
      <c r="M10" s="71" t="s">
        <v>290</v>
      </c>
      <c r="N10" s="71" t="s">
        <v>249</v>
      </c>
    </row>
    <row r="11" spans="1:14" ht="15">
      <c r="A11" s="74" t="s">
        <v>291</v>
      </c>
      <c r="B11" s="75">
        <v>39082</v>
      </c>
      <c r="C11" s="69" t="s">
        <v>292</v>
      </c>
      <c r="D11" s="69" t="s">
        <v>293</v>
      </c>
      <c r="E11" s="69" t="s">
        <v>294</v>
      </c>
      <c r="F11" s="69" t="s">
        <v>295</v>
      </c>
      <c r="G11" s="75">
        <v>39447</v>
      </c>
      <c r="H11" s="76">
        <v>39082</v>
      </c>
      <c r="I11" s="69" t="s">
        <v>292</v>
      </c>
      <c r="J11" s="69" t="s">
        <v>293</v>
      </c>
      <c r="K11" s="69" t="s">
        <v>294</v>
      </c>
      <c r="L11" s="69" t="s">
        <v>295</v>
      </c>
      <c r="M11" s="77">
        <v>39447</v>
      </c>
      <c r="N11" s="78" t="s">
        <v>296</v>
      </c>
    </row>
    <row r="12" spans="1:14" ht="15">
      <c r="A12" s="72"/>
      <c r="B12" s="79"/>
      <c r="C12" s="79"/>
      <c r="D12" s="79"/>
      <c r="E12" s="79"/>
      <c r="F12" s="79"/>
      <c r="G12" s="80"/>
      <c r="H12" s="79"/>
      <c r="I12" s="79"/>
      <c r="J12" s="79"/>
      <c r="K12" s="79"/>
      <c r="L12" s="79"/>
      <c r="M12" s="80"/>
      <c r="N12" s="81"/>
    </row>
    <row r="13" spans="1:14" ht="15">
      <c r="A13" s="82" t="s">
        <v>297</v>
      </c>
      <c r="B13" s="83"/>
      <c r="C13" s="79"/>
      <c r="D13" s="83"/>
      <c r="E13" s="83"/>
      <c r="F13" s="83"/>
      <c r="G13" s="84"/>
      <c r="H13" s="83"/>
      <c r="I13" s="79"/>
      <c r="J13" s="83"/>
      <c r="K13" s="83"/>
      <c r="L13" s="83"/>
      <c r="M13" s="84"/>
      <c r="N13" s="84"/>
    </row>
    <row r="14" spans="1:14" ht="15">
      <c r="A14" s="72"/>
      <c r="B14" s="79"/>
      <c r="C14" s="79"/>
      <c r="D14" s="79"/>
      <c r="E14" s="79"/>
      <c r="F14" s="79"/>
      <c r="G14" s="85"/>
      <c r="H14" s="79"/>
      <c r="I14" s="79"/>
      <c r="J14" s="79"/>
      <c r="K14" s="79"/>
      <c r="L14" s="79"/>
      <c r="M14" s="81"/>
      <c r="N14" s="85"/>
    </row>
    <row r="15" spans="1:14" ht="15">
      <c r="A15" s="72" t="s">
        <v>298</v>
      </c>
      <c r="B15" s="86">
        <v>799435573</v>
      </c>
      <c r="C15" s="87">
        <v>19049362</v>
      </c>
      <c r="D15" s="87">
        <v>0</v>
      </c>
      <c r="E15" s="87">
        <v>2968457</v>
      </c>
      <c r="F15" s="87">
        <v>0</v>
      </c>
      <c r="G15" s="85">
        <f t="shared" ref="G15:G21" si="0">+B15+C15-D15+E15+F15</f>
        <v>821453392</v>
      </c>
      <c r="H15" s="87">
        <v>749712685</v>
      </c>
      <c r="I15" s="87">
        <f>ACTIVO!D90-BIENUSO!H15</f>
        <v>-749712685</v>
      </c>
      <c r="J15" s="87">
        <v>0</v>
      </c>
      <c r="K15" s="87">
        <v>0</v>
      </c>
      <c r="L15" s="87">
        <v>0</v>
      </c>
      <c r="M15" s="88">
        <f>+H15+I15-J15+K15+L15</f>
        <v>0</v>
      </c>
      <c r="N15" s="85">
        <f>+G15-M15</f>
        <v>821453392</v>
      </c>
    </row>
    <row r="16" spans="1:14" ht="15">
      <c r="A16" s="72" t="s">
        <v>299</v>
      </c>
      <c r="B16" s="87">
        <v>4248478308</v>
      </c>
      <c r="C16" s="87">
        <v>317916463</v>
      </c>
      <c r="D16" s="87">
        <v>0</v>
      </c>
      <c r="E16" s="87">
        <v>173833710</v>
      </c>
      <c r="F16" s="87">
        <v>0</v>
      </c>
      <c r="G16" s="85">
        <f t="shared" si="0"/>
        <v>4740228481</v>
      </c>
      <c r="H16" s="87">
        <v>1336690848</v>
      </c>
      <c r="I16" s="87">
        <f>ACTIVO!D91-BIENUSO!H16</f>
        <v>-1336690848</v>
      </c>
      <c r="J16" s="87">
        <v>0</v>
      </c>
      <c r="K16" s="87">
        <v>0</v>
      </c>
      <c r="L16" s="87">
        <v>0</v>
      </c>
      <c r="M16" s="88">
        <f t="shared" ref="M16:M24" si="1">+H16+I16-J16+K16+L16</f>
        <v>0</v>
      </c>
      <c r="N16" s="85">
        <f t="shared" ref="N16:N24" si="2">+G16-M16</f>
        <v>4740228481</v>
      </c>
    </row>
    <row r="17" spans="1:14" ht="15">
      <c r="A17" s="72" t="s">
        <v>300</v>
      </c>
      <c r="B17" s="86">
        <v>163044154</v>
      </c>
      <c r="C17" s="87">
        <v>887142</v>
      </c>
      <c r="D17" s="87">
        <v>0</v>
      </c>
      <c r="E17" s="87">
        <v>1311884</v>
      </c>
      <c r="F17" s="87">
        <v>0</v>
      </c>
      <c r="G17" s="85">
        <f t="shared" si="0"/>
        <v>165243180</v>
      </c>
      <c r="H17" s="87">
        <v>141069593</v>
      </c>
      <c r="I17" s="87">
        <f>ACTIVO!D92-BIENUSO!H17</f>
        <v>-141069593</v>
      </c>
      <c r="J17" s="87">
        <v>0</v>
      </c>
      <c r="K17" s="87">
        <v>0</v>
      </c>
      <c r="L17" s="87">
        <v>0</v>
      </c>
      <c r="M17" s="88">
        <f t="shared" si="1"/>
        <v>0</v>
      </c>
      <c r="N17" s="85">
        <f t="shared" si="2"/>
        <v>165243180</v>
      </c>
    </row>
    <row r="18" spans="1:14" ht="15">
      <c r="A18" s="72" t="s">
        <v>301</v>
      </c>
      <c r="B18" s="86">
        <v>3051933252</v>
      </c>
      <c r="C18" s="87">
        <v>67011997</v>
      </c>
      <c r="D18" s="87">
        <v>0</v>
      </c>
      <c r="E18" s="87">
        <v>15842931</v>
      </c>
      <c r="F18" s="87">
        <v>0</v>
      </c>
      <c r="G18" s="85">
        <f t="shared" si="0"/>
        <v>3134788180</v>
      </c>
      <c r="H18" s="87">
        <v>2786557527</v>
      </c>
      <c r="I18" s="87">
        <f>ACTIVO!D77-ACTIVO!D93</f>
        <v>0</v>
      </c>
      <c r="J18" s="87">
        <v>0</v>
      </c>
      <c r="K18" s="87">
        <v>0</v>
      </c>
      <c r="L18" s="87">
        <v>-114286027</v>
      </c>
      <c r="M18" s="88">
        <f t="shared" si="1"/>
        <v>2672271500</v>
      </c>
      <c r="N18" s="85">
        <f t="shared" si="2"/>
        <v>462516680</v>
      </c>
    </row>
    <row r="19" spans="1:14" ht="15">
      <c r="A19" s="72" t="s">
        <v>302</v>
      </c>
      <c r="B19" s="86">
        <v>4501180307</v>
      </c>
      <c r="C19" s="87">
        <v>0</v>
      </c>
      <c r="D19" s="87">
        <v>0</v>
      </c>
      <c r="E19" s="87">
        <v>2089668</v>
      </c>
      <c r="F19" s="87">
        <v>0</v>
      </c>
      <c r="G19" s="85">
        <f t="shared" si="0"/>
        <v>4503269975</v>
      </c>
      <c r="H19" s="87">
        <v>4466177484</v>
      </c>
      <c r="I19" s="87">
        <f>ACTIVO!D94-BIENUSO!H19</f>
        <v>-4466177484</v>
      </c>
      <c r="J19" s="87">
        <v>0</v>
      </c>
      <c r="K19" s="87">
        <v>0</v>
      </c>
      <c r="L19" s="87">
        <v>0</v>
      </c>
      <c r="M19" s="88">
        <f t="shared" si="1"/>
        <v>0</v>
      </c>
      <c r="N19" s="85">
        <f t="shared" si="2"/>
        <v>4503269975</v>
      </c>
    </row>
    <row r="20" spans="1:14" ht="15">
      <c r="A20" s="72" t="s">
        <v>303</v>
      </c>
      <c r="B20" s="86">
        <v>3011231304</v>
      </c>
      <c r="C20" s="87">
        <v>110400000</v>
      </c>
      <c r="D20" s="87">
        <v>0</v>
      </c>
      <c r="E20" s="87">
        <f>11903952+10658241</f>
        <v>22562193</v>
      </c>
      <c r="F20" s="87">
        <v>0</v>
      </c>
      <c r="G20" s="85">
        <f t="shared" si="0"/>
        <v>3144193497</v>
      </c>
      <c r="H20" s="87">
        <v>2633305129</v>
      </c>
      <c r="I20" s="87">
        <f>ACTIVO!D95-BIENUSO!H20</f>
        <v>-2633305129</v>
      </c>
      <c r="J20" s="87">
        <v>0</v>
      </c>
      <c r="K20" s="87">
        <v>0</v>
      </c>
      <c r="L20" s="87">
        <v>0</v>
      </c>
      <c r="M20" s="88">
        <f t="shared" si="1"/>
        <v>0</v>
      </c>
      <c r="N20" s="85">
        <f t="shared" si="2"/>
        <v>3144193497</v>
      </c>
    </row>
    <row r="21" spans="1:14" ht="15">
      <c r="A21" s="72" t="s">
        <v>304</v>
      </c>
      <c r="B21" s="87">
        <v>90345536</v>
      </c>
      <c r="C21" s="87">
        <v>0</v>
      </c>
      <c r="D21" s="87">
        <v>0</v>
      </c>
      <c r="E21" s="87">
        <v>3309619</v>
      </c>
      <c r="F21" s="87">
        <v>0</v>
      </c>
      <c r="G21" s="85">
        <f t="shared" si="0"/>
        <v>93655155</v>
      </c>
      <c r="H21" s="87">
        <v>34908022</v>
      </c>
      <c r="I21" s="87">
        <f>ACTIVO!D99-BIENUSO!H21</f>
        <v>-34908022</v>
      </c>
      <c r="J21" s="87">
        <v>0</v>
      </c>
      <c r="K21" s="87">
        <v>0</v>
      </c>
      <c r="L21" s="87">
        <v>0</v>
      </c>
      <c r="M21" s="88">
        <f t="shared" si="1"/>
        <v>0</v>
      </c>
      <c r="N21" s="85">
        <f t="shared" si="2"/>
        <v>93655155</v>
      </c>
    </row>
    <row r="22" spans="1:14" ht="15">
      <c r="A22" s="72" t="s">
        <v>305</v>
      </c>
      <c r="B22" s="87">
        <v>1938870265</v>
      </c>
      <c r="C22" s="87">
        <v>0</v>
      </c>
      <c r="D22" s="87">
        <v>0</v>
      </c>
      <c r="E22" s="87">
        <v>11379779</v>
      </c>
      <c r="F22" s="87">
        <v>0</v>
      </c>
      <c r="G22" s="85">
        <f>+B22+C22+D22+E22+F22</f>
        <v>1950250044</v>
      </c>
      <c r="H22" s="87">
        <v>1748254190</v>
      </c>
      <c r="I22" s="87">
        <f>ACTIVO!D101-BIENUSO!H22</f>
        <v>-1748254190</v>
      </c>
      <c r="J22" s="87">
        <v>0</v>
      </c>
      <c r="K22" s="87">
        <v>0</v>
      </c>
      <c r="L22" s="87">
        <v>0</v>
      </c>
      <c r="M22" s="88">
        <f>+H22+I22+J22+K22+L22</f>
        <v>0</v>
      </c>
      <c r="N22" s="85">
        <f t="shared" si="2"/>
        <v>1950250044</v>
      </c>
    </row>
    <row r="23" spans="1:14" ht="15">
      <c r="A23" s="72" t="s">
        <v>306</v>
      </c>
      <c r="B23" s="87">
        <v>248285545</v>
      </c>
      <c r="C23" s="87">
        <v>0</v>
      </c>
      <c r="D23" s="87">
        <v>0</v>
      </c>
      <c r="E23" s="87">
        <v>19234223</v>
      </c>
      <c r="F23" s="87">
        <v>0</v>
      </c>
      <c r="G23" s="85">
        <f>+B23+C23-D23+E23+F23</f>
        <v>267519768</v>
      </c>
      <c r="H23" s="87">
        <v>13844806</v>
      </c>
      <c r="I23" s="87">
        <f>ACTIVO!H97-BIENUSO!H23</f>
        <v>-13844806</v>
      </c>
      <c r="J23" s="87">
        <v>0</v>
      </c>
      <c r="K23" s="87">
        <v>0</v>
      </c>
      <c r="L23" s="87">
        <v>0</v>
      </c>
      <c r="M23" s="88">
        <f>+H23+I23-J23+K23+L23</f>
        <v>0</v>
      </c>
      <c r="N23" s="85">
        <f>+G23-M23</f>
        <v>267519768</v>
      </c>
    </row>
    <row r="24" spans="1:14" ht="15">
      <c r="A24" s="72" t="s">
        <v>307</v>
      </c>
      <c r="B24" s="87">
        <v>399617348</v>
      </c>
      <c r="C24" s="87">
        <v>4772727</v>
      </c>
      <c r="D24" s="87">
        <v>0</v>
      </c>
      <c r="E24" s="87">
        <v>1169403</v>
      </c>
      <c r="F24" s="87">
        <v>0</v>
      </c>
      <c r="G24" s="85">
        <f>+B24+C24-D24+E24+F24</f>
        <v>405559478</v>
      </c>
      <c r="H24" s="87">
        <v>380029364</v>
      </c>
      <c r="I24" s="87">
        <f>ACTIVO!D102-BIENUSO!H24</f>
        <v>-380029364</v>
      </c>
      <c r="J24" s="87">
        <v>0</v>
      </c>
      <c r="K24" s="87">
        <v>0</v>
      </c>
      <c r="L24" s="87">
        <v>0</v>
      </c>
      <c r="M24" s="88">
        <f t="shared" si="1"/>
        <v>0</v>
      </c>
      <c r="N24" s="85">
        <f t="shared" si="2"/>
        <v>405559478</v>
      </c>
    </row>
    <row r="25" spans="1:14" ht="15">
      <c r="A25" s="72" t="s">
        <v>308</v>
      </c>
      <c r="B25" s="87">
        <v>156501966</v>
      </c>
      <c r="C25" s="87">
        <v>0</v>
      </c>
      <c r="D25" s="87">
        <v>0</v>
      </c>
      <c r="E25" s="87">
        <v>0</v>
      </c>
      <c r="F25" s="87">
        <v>0</v>
      </c>
      <c r="G25" s="85">
        <f>+B25+C25-D25+E25+F25</f>
        <v>156501966</v>
      </c>
      <c r="H25" s="87">
        <v>68761435</v>
      </c>
      <c r="I25" s="87">
        <f>ACTIVO!H96-BIENUSO!H25</f>
        <v>-68761435</v>
      </c>
      <c r="J25" s="87">
        <v>0</v>
      </c>
      <c r="K25" s="87">
        <v>0</v>
      </c>
      <c r="L25" s="87">
        <v>0</v>
      </c>
      <c r="M25" s="88">
        <f>+H25+I25-J25+K25+L25</f>
        <v>0</v>
      </c>
      <c r="N25" s="85">
        <f>+G25-M25</f>
        <v>156501966</v>
      </c>
    </row>
    <row r="26" spans="1:14" ht="15">
      <c r="A26" s="72"/>
      <c r="B26" s="87"/>
      <c r="C26" s="87"/>
      <c r="D26" s="87"/>
      <c r="E26" s="87"/>
      <c r="F26" s="87"/>
      <c r="G26" s="85"/>
      <c r="H26" s="87"/>
      <c r="I26" s="87"/>
      <c r="J26" s="87"/>
      <c r="K26" s="87"/>
      <c r="L26" s="87"/>
      <c r="M26" s="88"/>
      <c r="N26" s="85"/>
    </row>
    <row r="27" spans="1:14" ht="15">
      <c r="A27" s="72" t="s">
        <v>309</v>
      </c>
      <c r="B27" s="89">
        <f>SUM(B15:B26)</f>
        <v>18608923558</v>
      </c>
      <c r="C27" s="89">
        <f>SUM(C15:C26)</f>
        <v>520037691</v>
      </c>
      <c r="D27" s="89">
        <f>SUM(D15:D26)</f>
        <v>0</v>
      </c>
      <c r="E27" s="89">
        <f>SUM(E15:E26)</f>
        <v>253701867</v>
      </c>
      <c r="F27" s="89">
        <f>SUM(F15:F26)</f>
        <v>0</v>
      </c>
      <c r="G27" s="90">
        <f>+B27+C27+D27+E27+F27</f>
        <v>19382663116</v>
      </c>
      <c r="H27" s="89">
        <f>SUM(H15:H26)</f>
        <v>14359311083</v>
      </c>
      <c r="I27" s="89">
        <f>SUM(I15:I26)</f>
        <v>-11572753556</v>
      </c>
      <c r="J27" s="89">
        <f>SUM(J15:J26)</f>
        <v>0</v>
      </c>
      <c r="K27" s="89">
        <f>SUM(K15:K26)</f>
        <v>0</v>
      </c>
      <c r="L27" s="89">
        <f>SUM(L15:L26)</f>
        <v>-114286027</v>
      </c>
      <c r="M27" s="91">
        <f>+H27+I27+J27+K27+L27</f>
        <v>2672271500</v>
      </c>
      <c r="N27" s="90">
        <f>SUM(N15:N26)</f>
        <v>16710391616</v>
      </c>
    </row>
    <row r="28" spans="1:14" ht="15">
      <c r="A28" s="72"/>
      <c r="B28" s="86"/>
      <c r="C28" s="86"/>
      <c r="D28" s="86"/>
      <c r="E28" s="86"/>
      <c r="F28" s="86"/>
      <c r="G28" s="85"/>
      <c r="H28" s="86"/>
      <c r="I28" s="86"/>
      <c r="J28" s="86"/>
      <c r="K28" s="86"/>
      <c r="L28" s="86"/>
      <c r="M28" s="85"/>
      <c r="N28" s="85"/>
    </row>
    <row r="29" spans="1:14" ht="15">
      <c r="A29" s="82" t="s">
        <v>310</v>
      </c>
      <c r="B29" s="86"/>
      <c r="C29" s="86"/>
      <c r="D29" s="86"/>
      <c r="E29" s="86"/>
      <c r="F29" s="86"/>
      <c r="G29" s="85"/>
      <c r="H29" s="86"/>
      <c r="I29" s="86"/>
      <c r="J29" s="86"/>
      <c r="K29" s="86"/>
      <c r="L29" s="86"/>
      <c r="M29" s="85"/>
      <c r="N29" s="85"/>
    </row>
    <row r="30" spans="1:14" ht="15">
      <c r="A30" s="72"/>
      <c r="B30" s="86"/>
      <c r="C30" s="86"/>
      <c r="D30" s="86"/>
      <c r="E30" s="86"/>
      <c r="F30" s="86"/>
      <c r="G30" s="85"/>
      <c r="H30" s="86"/>
      <c r="I30" s="86"/>
      <c r="J30" s="86"/>
      <c r="K30" s="86"/>
      <c r="L30" s="86"/>
      <c r="M30" s="85"/>
      <c r="N30" s="85"/>
    </row>
    <row r="31" spans="1:14" ht="15">
      <c r="A31" s="72" t="s">
        <v>311</v>
      </c>
      <c r="B31" s="89">
        <v>0</v>
      </c>
      <c r="C31" s="92">
        <v>0</v>
      </c>
      <c r="D31" s="92">
        <v>0</v>
      </c>
      <c r="E31" s="92">
        <v>0</v>
      </c>
      <c r="F31" s="92">
        <v>0</v>
      </c>
      <c r="G31" s="90">
        <f>+B31+C31-D31+E31+F31</f>
        <v>0</v>
      </c>
      <c r="H31" s="92">
        <v>0</v>
      </c>
      <c r="I31" s="92">
        <v>0</v>
      </c>
      <c r="J31" s="92">
        <v>0</v>
      </c>
      <c r="K31" s="92">
        <v>0</v>
      </c>
      <c r="L31" s="92">
        <v>0</v>
      </c>
      <c r="M31" s="91">
        <v>0</v>
      </c>
      <c r="N31" s="90">
        <f>+G31-M31</f>
        <v>0</v>
      </c>
    </row>
    <row r="32" spans="1:14" ht="15">
      <c r="A32" s="72" t="s">
        <v>309</v>
      </c>
      <c r="B32" s="92">
        <f>+B31</f>
        <v>0</v>
      </c>
      <c r="C32" s="92">
        <f t="shared" ref="C32:N32" si="3">+C31</f>
        <v>0</v>
      </c>
      <c r="D32" s="92">
        <f t="shared" si="3"/>
        <v>0</v>
      </c>
      <c r="E32" s="92">
        <f t="shared" si="3"/>
        <v>0</v>
      </c>
      <c r="F32" s="92">
        <f t="shared" si="3"/>
        <v>0</v>
      </c>
      <c r="G32" s="91">
        <f t="shared" si="3"/>
        <v>0</v>
      </c>
      <c r="H32" s="92">
        <f t="shared" si="3"/>
        <v>0</v>
      </c>
      <c r="I32" s="92">
        <f t="shared" si="3"/>
        <v>0</v>
      </c>
      <c r="J32" s="92">
        <f t="shared" si="3"/>
        <v>0</v>
      </c>
      <c r="K32" s="92">
        <f t="shared" si="3"/>
        <v>0</v>
      </c>
      <c r="L32" s="92">
        <f t="shared" si="3"/>
        <v>0</v>
      </c>
      <c r="M32" s="91">
        <f t="shared" si="3"/>
        <v>0</v>
      </c>
      <c r="N32" s="91">
        <f t="shared" si="3"/>
        <v>0</v>
      </c>
    </row>
    <row r="33" spans="1:14" ht="15">
      <c r="A33" s="72"/>
      <c r="B33" s="87"/>
      <c r="C33" s="87"/>
      <c r="D33" s="87"/>
      <c r="E33" s="87"/>
      <c r="F33" s="87"/>
      <c r="G33" s="88"/>
      <c r="H33" s="87"/>
      <c r="I33" s="87"/>
      <c r="J33" s="87"/>
      <c r="K33" s="87"/>
      <c r="L33" s="87"/>
      <c r="M33" s="88"/>
      <c r="N33" s="85"/>
    </row>
    <row r="34" spans="1:14" ht="15">
      <c r="A34" s="72" t="s">
        <v>312</v>
      </c>
      <c r="B34" s="93">
        <f t="shared" ref="B34:L34" si="4">+B27+B32</f>
        <v>18608923558</v>
      </c>
      <c r="C34" s="93">
        <f t="shared" si="4"/>
        <v>520037691</v>
      </c>
      <c r="D34" s="93">
        <f t="shared" si="4"/>
        <v>0</v>
      </c>
      <c r="E34" s="93">
        <f t="shared" si="4"/>
        <v>253701867</v>
      </c>
      <c r="F34" s="93">
        <f t="shared" si="4"/>
        <v>0</v>
      </c>
      <c r="G34" s="94">
        <f t="shared" si="4"/>
        <v>19382663116</v>
      </c>
      <c r="H34" s="93">
        <f t="shared" si="4"/>
        <v>14359311083</v>
      </c>
      <c r="I34" s="93">
        <f t="shared" si="4"/>
        <v>-11572753556</v>
      </c>
      <c r="J34" s="93">
        <f t="shared" si="4"/>
        <v>0</v>
      </c>
      <c r="K34" s="93">
        <f t="shared" si="4"/>
        <v>0</v>
      </c>
      <c r="L34" s="93">
        <f t="shared" si="4"/>
        <v>-114286027</v>
      </c>
      <c r="M34" s="94">
        <f>+M27+M32</f>
        <v>2672271500</v>
      </c>
      <c r="N34" s="94">
        <f>+G34-M34</f>
        <v>16710391616</v>
      </c>
    </row>
    <row r="35" spans="1:14" ht="15">
      <c r="A35" s="72"/>
      <c r="B35" s="95"/>
      <c r="C35" s="95"/>
      <c r="D35" s="95"/>
      <c r="E35" s="95"/>
      <c r="F35" s="95"/>
      <c r="G35" s="81"/>
      <c r="H35" s="95"/>
      <c r="I35" s="95"/>
      <c r="J35" s="95"/>
      <c r="K35" s="95"/>
      <c r="L35" s="95"/>
      <c r="M35" s="81"/>
      <c r="N35" s="81"/>
    </row>
    <row r="36" spans="1:14" ht="15">
      <c r="A36" s="96" t="s">
        <v>313</v>
      </c>
      <c r="B36" s="97">
        <v>17122817973</v>
      </c>
      <c r="C36" s="97">
        <v>1211484701</v>
      </c>
      <c r="D36" s="93">
        <v>0</v>
      </c>
      <c r="E36" s="97">
        <v>496383995</v>
      </c>
      <c r="F36" s="98">
        <v>-221763111</v>
      </c>
      <c r="G36" s="94">
        <f>+B36+C36+D36+E36+F36</f>
        <v>18608923558</v>
      </c>
      <c r="H36" s="99">
        <v>13396568290</v>
      </c>
      <c r="I36" s="99">
        <v>1032044687</v>
      </c>
      <c r="J36" s="93">
        <v>0</v>
      </c>
      <c r="K36" s="97">
        <v>0</v>
      </c>
      <c r="L36" s="98">
        <v>-69301894</v>
      </c>
      <c r="M36" s="100">
        <f>+H36+I36+J36+K36+L36</f>
        <v>14359311083</v>
      </c>
      <c r="N36" s="101">
        <f>+G36-M36</f>
        <v>4249612475</v>
      </c>
    </row>
    <row r="37" spans="1:14" ht="15">
      <c r="A37" s="95"/>
      <c r="B37" s="95"/>
      <c r="C37" s="95"/>
      <c r="D37" s="95"/>
      <c r="E37" s="95"/>
      <c r="F37" s="95"/>
      <c r="G37" s="95"/>
      <c r="H37" s="95"/>
      <c r="I37" s="95"/>
      <c r="J37" s="95"/>
      <c r="K37" s="95"/>
      <c r="L37" s="95"/>
      <c r="M37" s="95"/>
      <c r="N37" s="95"/>
    </row>
    <row r="38" spans="1:14" ht="15">
      <c r="A38" s="95"/>
      <c r="B38" s="95"/>
      <c r="C38" s="95"/>
      <c r="D38" s="95"/>
      <c r="E38" s="95"/>
      <c r="F38" s="95"/>
      <c r="G38" s="95"/>
      <c r="H38" s="95"/>
      <c r="I38" s="95"/>
      <c r="J38" s="95"/>
      <c r="K38" s="95"/>
      <c r="L38" s="95"/>
      <c r="M38" s="95"/>
      <c r="N38" s="95"/>
    </row>
    <row r="39" spans="1:14" ht="15">
      <c r="A39" s="95"/>
      <c r="B39" s="95"/>
      <c r="C39" s="95"/>
      <c r="D39" s="95"/>
      <c r="E39" s="95"/>
      <c r="F39" s="95"/>
      <c r="G39" s="95"/>
      <c r="H39" s="95"/>
      <c r="I39" s="95"/>
      <c r="J39" s="95"/>
      <c r="K39" s="95"/>
      <c r="L39" s="95"/>
      <c r="M39" s="95"/>
      <c r="N39" s="95"/>
    </row>
    <row r="40" spans="1:14" ht="15">
      <c r="A40" s="95"/>
      <c r="B40" s="95"/>
      <c r="C40" s="95"/>
      <c r="D40" s="102"/>
      <c r="E40" s="95"/>
      <c r="F40" s="95"/>
      <c r="G40" s="95"/>
      <c r="H40" s="95"/>
      <c r="I40" s="95"/>
      <c r="J40" s="95"/>
      <c r="K40" s="95"/>
      <c r="L40" s="95"/>
      <c r="M40" s="95"/>
      <c r="N40" s="95"/>
    </row>
    <row r="41" spans="1:14" ht="15">
      <c r="A41" s="95"/>
      <c r="B41" s="95"/>
      <c r="C41" s="95"/>
      <c r="D41" s="95"/>
      <c r="E41" s="95"/>
      <c r="F41" s="95"/>
      <c r="G41" s="95"/>
      <c r="H41" s="95"/>
      <c r="I41" s="95"/>
      <c r="J41" s="95"/>
      <c r="K41" s="95"/>
      <c r="L41" s="95"/>
      <c r="M41" s="95"/>
      <c r="N41" s="95"/>
    </row>
    <row r="42" spans="1:14" ht="15">
      <c r="A42" s="1235" t="s">
        <v>314</v>
      </c>
      <c r="B42" s="1235"/>
      <c r="C42" s="1235"/>
      <c r="D42" s="95"/>
      <c r="E42" s="1235" t="s">
        <v>233</v>
      </c>
      <c r="F42" s="1235"/>
      <c r="G42" s="1235"/>
      <c r="H42" s="1235"/>
      <c r="I42" s="95"/>
      <c r="J42" s="95"/>
      <c r="K42" s="1235" t="s">
        <v>234</v>
      </c>
      <c r="L42" s="1235"/>
      <c r="M42" s="95"/>
      <c r="N42" s="95"/>
    </row>
    <row r="43" spans="1:14" ht="15">
      <c r="A43" s="1235" t="s">
        <v>235</v>
      </c>
      <c r="B43" s="1235"/>
      <c r="C43" s="1235"/>
      <c r="D43" s="95"/>
      <c r="E43" s="1235" t="s">
        <v>236</v>
      </c>
      <c r="F43" s="1235"/>
      <c r="G43" s="1235"/>
      <c r="H43" s="1235"/>
      <c r="I43" s="95"/>
      <c r="J43" s="95"/>
      <c r="K43" s="1235" t="s">
        <v>237</v>
      </c>
      <c r="L43" s="1235"/>
      <c r="M43" s="95"/>
      <c r="N43" s="95"/>
    </row>
    <row r="44" spans="1:14" ht="15">
      <c r="A44" s="1235" t="s">
        <v>238</v>
      </c>
      <c r="B44" s="1235"/>
      <c r="C44" s="1235"/>
      <c r="D44" s="95"/>
      <c r="E44" s="1235"/>
      <c r="F44" s="1235"/>
      <c r="G44" s="1235"/>
      <c r="H44" s="1235"/>
      <c r="I44" s="95"/>
      <c r="J44" s="95"/>
      <c r="K44" s="95"/>
      <c r="L44" s="95"/>
      <c r="M44" s="95"/>
      <c r="N44" s="95"/>
    </row>
  </sheetData>
  <mergeCells count="17">
    <mergeCell ref="A7:N7"/>
    <mergeCell ref="B9:G9"/>
    <mergeCell ref="H9:M9"/>
    <mergeCell ref="A1:N1"/>
    <mergeCell ref="A2:M2"/>
    <mergeCell ref="A3:N3"/>
    <mergeCell ref="B4:N4"/>
    <mergeCell ref="A5:N5"/>
    <mergeCell ref="A6:N6"/>
    <mergeCell ref="A44:C44"/>
    <mergeCell ref="E44:H44"/>
    <mergeCell ref="A42:C42"/>
    <mergeCell ref="E42:H42"/>
    <mergeCell ref="K42:L42"/>
    <mergeCell ref="A43:C43"/>
    <mergeCell ref="E43:H43"/>
    <mergeCell ref="K43:L43"/>
  </mergeCells>
  <phoneticPr fontId="19" type="noConversion"/>
  <printOptions horizontalCentered="1"/>
  <pageMargins left="0.74803149606299213" right="0.98425196850393704" top="1.1811023622047245" bottom="0.98425196850393704" header="0.51181102362204722" footer="0.51181102362204722"/>
  <pageSetup scale="50" firstPageNumber="0" orientation="landscape" horizontalDpi="300" verticalDpi="3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B3:L52"/>
  <sheetViews>
    <sheetView showGridLines="0" zoomScale="75" zoomScaleNormal="75" workbookViewId="0">
      <selection activeCell="A9" sqref="A9"/>
    </sheetView>
  </sheetViews>
  <sheetFormatPr baseColWidth="10" defaultColWidth="11.42578125" defaultRowHeight="14.25"/>
  <cols>
    <col min="1" max="1" width="11.42578125" style="103"/>
    <col min="2" max="2" width="39.140625" style="103" customWidth="1"/>
    <col min="3" max="3" width="16.140625" style="123" customWidth="1"/>
    <col min="4" max="4" width="15.5703125" style="123" customWidth="1"/>
    <col min="5" max="5" width="16.5703125" style="123" customWidth="1"/>
    <col min="6" max="6" width="16.42578125" style="123" customWidth="1"/>
    <col min="7" max="7" width="17.28515625" style="123" customWidth="1"/>
    <col min="8" max="10" width="0" style="103" hidden="1" customWidth="1"/>
    <col min="11" max="11" width="2.85546875" style="103" customWidth="1"/>
    <col min="12" max="12" width="14.42578125" style="103" customWidth="1"/>
    <col min="13" max="16384" width="11.42578125" style="103"/>
  </cols>
  <sheetData>
    <row r="3" spans="2:10">
      <c r="C3" s="378"/>
      <c r="D3" s="381" t="s">
        <v>628</v>
      </c>
      <c r="E3" s="378"/>
      <c r="F3" s="378"/>
      <c r="G3" s="378"/>
      <c r="H3" s="378"/>
      <c r="I3" s="378"/>
      <c r="J3" s="378"/>
    </row>
    <row r="4" spans="2:10" ht="15">
      <c r="C4" s="378"/>
      <c r="D4" s="381" t="s">
        <v>240</v>
      </c>
      <c r="E4" s="378"/>
      <c r="F4" s="378"/>
      <c r="G4" s="378"/>
      <c r="H4" s="378"/>
      <c r="I4" s="378"/>
      <c r="J4" s="104" t="s">
        <v>336</v>
      </c>
    </row>
    <row r="5" spans="2:10">
      <c r="C5" s="378"/>
      <c r="D5" s="381" t="s">
        <v>629</v>
      </c>
      <c r="E5" s="378"/>
      <c r="F5" s="378"/>
      <c r="G5" s="379" t="s">
        <v>336</v>
      </c>
      <c r="H5" s="379"/>
      <c r="I5" s="379"/>
      <c r="J5" s="379"/>
    </row>
    <row r="6" spans="2:10" ht="15">
      <c r="C6" s="380"/>
      <c r="D6" s="382" t="s">
        <v>245</v>
      </c>
      <c r="E6" s="380"/>
      <c r="F6" s="380"/>
      <c r="G6" s="380"/>
      <c r="H6" s="380"/>
      <c r="I6" s="380"/>
      <c r="J6" s="380"/>
    </row>
    <row r="7" spans="2:10" ht="15">
      <c r="C7" s="105"/>
      <c r="D7" s="383"/>
      <c r="E7" s="105"/>
      <c r="F7" s="105"/>
      <c r="G7" s="105"/>
      <c r="H7" s="106"/>
      <c r="I7" s="106"/>
      <c r="J7" s="106"/>
    </row>
    <row r="8" spans="2:10">
      <c r="C8" s="378"/>
      <c r="D8" s="381" t="s">
        <v>337</v>
      </c>
      <c r="E8" s="378"/>
      <c r="F8" s="378"/>
      <c r="G8" s="378"/>
      <c r="H8" s="378"/>
      <c r="I8" s="378"/>
      <c r="J8" s="378"/>
    </row>
    <row r="9" spans="2:10" ht="15">
      <c r="C9" s="105"/>
      <c r="D9" s="383"/>
      <c r="E9" s="105"/>
      <c r="F9" s="105"/>
      <c r="G9" s="105"/>
      <c r="H9" s="106"/>
      <c r="I9" s="106"/>
      <c r="J9" s="106"/>
    </row>
    <row r="10" spans="2:10" ht="15">
      <c r="C10" s="380"/>
      <c r="D10" s="382" t="s">
        <v>287</v>
      </c>
      <c r="E10" s="380"/>
      <c r="F10" s="380"/>
      <c r="G10" s="380"/>
      <c r="H10" s="380"/>
      <c r="I10" s="380"/>
      <c r="J10" s="380"/>
    </row>
    <row r="11" spans="2:10" ht="15">
      <c r="B11" s="68"/>
      <c r="C11" s="105"/>
      <c r="D11" s="105"/>
      <c r="E11" s="105"/>
      <c r="F11" s="105"/>
      <c r="G11" s="105"/>
      <c r="H11" s="106"/>
      <c r="I11" s="106"/>
      <c r="J11" s="106"/>
    </row>
    <row r="12" spans="2:10" ht="15">
      <c r="B12" s="107"/>
      <c r="C12" s="108"/>
      <c r="D12" s="108"/>
      <c r="E12" s="108"/>
      <c r="F12" s="108" t="s">
        <v>338</v>
      </c>
      <c r="G12" s="1240" t="s">
        <v>377</v>
      </c>
      <c r="H12" s="109"/>
      <c r="I12" s="110"/>
      <c r="J12" s="111"/>
    </row>
    <row r="13" spans="2:10" ht="15">
      <c r="B13" s="112"/>
      <c r="C13" s="113" t="s">
        <v>338</v>
      </c>
      <c r="D13" s="113" t="s">
        <v>338</v>
      </c>
      <c r="E13" s="113" t="s">
        <v>339</v>
      </c>
      <c r="F13" s="113" t="s">
        <v>340</v>
      </c>
      <c r="G13" s="1241"/>
      <c r="H13" s="114"/>
      <c r="I13" s="1239" t="s">
        <v>341</v>
      </c>
      <c r="J13" s="1239"/>
    </row>
    <row r="14" spans="2:10" ht="15">
      <c r="B14" s="112"/>
      <c r="C14" s="113" t="s">
        <v>318</v>
      </c>
      <c r="D14" s="113" t="s">
        <v>317</v>
      </c>
      <c r="E14" s="113" t="s">
        <v>318</v>
      </c>
      <c r="F14" s="113" t="s">
        <v>342</v>
      </c>
      <c r="G14" s="1241"/>
      <c r="H14" s="114" t="s">
        <v>344</v>
      </c>
      <c r="I14" s="114" t="s">
        <v>343</v>
      </c>
      <c r="J14" s="114" t="s">
        <v>343</v>
      </c>
    </row>
    <row r="15" spans="2:10" ht="15">
      <c r="B15" s="112" t="s">
        <v>345</v>
      </c>
      <c r="C15" s="113" t="s">
        <v>346</v>
      </c>
      <c r="D15" s="113" t="s">
        <v>347</v>
      </c>
      <c r="E15" s="113" t="s">
        <v>348</v>
      </c>
      <c r="F15" s="113" t="s">
        <v>349</v>
      </c>
      <c r="G15" s="1241"/>
      <c r="H15" s="114" t="s">
        <v>339</v>
      </c>
      <c r="I15" s="114" t="s">
        <v>189</v>
      </c>
      <c r="J15" s="114" t="s">
        <v>350</v>
      </c>
    </row>
    <row r="16" spans="2:10" ht="15">
      <c r="B16" s="116"/>
      <c r="C16" s="117"/>
      <c r="D16" s="117"/>
      <c r="E16" s="117"/>
      <c r="F16" s="117"/>
      <c r="G16" s="1242"/>
      <c r="H16" s="115"/>
      <c r="I16" s="115"/>
      <c r="J16" s="115"/>
    </row>
    <row r="17" spans="2:12" ht="15">
      <c r="B17" s="70"/>
      <c r="C17" s="118"/>
      <c r="D17" s="118"/>
      <c r="E17" s="118"/>
      <c r="F17" s="118"/>
      <c r="G17" s="118"/>
      <c r="H17" s="119"/>
      <c r="I17" s="119"/>
      <c r="J17" s="119"/>
    </row>
    <row r="18" spans="2:12" ht="15">
      <c r="B18" s="72" t="s">
        <v>351</v>
      </c>
      <c r="C18" s="120"/>
      <c r="D18" s="120">
        <f>EGRESOS!I40</f>
        <v>0</v>
      </c>
      <c r="E18" s="120"/>
      <c r="F18" s="120"/>
      <c r="G18" s="120">
        <f t="shared" ref="G18:G41" si="0">SUM(C18:F18)</f>
        <v>0</v>
      </c>
      <c r="H18" s="121"/>
      <c r="I18" s="121"/>
      <c r="J18" s="121"/>
    </row>
    <row r="19" spans="2:12" ht="15">
      <c r="B19" s="72" t="s">
        <v>352</v>
      </c>
      <c r="C19" s="120"/>
      <c r="D19" s="120">
        <f>EGRESOS!$G$40+EGRESOS!$H$40+EGRESOS!$J$40</f>
        <v>0</v>
      </c>
      <c r="E19" s="120"/>
      <c r="F19" s="120"/>
      <c r="G19" s="120">
        <f t="shared" si="0"/>
        <v>0</v>
      </c>
      <c r="H19" s="121"/>
      <c r="I19" s="121"/>
      <c r="J19" s="121"/>
    </row>
    <row r="20" spans="2:12" ht="15">
      <c r="B20" s="72" t="s">
        <v>353</v>
      </c>
      <c r="C20" s="120">
        <f>EGRESOS!D11+EGRESOS!D12+EGRESOS!D14+EGRESOS!D16+EGRESOS!D21+EGRESOS!D13+EGRESOS!D15+EGRESOS!D17+EGRESOS!D20</f>
        <v>0</v>
      </c>
      <c r="D20" s="120"/>
      <c r="E20" s="120"/>
      <c r="F20" s="120"/>
      <c r="G20" s="120">
        <f t="shared" si="0"/>
        <v>0</v>
      </c>
      <c r="H20" s="121"/>
      <c r="I20" s="121"/>
      <c r="J20" s="121"/>
    </row>
    <row r="21" spans="2:12" ht="15">
      <c r="B21" s="72" t="s">
        <v>354</v>
      </c>
      <c r="C21" s="120"/>
      <c r="D21" s="120">
        <f>EGRESOS!D18</f>
        <v>0</v>
      </c>
      <c r="E21" s="120"/>
      <c r="F21" s="120"/>
      <c r="G21" s="120">
        <f t="shared" si="0"/>
        <v>0</v>
      </c>
      <c r="H21" s="121"/>
      <c r="I21" s="122">
        <v>312822311</v>
      </c>
      <c r="J21" s="121"/>
    </row>
    <row r="22" spans="2:12" ht="15">
      <c r="B22" s="72" t="s">
        <v>355</v>
      </c>
      <c r="C22" s="120">
        <f>EGRESOS!D23+EGRESOS!D24</f>
        <v>0</v>
      </c>
      <c r="D22" s="120"/>
      <c r="E22" s="120"/>
      <c r="F22" s="120"/>
      <c r="G22" s="120">
        <f t="shared" si="0"/>
        <v>0</v>
      </c>
      <c r="H22" s="121"/>
      <c r="I22" s="121"/>
      <c r="J22" s="121"/>
    </row>
    <row r="23" spans="2:12" ht="15">
      <c r="B23" s="72" t="s">
        <v>356</v>
      </c>
      <c r="C23" s="120">
        <f>EGRESOS!D34</f>
        <v>0</v>
      </c>
      <c r="D23" s="120"/>
      <c r="E23" s="120"/>
      <c r="F23" s="120"/>
      <c r="G23" s="120">
        <f t="shared" si="0"/>
        <v>0</v>
      </c>
      <c r="H23" s="121"/>
      <c r="I23" s="121"/>
      <c r="J23" s="121"/>
    </row>
    <row r="24" spans="2:12" ht="15">
      <c r="B24" s="72" t="s">
        <v>357</v>
      </c>
      <c r="C24" s="120">
        <f>EGRESOS!D35+EGRESOS!D37</f>
        <v>0</v>
      </c>
      <c r="D24" s="120"/>
      <c r="E24" s="120"/>
      <c r="F24" s="120"/>
      <c r="G24" s="120">
        <f t="shared" si="0"/>
        <v>0</v>
      </c>
      <c r="H24" s="121"/>
      <c r="I24" s="122">
        <v>95808453</v>
      </c>
      <c r="J24" s="121"/>
    </row>
    <row r="25" spans="2:12" ht="15">
      <c r="B25" s="72" t="s">
        <v>358</v>
      </c>
      <c r="C25" s="120">
        <f>EGRESOS!E45</f>
        <v>0</v>
      </c>
      <c r="D25" s="120"/>
      <c r="E25" s="120"/>
      <c r="F25" s="120"/>
      <c r="G25" s="120">
        <f t="shared" si="0"/>
        <v>0</v>
      </c>
      <c r="H25" s="121"/>
      <c r="I25" s="121"/>
      <c r="J25" s="121"/>
    </row>
    <row r="26" spans="2:12" ht="15">
      <c r="B26" s="72" t="s">
        <v>359</v>
      </c>
      <c r="C26" s="120">
        <f>EGRESOS!D36</f>
        <v>0</v>
      </c>
      <c r="D26" s="120"/>
      <c r="E26" s="120"/>
      <c r="F26" s="120"/>
      <c r="G26" s="120">
        <f t="shared" si="0"/>
        <v>0</v>
      </c>
      <c r="H26" s="121"/>
      <c r="I26" s="121"/>
      <c r="J26" s="121"/>
    </row>
    <row r="27" spans="2:12" ht="15">
      <c r="B27" s="72" t="s">
        <v>360</v>
      </c>
      <c r="C27" s="120"/>
      <c r="D27" s="120">
        <f>EGRESOS!D31+EGRESOS!D33</f>
        <v>0</v>
      </c>
      <c r="E27" s="120"/>
      <c r="F27" s="120"/>
      <c r="G27" s="120">
        <f t="shared" si="0"/>
        <v>0</v>
      </c>
      <c r="H27" s="121"/>
      <c r="I27" s="122"/>
      <c r="J27" s="121"/>
    </row>
    <row r="28" spans="2:12" ht="15">
      <c r="B28" s="72" t="s">
        <v>361</v>
      </c>
      <c r="C28" s="120">
        <f>EGRESOS!D32</f>
        <v>0</v>
      </c>
      <c r="D28" s="120"/>
      <c r="E28" s="120"/>
      <c r="F28" s="120"/>
      <c r="G28" s="120">
        <f t="shared" si="0"/>
        <v>0</v>
      </c>
      <c r="H28" s="121"/>
      <c r="I28" s="122">
        <v>580275851</v>
      </c>
      <c r="J28" s="121"/>
    </row>
    <row r="29" spans="2:12" ht="15">
      <c r="B29" s="72" t="s">
        <v>362</v>
      </c>
      <c r="C29" s="120">
        <f>EGRESOS!D39</f>
        <v>0</v>
      </c>
      <c r="D29" s="120"/>
      <c r="E29" s="120"/>
      <c r="F29" s="120"/>
      <c r="G29" s="120">
        <f t="shared" si="0"/>
        <v>0</v>
      </c>
      <c r="H29" s="121"/>
      <c r="I29" s="121"/>
      <c r="J29" s="121"/>
    </row>
    <row r="30" spans="2:12" ht="15">
      <c r="B30" s="72" t="s">
        <v>363</v>
      </c>
      <c r="C30" s="120"/>
      <c r="D30" s="120">
        <f>EGRESOS!D41</f>
        <v>0</v>
      </c>
      <c r="E30" s="120"/>
      <c r="F30" s="120"/>
      <c r="G30" s="120">
        <f t="shared" si="0"/>
        <v>0</v>
      </c>
      <c r="H30" s="121"/>
      <c r="I30" s="122">
        <v>68935757</v>
      </c>
      <c r="J30" s="121"/>
      <c r="L30" s="123"/>
    </row>
    <row r="31" spans="2:12" ht="15">
      <c r="B31" s="72" t="s">
        <v>364</v>
      </c>
      <c r="C31" s="120"/>
      <c r="D31" s="120"/>
      <c r="E31" s="120">
        <f>EGRESOS!D27</f>
        <v>0</v>
      </c>
      <c r="F31" s="120"/>
      <c r="G31" s="120">
        <f t="shared" si="0"/>
        <v>0</v>
      </c>
      <c r="H31" s="121"/>
      <c r="I31" s="122"/>
      <c r="J31" s="121"/>
    </row>
    <row r="32" spans="2:12" ht="15">
      <c r="B32" s="72" t="s">
        <v>365</v>
      </c>
      <c r="C32" s="120"/>
      <c r="D32" s="120"/>
      <c r="E32" s="120">
        <f>EGRESOS!D28</f>
        <v>0</v>
      </c>
      <c r="F32" s="120"/>
      <c r="G32" s="120">
        <f t="shared" si="0"/>
        <v>0</v>
      </c>
      <c r="H32" s="121"/>
      <c r="I32" s="122">
        <v>65583529</v>
      </c>
      <c r="J32" s="121"/>
    </row>
    <row r="33" spans="2:10" ht="15">
      <c r="B33" s="72" t="s">
        <v>366</v>
      </c>
      <c r="C33" s="120"/>
      <c r="D33" s="120">
        <f>EGRESOS!D38</f>
        <v>0</v>
      </c>
      <c r="E33" s="120"/>
      <c r="F33" s="120"/>
      <c r="G33" s="120">
        <f t="shared" si="0"/>
        <v>0</v>
      </c>
      <c r="H33" s="121"/>
      <c r="I33" s="122"/>
      <c r="J33" s="121"/>
    </row>
    <row r="34" spans="2:10" ht="15" hidden="1">
      <c r="B34" s="72" t="s">
        <v>367</v>
      </c>
      <c r="C34" s="120"/>
      <c r="D34" s="120"/>
      <c r="E34" s="120"/>
      <c r="F34" s="120"/>
      <c r="G34" s="120">
        <f t="shared" si="0"/>
        <v>0</v>
      </c>
      <c r="H34" s="121"/>
      <c r="I34" s="122">
        <v>75771046</v>
      </c>
      <c r="J34" s="121"/>
    </row>
    <row r="35" spans="2:10" ht="15" hidden="1">
      <c r="B35" s="72" t="s">
        <v>368</v>
      </c>
      <c r="C35" s="120"/>
      <c r="D35" s="120"/>
      <c r="E35" s="120"/>
      <c r="F35" s="120"/>
      <c r="G35" s="120">
        <f t="shared" si="0"/>
        <v>0</v>
      </c>
      <c r="H35" s="121"/>
      <c r="I35" s="121"/>
      <c r="J35" s="121"/>
    </row>
    <row r="36" spans="2:10" ht="15">
      <c r="B36" s="72" t="s">
        <v>369</v>
      </c>
      <c r="C36" s="120"/>
      <c r="D36" s="120"/>
      <c r="E36" s="120"/>
      <c r="F36" s="120">
        <f>EGRESOS!E42</f>
        <v>0</v>
      </c>
      <c r="G36" s="120">
        <f t="shared" si="0"/>
        <v>0</v>
      </c>
      <c r="H36" s="121"/>
      <c r="I36" s="121"/>
      <c r="J36" s="121"/>
    </row>
    <row r="37" spans="2:10" ht="15" hidden="1">
      <c r="B37" s="72" t="s">
        <v>370</v>
      </c>
      <c r="C37" s="120"/>
      <c r="D37" s="120"/>
      <c r="E37" s="120"/>
      <c r="F37" s="120"/>
      <c r="G37" s="120">
        <f t="shared" si="0"/>
        <v>0</v>
      </c>
      <c r="H37" s="121"/>
      <c r="I37" s="122">
        <v>67030408</v>
      </c>
      <c r="J37" s="121"/>
    </row>
    <row r="38" spans="2:10" ht="15">
      <c r="B38" s="72" t="s">
        <v>371</v>
      </c>
      <c r="C38" s="120"/>
      <c r="D38" s="120"/>
      <c r="E38" s="120"/>
      <c r="F38" s="120">
        <f>EGRESOS!G49+EGRESOS!G50</f>
        <v>0</v>
      </c>
      <c r="G38" s="120">
        <f t="shared" si="0"/>
        <v>0</v>
      </c>
      <c r="H38" s="121"/>
      <c r="I38" s="122"/>
      <c r="J38" s="121"/>
    </row>
    <row r="39" spans="2:10" ht="15">
      <c r="B39" s="72" t="s">
        <v>372</v>
      </c>
      <c r="C39" s="120"/>
      <c r="D39" s="120"/>
      <c r="E39" s="120"/>
      <c r="F39" s="120">
        <f>EGRESOS!G48</f>
        <v>0</v>
      </c>
      <c r="G39" s="120">
        <f t="shared" si="0"/>
        <v>0</v>
      </c>
      <c r="H39" s="121"/>
      <c r="I39" s="122">
        <v>233395272</v>
      </c>
      <c r="J39" s="121"/>
    </row>
    <row r="40" spans="2:10" ht="15">
      <c r="B40" s="72" t="s">
        <v>373</v>
      </c>
      <c r="C40" s="120">
        <f>EGRESOS!E47</f>
        <v>0</v>
      </c>
      <c r="D40" s="120"/>
      <c r="E40" s="120"/>
      <c r="F40" s="120"/>
      <c r="G40" s="120">
        <f t="shared" si="0"/>
        <v>0</v>
      </c>
      <c r="H40" s="121"/>
      <c r="I40" s="121"/>
      <c r="J40" s="121"/>
    </row>
    <row r="41" spans="2:10" ht="15">
      <c r="B41" s="72" t="s">
        <v>374</v>
      </c>
      <c r="C41" s="120"/>
      <c r="D41" s="120">
        <f>EGRESOS!E43</f>
        <v>0</v>
      </c>
      <c r="E41" s="120"/>
      <c r="F41" s="120"/>
      <c r="G41" s="120">
        <f t="shared" si="0"/>
        <v>0</v>
      </c>
      <c r="H41" s="121"/>
      <c r="I41" s="121"/>
      <c r="J41" s="121"/>
    </row>
    <row r="42" spans="2:10" ht="15">
      <c r="B42" s="96"/>
      <c r="C42" s="124"/>
      <c r="D42" s="124"/>
      <c r="E42" s="124"/>
      <c r="F42" s="124"/>
      <c r="G42" s="124"/>
      <c r="H42" s="125"/>
      <c r="I42" s="125"/>
      <c r="J42" s="125"/>
    </row>
    <row r="43" spans="2:10" ht="20.100000000000001" customHeight="1" thickBot="1">
      <c r="B43" s="126" t="s">
        <v>375</v>
      </c>
      <c r="C43" s="127">
        <f>SUM(C17:C42)</f>
        <v>0</v>
      </c>
      <c r="D43" s="127">
        <f>SUM(D17:D42)</f>
        <v>0</v>
      </c>
      <c r="E43" s="127">
        <f>SUM(E17:E42)</f>
        <v>0</v>
      </c>
      <c r="F43" s="127">
        <f>SUM(F17:F42)</f>
        <v>0</v>
      </c>
      <c r="G43" s="127">
        <f>SUM(G17:G42)</f>
        <v>0</v>
      </c>
      <c r="H43" s="128">
        <v>0</v>
      </c>
      <c r="I43" s="128">
        <f>SUM(I21:I42)</f>
        <v>1499622627</v>
      </c>
      <c r="J43" s="128">
        <v>10457947663</v>
      </c>
    </row>
    <row r="44" spans="2:10" ht="20.100000000000001" customHeight="1" thickTop="1">
      <c r="B44" s="126" t="s">
        <v>376</v>
      </c>
      <c r="C44" s="127">
        <v>6077745284</v>
      </c>
      <c r="D44" s="127">
        <v>1408742872</v>
      </c>
      <c r="E44" s="127">
        <v>105552629</v>
      </c>
      <c r="F44" s="127">
        <v>1971450431</v>
      </c>
      <c r="G44" s="127">
        <f>SUM(C44:F44)</f>
        <v>9563491216</v>
      </c>
    </row>
    <row r="45" spans="2:10" ht="15">
      <c r="B45" s="95"/>
      <c r="C45" s="129"/>
      <c r="D45" s="129"/>
      <c r="E45" s="129"/>
      <c r="F45" s="129"/>
      <c r="G45" s="129"/>
    </row>
    <row r="46" spans="2:10" ht="15">
      <c r="B46" s="95"/>
      <c r="C46" s="129"/>
      <c r="D46" s="129"/>
      <c r="E46" s="129"/>
      <c r="F46" s="129"/>
      <c r="G46" s="129"/>
    </row>
    <row r="47" spans="2:10" ht="15">
      <c r="B47" s="95"/>
      <c r="C47" s="129"/>
      <c r="D47" s="129"/>
      <c r="E47" s="129"/>
      <c r="F47" s="129"/>
      <c r="G47" s="129"/>
    </row>
    <row r="48" spans="2:10" ht="15">
      <c r="B48" s="95"/>
      <c r="C48" s="129"/>
      <c r="D48" s="129"/>
      <c r="E48" s="129"/>
      <c r="F48" s="129"/>
      <c r="G48" s="129"/>
    </row>
    <row r="49" spans="2:7" ht="15">
      <c r="B49" s="68" t="s">
        <v>232</v>
      </c>
      <c r="C49" s="1243" t="s">
        <v>233</v>
      </c>
      <c r="D49" s="1243"/>
      <c r="E49" s="1243"/>
      <c r="F49" s="1243" t="s">
        <v>234</v>
      </c>
      <c r="G49" s="1243"/>
    </row>
    <row r="50" spans="2:7" ht="15">
      <c r="B50" s="68" t="s">
        <v>235</v>
      </c>
      <c r="C50" s="1243" t="s">
        <v>236</v>
      </c>
      <c r="D50" s="1243"/>
      <c r="E50" s="1243"/>
      <c r="F50" s="1243" t="s">
        <v>237</v>
      </c>
      <c r="G50" s="1243"/>
    </row>
    <row r="51" spans="2:7" ht="15">
      <c r="B51" s="68" t="s">
        <v>238</v>
      </c>
      <c r="C51" s="1243"/>
      <c r="D51" s="1243"/>
      <c r="E51" s="1243"/>
      <c r="F51" s="129"/>
      <c r="G51" s="129"/>
    </row>
    <row r="52" spans="2:7" ht="15">
      <c r="B52" s="95"/>
      <c r="C52" s="1243"/>
      <c r="D52" s="1243"/>
      <c r="E52" s="1243"/>
      <c r="F52" s="129"/>
      <c r="G52" s="129"/>
    </row>
  </sheetData>
  <mergeCells count="8">
    <mergeCell ref="I13:J13"/>
    <mergeCell ref="G12:G16"/>
    <mergeCell ref="C51:E51"/>
    <mergeCell ref="C52:E52"/>
    <mergeCell ref="C49:E49"/>
    <mergeCell ref="F49:G49"/>
    <mergeCell ref="C50:E50"/>
    <mergeCell ref="F50:G50"/>
  </mergeCells>
  <phoneticPr fontId="19" type="noConversion"/>
  <printOptions horizontalCentered="1"/>
  <pageMargins left="0.98425196850393704" right="0.98425196850393704" top="1.1811023622047245" bottom="0.98425196850393704" header="0.51181102362204722" footer="0.51181102362204722"/>
  <pageSetup scale="70"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rgb="FFFFFF00"/>
  </sheetPr>
  <dimension ref="A1:J63"/>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4" width="15.7109375" style="1" customWidth="1"/>
    <col min="5" max="5" width="18.140625" style="1" customWidth="1"/>
    <col min="6" max="6" width="17.85546875" style="1" customWidth="1"/>
    <col min="7" max="7" width="15.5703125" style="1" customWidth="1"/>
    <col min="8" max="9" width="12.7109375" customWidth="1"/>
  </cols>
  <sheetData>
    <row r="1" spans="1:7">
      <c r="A1" s="1093" t="s">
        <v>0</v>
      </c>
      <c r="B1" s="1093"/>
      <c r="C1" s="1093"/>
      <c r="D1" s="1093"/>
      <c r="E1" s="1093"/>
      <c r="F1" s="1093"/>
    </row>
    <row r="2" spans="1:7">
      <c r="A2" s="1093" t="s">
        <v>1</v>
      </c>
      <c r="B2" s="1093"/>
      <c r="C2" s="1093"/>
      <c r="D2" s="1093"/>
      <c r="E2" s="1093"/>
      <c r="F2" s="1093"/>
    </row>
    <row r="3" spans="1:7">
      <c r="A3" s="1093" t="s">
        <v>2</v>
      </c>
      <c r="B3" s="1093"/>
      <c r="C3" s="1093"/>
      <c r="D3" s="1093"/>
      <c r="E3" s="1093"/>
      <c r="F3" s="1093"/>
    </row>
    <row r="4" spans="1:7">
      <c r="A4" s="1093" t="s">
        <v>3</v>
      </c>
      <c r="B4" s="1093"/>
      <c r="C4" s="1093"/>
      <c r="D4" s="1093"/>
      <c r="E4" s="1093"/>
      <c r="F4" s="1093"/>
    </row>
    <row r="5" spans="1:7">
      <c r="A5" s="1093" t="str">
        <f>PASIVO!A5</f>
        <v>01/01/11 AL 31/12/11</v>
      </c>
      <c r="B5" s="1093"/>
      <c r="C5" s="1093"/>
      <c r="D5" s="1093"/>
      <c r="E5" s="1093"/>
      <c r="F5" s="1093"/>
    </row>
    <row r="6" spans="1:7">
      <c r="A6" s="4"/>
      <c r="B6" s="5"/>
      <c r="C6" s="5"/>
      <c r="D6" s="5"/>
      <c r="E6" s="5"/>
    </row>
    <row r="7" spans="1:7">
      <c r="A7" s="6" t="s">
        <v>140</v>
      </c>
      <c r="B7" s="7"/>
      <c r="C7" s="7"/>
      <c r="D7" s="7"/>
      <c r="E7" s="7"/>
      <c r="F7" s="8">
        <f>SUM(E8:E48)</f>
        <v>0</v>
      </c>
      <c r="G7" s="1">
        <f>F7-0</f>
        <v>0</v>
      </c>
    </row>
    <row r="8" spans="1:7">
      <c r="A8" s="4"/>
      <c r="B8" s="5"/>
      <c r="C8" s="5"/>
      <c r="D8" s="5"/>
      <c r="E8" s="5"/>
      <c r="F8" s="5"/>
    </row>
    <row r="9" spans="1:7">
      <c r="A9" s="4" t="s">
        <v>141</v>
      </c>
      <c r="B9" s="5"/>
      <c r="C9" s="5"/>
      <c r="D9" s="5"/>
      <c r="E9" s="5"/>
      <c r="F9" s="5"/>
    </row>
    <row r="10" spans="1:7">
      <c r="A10" s="4"/>
      <c r="B10" s="5" t="s">
        <v>142</v>
      </c>
      <c r="C10" s="5"/>
      <c r="D10" s="5"/>
      <c r="E10" s="5">
        <f>SUM(D11:D24)</f>
        <v>0</v>
      </c>
    </row>
    <row r="11" spans="1:7">
      <c r="C11" s="1" t="s">
        <v>143</v>
      </c>
      <c r="D11" s="14">
        <v>0</v>
      </c>
    </row>
    <row r="12" spans="1:7">
      <c r="C12" s="1" t="s">
        <v>144</v>
      </c>
      <c r="D12" s="14">
        <v>0</v>
      </c>
    </row>
    <row r="13" spans="1:7">
      <c r="C13" s="1" t="s">
        <v>145</v>
      </c>
      <c r="D13" s="1">
        <v>0</v>
      </c>
    </row>
    <row r="14" spans="1:7">
      <c r="C14" s="1" t="s">
        <v>146</v>
      </c>
      <c r="D14" s="14">
        <v>0</v>
      </c>
    </row>
    <row r="15" spans="1:7">
      <c r="C15" s="1" t="s">
        <v>147</v>
      </c>
      <c r="D15" s="1">
        <v>0</v>
      </c>
    </row>
    <row r="16" spans="1:7">
      <c r="C16" s="1" t="s">
        <v>148</v>
      </c>
      <c r="D16" s="14">
        <v>0</v>
      </c>
    </row>
    <row r="17" spans="2:7">
      <c r="C17" s="1" t="s">
        <v>149</v>
      </c>
      <c r="D17" s="1">
        <v>0</v>
      </c>
    </row>
    <row r="18" spans="2:7">
      <c r="C18" s="1" t="s">
        <v>150</v>
      </c>
      <c r="D18" s="1">
        <v>0</v>
      </c>
    </row>
    <row r="19" spans="2:7">
      <c r="C19" s="1" t="s">
        <v>151</v>
      </c>
      <c r="D19" s="14">
        <v>0</v>
      </c>
    </row>
    <row r="20" spans="2:7">
      <c r="C20" s="1" t="s">
        <v>152</v>
      </c>
      <c r="D20" s="1">
        <v>0</v>
      </c>
    </row>
    <row r="21" spans="2:7">
      <c r="C21" s="1" t="s">
        <v>153</v>
      </c>
      <c r="D21" s="14">
        <v>0</v>
      </c>
    </row>
    <row r="22" spans="2:7">
      <c r="C22" s="1" t="s">
        <v>154</v>
      </c>
      <c r="D22" s="1">
        <v>0</v>
      </c>
    </row>
    <row r="23" spans="2:7">
      <c r="C23" s="1" t="s">
        <v>155</v>
      </c>
      <c r="D23" s="1">
        <v>0</v>
      </c>
    </row>
    <row r="24" spans="2:7">
      <c r="C24" s="1" t="s">
        <v>156</v>
      </c>
      <c r="D24" s="1">
        <v>0</v>
      </c>
    </row>
    <row r="26" spans="2:7">
      <c r="B26" s="5" t="s">
        <v>157</v>
      </c>
      <c r="C26" s="5"/>
      <c r="D26" s="5"/>
      <c r="E26" s="5">
        <f>SUM(D27:D28)</f>
        <v>0</v>
      </c>
      <c r="F26" s="5"/>
      <c r="G26" s="1">
        <v>0</v>
      </c>
    </row>
    <row r="27" spans="2:7">
      <c r="C27" s="1" t="s">
        <v>158</v>
      </c>
      <c r="D27" s="1">
        <v>0</v>
      </c>
      <c r="G27" s="1">
        <v>0</v>
      </c>
    </row>
    <row r="28" spans="2:7">
      <c r="C28" s="1" t="s">
        <v>159</v>
      </c>
      <c r="D28" s="1">
        <v>0</v>
      </c>
      <c r="G28" s="1">
        <v>0</v>
      </c>
    </row>
    <row r="29" spans="2:7">
      <c r="G29" s="1">
        <v>0</v>
      </c>
    </row>
    <row r="30" spans="2:7">
      <c r="B30" s="5" t="s">
        <v>160</v>
      </c>
      <c r="C30" s="5"/>
      <c r="D30" s="5"/>
      <c r="E30" s="5">
        <f>SUM(D31:D41)</f>
        <v>0</v>
      </c>
      <c r="F30" s="5"/>
      <c r="G30" s="1">
        <v>0</v>
      </c>
    </row>
    <row r="31" spans="2:7">
      <c r="C31" s="1" t="s">
        <v>161</v>
      </c>
      <c r="D31" s="1">
        <v>0</v>
      </c>
      <c r="G31" s="1">
        <v>0</v>
      </c>
    </row>
    <row r="32" spans="2:7">
      <c r="C32" s="1" t="s">
        <v>162</v>
      </c>
      <c r="D32" s="1">
        <v>0</v>
      </c>
    </row>
    <row r="33" spans="2:10">
      <c r="C33" s="1" t="s">
        <v>163</v>
      </c>
      <c r="D33" s="1">
        <v>0</v>
      </c>
    </row>
    <row r="34" spans="2:10">
      <c r="C34" s="1" t="s">
        <v>164</v>
      </c>
      <c r="D34" s="1">
        <v>0</v>
      </c>
      <c r="H34" t="s">
        <v>165</v>
      </c>
    </row>
    <row r="35" spans="2:10">
      <c r="C35" s="1" t="s">
        <v>166</v>
      </c>
      <c r="D35" s="1">
        <v>0</v>
      </c>
      <c r="H35" s="2">
        <v>0</v>
      </c>
      <c r="I35" t="s">
        <v>167</v>
      </c>
    </row>
    <row r="36" spans="2:10">
      <c r="C36" s="1" t="s">
        <v>168</v>
      </c>
      <c r="D36" s="1">
        <v>0</v>
      </c>
      <c r="H36" s="2">
        <v>0</v>
      </c>
    </row>
    <row r="37" spans="2:10">
      <c r="C37" s="1" t="s">
        <v>169</v>
      </c>
      <c r="D37" s="1">
        <v>0</v>
      </c>
      <c r="H37" s="2">
        <v>0</v>
      </c>
    </row>
    <row r="38" spans="2:10">
      <c r="C38" s="1" t="s">
        <v>170</v>
      </c>
      <c r="D38" s="1">
        <v>0</v>
      </c>
    </row>
    <row r="39" spans="2:10">
      <c r="C39" s="1" t="s">
        <v>171</v>
      </c>
      <c r="D39" s="1">
        <v>0</v>
      </c>
      <c r="G39" s="18" t="s">
        <v>172</v>
      </c>
      <c r="H39" s="21" t="s">
        <v>173</v>
      </c>
      <c r="I39" s="21" t="s">
        <v>174</v>
      </c>
      <c r="J39" s="21" t="s">
        <v>175</v>
      </c>
    </row>
    <row r="40" spans="2:10">
      <c r="C40" s="1" t="s">
        <v>176</v>
      </c>
      <c r="D40" s="1">
        <v>0</v>
      </c>
      <c r="G40" s="1">
        <v>0</v>
      </c>
      <c r="H40" s="1">
        <v>0</v>
      </c>
      <c r="I40" s="14">
        <v>0</v>
      </c>
      <c r="J40" s="14">
        <v>0</v>
      </c>
    </row>
    <row r="41" spans="2:10">
      <c r="C41" s="1" t="s">
        <v>177</v>
      </c>
      <c r="D41" s="1">
        <v>0</v>
      </c>
    </row>
    <row r="42" spans="2:10">
      <c r="B42" s="5" t="s">
        <v>178</v>
      </c>
      <c r="E42" s="5">
        <f>SUM(G43:G45)</f>
        <v>0</v>
      </c>
    </row>
    <row r="43" spans="2:10">
      <c r="B43" s="5" t="s">
        <v>179</v>
      </c>
      <c r="E43" s="5">
        <v>0</v>
      </c>
      <c r="G43" s="1">
        <v>0</v>
      </c>
    </row>
    <row r="44" spans="2:10">
      <c r="G44" s="1">
        <v>0</v>
      </c>
    </row>
    <row r="45" spans="2:10">
      <c r="B45" s="5" t="s">
        <v>180</v>
      </c>
      <c r="E45" s="5">
        <v>0</v>
      </c>
      <c r="G45" s="1">
        <v>0</v>
      </c>
    </row>
    <row r="46" spans="2:10">
      <c r="B46" s="5" t="s">
        <v>181</v>
      </c>
      <c r="E46" s="5">
        <f>SUM(G48:G50)</f>
        <v>0</v>
      </c>
    </row>
    <row r="47" spans="2:10">
      <c r="B47" s="5" t="s">
        <v>182</v>
      </c>
      <c r="E47" s="5">
        <f>SUM(G52:G61)</f>
        <v>0</v>
      </c>
    </row>
    <row r="48" spans="2:10">
      <c r="B48" s="4" t="s">
        <v>139</v>
      </c>
      <c r="C48" s="5"/>
      <c r="E48" s="5">
        <v>0</v>
      </c>
      <c r="G48" s="1">
        <v>0</v>
      </c>
      <c r="H48" t="s">
        <v>183</v>
      </c>
    </row>
    <row r="49" spans="2:9">
      <c r="B49" s="4"/>
      <c r="C49" s="5"/>
      <c r="E49" s="5"/>
      <c r="G49" s="1">
        <v>0</v>
      </c>
      <c r="H49" t="s">
        <v>184</v>
      </c>
    </row>
    <row r="50" spans="2:9">
      <c r="B50" s="4"/>
      <c r="C50" s="5"/>
      <c r="E50" s="5"/>
      <c r="G50" s="1">
        <v>0</v>
      </c>
      <c r="H50" t="s">
        <v>185</v>
      </c>
    </row>
    <row r="51" spans="2:9">
      <c r="B51" s="4"/>
      <c r="C51" s="5"/>
      <c r="E51" s="5"/>
    </row>
    <row r="52" spans="2:9">
      <c r="B52" s="5"/>
      <c r="C52" s="5"/>
      <c r="E52" s="5"/>
      <c r="G52" s="1">
        <v>0</v>
      </c>
      <c r="H52" t="s">
        <v>186</v>
      </c>
    </row>
    <row r="53" spans="2:9">
      <c r="G53" s="1">
        <v>0</v>
      </c>
      <c r="H53" t="s">
        <v>187</v>
      </c>
    </row>
    <row r="54" spans="2:9">
      <c r="G54" s="1">
        <v>0</v>
      </c>
      <c r="H54" t="s">
        <v>188</v>
      </c>
    </row>
    <row r="55" spans="2:9">
      <c r="G55" s="1">
        <v>0</v>
      </c>
      <c r="H55" t="s">
        <v>189</v>
      </c>
    </row>
    <row r="56" spans="2:9">
      <c r="G56" s="1">
        <v>0</v>
      </c>
      <c r="H56" t="s">
        <v>190</v>
      </c>
      <c r="I56" s="1">
        <f>SUM(G56:G61)</f>
        <v>0</v>
      </c>
    </row>
    <row r="57" spans="2:9">
      <c r="G57" s="1">
        <v>0</v>
      </c>
      <c r="H57" t="s">
        <v>191</v>
      </c>
    </row>
    <row r="58" spans="2:9">
      <c r="G58" s="1">
        <v>0</v>
      </c>
      <c r="H58" t="s">
        <v>192</v>
      </c>
    </row>
    <row r="59" spans="2:9">
      <c r="G59" s="1">
        <v>0</v>
      </c>
      <c r="H59" t="s">
        <v>193</v>
      </c>
    </row>
    <row r="60" spans="2:9">
      <c r="G60" s="1">
        <v>0</v>
      </c>
      <c r="H60" t="s">
        <v>194</v>
      </c>
    </row>
    <row r="61" spans="2:9">
      <c r="G61" s="1">
        <v>0</v>
      </c>
      <c r="H61" t="s">
        <v>195</v>
      </c>
    </row>
    <row r="63" spans="2:9">
      <c r="G63" s="1">
        <f>SUM(G52:G62)</f>
        <v>0</v>
      </c>
    </row>
  </sheetData>
  <mergeCells count="5">
    <mergeCell ref="A5:F5"/>
    <mergeCell ref="A1:F1"/>
    <mergeCell ref="A2:F2"/>
    <mergeCell ref="A3:F3"/>
    <mergeCell ref="A4:F4"/>
  </mergeCells>
  <phoneticPr fontId="19" type="noConversion"/>
  <pageMargins left="0.60972222222222228" right="0.74791666666666667" top="0.8" bottom="0.98402777777777783" header="0.51180555555555562" footer="0.51180555555555562"/>
  <pageSetup paperSize="9" firstPageNumber="0" orientation="portrait" horizontalDpi="300" verticalDpi="300"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N32"/>
  <sheetViews>
    <sheetView topLeftCell="A22" zoomScale="85" zoomScaleNormal="85" workbookViewId="0">
      <selection activeCell="B31" sqref="B31"/>
    </sheetView>
  </sheetViews>
  <sheetFormatPr baseColWidth="10" defaultColWidth="11.42578125" defaultRowHeight="15.75" customHeight="1"/>
  <cols>
    <col min="1" max="1" width="3.5703125" style="386" customWidth="1"/>
    <col min="2" max="2" width="54.42578125" style="386" customWidth="1"/>
    <col min="3" max="3" width="18.7109375" style="387" customWidth="1"/>
    <col min="4" max="5" width="15" style="387" customWidth="1"/>
    <col min="6" max="6" width="18.7109375" style="387" customWidth="1"/>
    <col min="7" max="7" width="21.28515625" style="387" bestFit="1" customWidth="1"/>
    <col min="8" max="11" width="18.7109375" style="387" customWidth="1"/>
    <col min="12" max="12" width="11.42578125" style="386"/>
    <col min="13" max="13" width="53.42578125" style="386" bestFit="1" customWidth="1"/>
    <col min="14" max="14" width="18.5703125" style="386" hidden="1" customWidth="1"/>
    <col min="15" max="15" width="18.5703125" style="386" bestFit="1" customWidth="1"/>
    <col min="16" max="16" width="18" style="386" bestFit="1" customWidth="1"/>
    <col min="17" max="17" width="18.5703125" style="386" bestFit="1" customWidth="1"/>
    <col min="18" max="16384" width="11.42578125" style="386"/>
  </cols>
  <sheetData>
    <row r="1" spans="2:11" ht="15.75" customHeight="1">
      <c r="C1" s="384"/>
      <c r="D1" s="394"/>
      <c r="E1" s="384"/>
      <c r="F1" s="384"/>
      <c r="G1" s="384"/>
      <c r="H1" s="384"/>
      <c r="I1" s="384"/>
      <c r="J1" s="384"/>
      <c r="K1" s="388" t="s">
        <v>336</v>
      </c>
    </row>
    <row r="2" spans="2:11" ht="20.100000000000001" customHeight="1">
      <c r="B2" s="1252" t="s">
        <v>664</v>
      </c>
      <c r="C2" s="1252"/>
      <c r="D2" s="1252"/>
      <c r="E2" s="1252"/>
      <c r="F2" s="1252"/>
      <c r="G2" s="1252"/>
      <c r="H2" s="1252"/>
      <c r="I2" s="1252"/>
      <c r="J2" s="1252"/>
      <c r="K2" s="1252"/>
    </row>
    <row r="3" spans="2:11" ht="20.100000000000001" customHeight="1">
      <c r="B3" s="1253" t="s">
        <v>631</v>
      </c>
      <c r="C3" s="1253"/>
      <c r="D3" s="1253"/>
      <c r="E3" s="1253"/>
      <c r="F3" s="1253"/>
      <c r="G3" s="1253"/>
      <c r="H3" s="1253"/>
      <c r="I3" s="1253"/>
      <c r="J3" s="1253"/>
      <c r="K3" s="1253"/>
    </row>
    <row r="4" spans="2:11" ht="20.100000000000001" customHeight="1">
      <c r="B4" s="1253" t="s">
        <v>245</v>
      </c>
      <c r="C4" s="1253"/>
      <c r="D4" s="1253"/>
      <c r="E4" s="1253"/>
      <c r="F4" s="1253"/>
      <c r="G4" s="1253"/>
      <c r="H4" s="1253"/>
      <c r="I4" s="1253"/>
      <c r="J4" s="1253"/>
      <c r="K4" s="1253"/>
    </row>
    <row r="5" spans="2:11" ht="15.75" customHeight="1">
      <c r="B5" s="403"/>
      <c r="C5" s="403"/>
      <c r="D5" s="403"/>
      <c r="E5" s="403"/>
      <c r="F5" s="403"/>
      <c r="G5" s="403"/>
      <c r="H5" s="403"/>
      <c r="I5" s="404"/>
      <c r="J5" s="403"/>
      <c r="K5" s="403"/>
    </row>
    <row r="6" spans="2:11" ht="27.75" customHeight="1">
      <c r="B6" s="1252" t="s">
        <v>337</v>
      </c>
      <c r="C6" s="1252"/>
      <c r="D6" s="1252"/>
      <c r="E6" s="1252"/>
      <c r="F6" s="1252"/>
      <c r="G6" s="1252"/>
      <c r="H6" s="1252"/>
      <c r="I6" s="1252"/>
      <c r="J6" s="1252"/>
      <c r="K6" s="1252"/>
    </row>
    <row r="7" spans="2:11" ht="15">
      <c r="B7" s="385"/>
      <c r="C7" s="389"/>
      <c r="D7" s="389"/>
      <c r="E7" s="389"/>
      <c r="F7" s="389"/>
      <c r="G7" s="389"/>
      <c r="H7" s="389"/>
      <c r="I7" s="389"/>
      <c r="J7" s="389"/>
      <c r="K7" s="389"/>
    </row>
    <row r="8" spans="2:11" ht="15" customHeight="1">
      <c r="B8" s="1254" t="s">
        <v>345</v>
      </c>
      <c r="C8" s="1257" t="s">
        <v>645</v>
      </c>
      <c r="D8" s="1258" t="s">
        <v>646</v>
      </c>
      <c r="E8" s="1258" t="s">
        <v>647</v>
      </c>
      <c r="F8" s="1258" t="s">
        <v>648</v>
      </c>
      <c r="G8" s="1244" t="s">
        <v>649</v>
      </c>
      <c r="H8" s="1247" t="s">
        <v>602</v>
      </c>
      <c r="I8" s="1261" t="s">
        <v>374</v>
      </c>
      <c r="J8" s="1250" t="s">
        <v>341</v>
      </c>
      <c r="K8" s="1251"/>
    </row>
    <row r="9" spans="2:11" ht="15" customHeight="1">
      <c r="B9" s="1255"/>
      <c r="C9" s="1248"/>
      <c r="D9" s="1259"/>
      <c r="E9" s="1259"/>
      <c r="F9" s="1259"/>
      <c r="G9" s="1245"/>
      <c r="H9" s="1248"/>
      <c r="I9" s="1259"/>
      <c r="J9" s="395" t="s">
        <v>538</v>
      </c>
      <c r="K9" s="397" t="s">
        <v>538</v>
      </c>
    </row>
    <row r="10" spans="2:11" ht="15" customHeight="1">
      <c r="B10" s="1255"/>
      <c r="C10" s="1248"/>
      <c r="D10" s="1259"/>
      <c r="E10" s="1259"/>
      <c r="F10" s="1259"/>
      <c r="G10" s="1245"/>
      <c r="H10" s="1248"/>
      <c r="I10" s="1259"/>
      <c r="J10" s="395" t="s">
        <v>189</v>
      </c>
      <c r="K10" s="397" t="s">
        <v>350</v>
      </c>
    </row>
    <row r="11" spans="2:11" ht="15" customHeight="1">
      <c r="B11" s="1256"/>
      <c r="C11" s="1249"/>
      <c r="D11" s="1260"/>
      <c r="E11" s="1260"/>
      <c r="F11" s="1260"/>
      <c r="G11" s="1246"/>
      <c r="H11" s="1249"/>
      <c r="I11" s="1260"/>
      <c r="J11" s="396">
        <v>41729</v>
      </c>
      <c r="K11" s="396">
        <v>41364</v>
      </c>
    </row>
    <row r="12" spans="2:11" ht="35.1" customHeight="1">
      <c r="B12" s="398" t="s">
        <v>650</v>
      </c>
      <c r="C12" s="399"/>
      <c r="D12" s="399"/>
      <c r="E12" s="399"/>
      <c r="F12" s="399" t="e">
        <f>+#REF!+56818182+18000000</f>
        <v>#REF!</v>
      </c>
      <c r="G12" s="399"/>
      <c r="H12" s="399"/>
      <c r="I12" s="405"/>
      <c r="J12" s="408" t="e">
        <f>SUM(C12:I12)</f>
        <v>#REF!</v>
      </c>
      <c r="K12" s="408" t="e">
        <f>+#REF!</f>
        <v>#REF!</v>
      </c>
    </row>
    <row r="13" spans="2:11" ht="35.1" customHeight="1">
      <c r="B13" s="400" t="s">
        <v>651</v>
      </c>
      <c r="C13" s="401"/>
      <c r="D13" s="401"/>
      <c r="E13" s="401"/>
      <c r="F13" s="401" t="e">
        <f>+#REF!-56818182-18000000+#REF!+#REF!</f>
        <v>#REF!</v>
      </c>
      <c r="G13" s="401"/>
      <c r="H13" s="401"/>
      <c r="I13" s="406"/>
      <c r="J13" s="408" t="e">
        <f t="shared" ref="J13:J29" si="0">SUM(C13:I13)</f>
        <v>#REF!</v>
      </c>
      <c r="K13" s="408" t="e">
        <f>+#REF!+#REF!+#REF!+#REF!+#REF!</f>
        <v>#REF!</v>
      </c>
    </row>
    <row r="14" spans="2:11" ht="35.1" customHeight="1">
      <c r="B14" s="400" t="s">
        <v>652</v>
      </c>
      <c r="C14" s="401"/>
      <c r="D14" s="401"/>
      <c r="E14" s="401"/>
      <c r="F14" s="401" t="e">
        <f>+#REF!</f>
        <v>#REF!</v>
      </c>
      <c r="G14" s="401"/>
      <c r="H14" s="401"/>
      <c r="I14" s="406"/>
      <c r="J14" s="408" t="e">
        <f t="shared" si="0"/>
        <v>#REF!</v>
      </c>
      <c r="K14" s="408" t="e">
        <f>+#REF!</f>
        <v>#REF!</v>
      </c>
    </row>
    <row r="15" spans="2:11" ht="35.1" customHeight="1">
      <c r="B15" s="400" t="s">
        <v>653</v>
      </c>
      <c r="C15" s="401"/>
      <c r="D15" s="401"/>
      <c r="E15" s="401"/>
      <c r="F15" s="401" t="e">
        <f>+#REF!</f>
        <v>#REF!</v>
      </c>
      <c r="G15" s="401"/>
      <c r="H15" s="401"/>
      <c r="I15" s="406"/>
      <c r="J15" s="408" t="e">
        <f t="shared" si="0"/>
        <v>#REF!</v>
      </c>
      <c r="K15" s="408" t="e">
        <f>+#REF!</f>
        <v>#REF!</v>
      </c>
    </row>
    <row r="16" spans="2:11" ht="35.1" customHeight="1">
      <c r="B16" s="400" t="s">
        <v>654</v>
      </c>
      <c r="C16" s="401"/>
      <c r="D16" s="401"/>
      <c r="E16" s="401"/>
      <c r="F16" s="401"/>
      <c r="G16" s="401" t="e">
        <f>+#REF!</f>
        <v>#REF!</v>
      </c>
      <c r="H16" s="401"/>
      <c r="I16" s="406"/>
      <c r="J16" s="408" t="e">
        <f t="shared" si="0"/>
        <v>#REF!</v>
      </c>
      <c r="K16" s="408" t="e">
        <f>+#REF!</f>
        <v>#REF!</v>
      </c>
    </row>
    <row r="17" spans="2:11" ht="35.1" customHeight="1">
      <c r="B17" s="400" t="s">
        <v>655</v>
      </c>
      <c r="C17" s="401"/>
      <c r="D17" s="401"/>
      <c r="E17" s="401"/>
      <c r="F17" s="401"/>
      <c r="G17" s="401" t="e">
        <f>+#REF!+#REF!</f>
        <v>#REF!</v>
      </c>
      <c r="H17" s="401"/>
      <c r="I17" s="406"/>
      <c r="J17" s="408" t="e">
        <f t="shared" si="0"/>
        <v>#REF!</v>
      </c>
      <c r="K17" s="408" t="e">
        <f>+#REF!+#REF!</f>
        <v>#REF!</v>
      </c>
    </row>
    <row r="18" spans="2:11" ht="35.1" customHeight="1">
      <c r="B18" s="400" t="s">
        <v>656</v>
      </c>
      <c r="C18" s="401"/>
      <c r="D18" s="401"/>
      <c r="E18" s="401"/>
      <c r="F18" s="401" t="e">
        <f>+#REF!</f>
        <v>#REF!</v>
      </c>
      <c r="G18" s="401"/>
      <c r="H18" s="401"/>
      <c r="I18" s="406"/>
      <c r="J18" s="408" t="e">
        <f t="shared" si="0"/>
        <v>#REF!</v>
      </c>
      <c r="K18" s="408" t="e">
        <f>+#REF!</f>
        <v>#REF!</v>
      </c>
    </row>
    <row r="19" spans="2:11" ht="35.1" customHeight="1">
      <c r="B19" s="400" t="s">
        <v>657</v>
      </c>
      <c r="C19" s="401"/>
      <c r="D19" s="401"/>
      <c r="E19" s="401"/>
      <c r="F19" s="401" t="e">
        <f>+#REF!+#REF!</f>
        <v>#REF!</v>
      </c>
      <c r="G19" s="401"/>
      <c r="H19" s="401"/>
      <c r="I19" s="406"/>
      <c r="J19" s="408" t="e">
        <f t="shared" si="0"/>
        <v>#REF!</v>
      </c>
      <c r="K19" s="408" t="e">
        <f>+#REF!+#REF!</f>
        <v>#REF!</v>
      </c>
    </row>
    <row r="20" spans="2:11" ht="35.1" customHeight="1">
      <c r="B20" s="400" t="s">
        <v>244</v>
      </c>
      <c r="C20" s="401"/>
      <c r="D20" s="401"/>
      <c r="E20" s="401"/>
      <c r="F20" s="401"/>
      <c r="G20" s="401"/>
      <c r="H20" s="401"/>
      <c r="I20" s="406" t="e">
        <f>+#REF!</f>
        <v>#REF!</v>
      </c>
      <c r="J20" s="408" t="e">
        <f t="shared" si="0"/>
        <v>#REF!</v>
      </c>
      <c r="K20" s="408" t="e">
        <f>+#REF!</f>
        <v>#REF!</v>
      </c>
    </row>
    <row r="21" spans="2:11" ht="35.1" customHeight="1">
      <c r="B21" s="400" t="s">
        <v>658</v>
      </c>
      <c r="C21" s="401"/>
      <c r="D21" s="401"/>
      <c r="E21" s="401"/>
      <c r="F21" s="401"/>
      <c r="G21" s="401"/>
      <c r="H21" s="401" t="e">
        <f>+#REF!+#REF!+#REF!+#REF!</f>
        <v>#REF!</v>
      </c>
      <c r="I21" s="406"/>
      <c r="J21" s="408" t="e">
        <f t="shared" si="0"/>
        <v>#REF!</v>
      </c>
      <c r="K21" s="408" t="e">
        <f>+#REF!+#REF!+#REF!+#REF!</f>
        <v>#REF!</v>
      </c>
    </row>
    <row r="22" spans="2:11" ht="35.1" customHeight="1">
      <c r="B22" s="402" t="s">
        <v>659</v>
      </c>
      <c r="C22" s="401"/>
      <c r="D22" s="401"/>
      <c r="E22" s="401"/>
      <c r="F22" s="401" t="e">
        <f>+#REF!</f>
        <v>#REF!</v>
      </c>
      <c r="G22" s="401"/>
      <c r="H22" s="401"/>
      <c r="I22" s="406"/>
      <c r="J22" s="408" t="e">
        <f t="shared" si="0"/>
        <v>#REF!</v>
      </c>
      <c r="K22" s="408" t="e">
        <f>+#REF!</f>
        <v>#REF!</v>
      </c>
    </row>
    <row r="23" spans="2:11" ht="35.1" customHeight="1">
      <c r="B23" s="402" t="s">
        <v>660</v>
      </c>
      <c r="C23" s="401"/>
      <c r="D23" s="401"/>
      <c r="E23" s="401"/>
      <c r="F23" s="401"/>
      <c r="G23" s="401"/>
      <c r="H23" s="401"/>
      <c r="I23" s="406"/>
      <c r="J23" s="408">
        <f t="shared" si="0"/>
        <v>0</v>
      </c>
      <c r="K23" s="408">
        <v>0</v>
      </c>
    </row>
    <row r="24" spans="2:11" ht="35.1" customHeight="1">
      <c r="B24" s="402" t="s">
        <v>184</v>
      </c>
      <c r="C24" s="401"/>
      <c r="D24" s="401"/>
      <c r="E24" s="401"/>
      <c r="F24" s="401"/>
      <c r="G24" s="401"/>
      <c r="H24" s="401"/>
      <c r="I24" s="406" t="e">
        <f>+#REF!</f>
        <v>#REF!</v>
      </c>
      <c r="J24" s="408" t="e">
        <f t="shared" si="0"/>
        <v>#REF!</v>
      </c>
      <c r="K24" s="408" t="e">
        <f>+#REF!</f>
        <v>#REF!</v>
      </c>
    </row>
    <row r="25" spans="2:11" ht="35.1" customHeight="1">
      <c r="B25" s="402" t="s">
        <v>615</v>
      </c>
      <c r="C25" s="401"/>
      <c r="D25" s="401"/>
      <c r="E25" s="401"/>
      <c r="F25" s="401"/>
      <c r="G25" s="401"/>
      <c r="H25" s="401"/>
      <c r="I25" s="406" t="e">
        <f>+#REF!</f>
        <v>#REF!</v>
      </c>
      <c r="J25" s="408" t="e">
        <f t="shared" si="0"/>
        <v>#REF!</v>
      </c>
      <c r="K25" s="408" t="e">
        <f>+#REF!</f>
        <v>#REF!</v>
      </c>
    </row>
    <row r="26" spans="2:11" ht="35.1" customHeight="1">
      <c r="B26" s="402" t="s">
        <v>661</v>
      </c>
      <c r="C26" s="401" t="e">
        <f>+#REF!</f>
        <v>#REF!</v>
      </c>
      <c r="D26" s="401"/>
      <c r="E26" s="401"/>
      <c r="F26" s="401"/>
      <c r="G26" s="401"/>
      <c r="H26" s="401"/>
      <c r="I26" s="406"/>
      <c r="J26" s="408" t="e">
        <f t="shared" si="0"/>
        <v>#REF!</v>
      </c>
      <c r="K26" s="408" t="e">
        <f>+#REF!</f>
        <v>#REF!</v>
      </c>
    </row>
    <row r="27" spans="2:11" ht="35.1" customHeight="1">
      <c r="B27" s="402" t="s">
        <v>662</v>
      </c>
      <c r="C27" s="401"/>
      <c r="D27" s="401"/>
      <c r="E27" s="401"/>
      <c r="F27" s="401"/>
      <c r="G27" s="401" t="e">
        <f>+#REF!</f>
        <v>#REF!</v>
      </c>
      <c r="H27" s="401"/>
      <c r="I27" s="406"/>
      <c r="J27" s="408" t="e">
        <f t="shared" si="0"/>
        <v>#REF!</v>
      </c>
      <c r="K27" s="408" t="e">
        <f>+#REF!</f>
        <v>#REF!</v>
      </c>
    </row>
    <row r="28" spans="2:11" ht="35.1" customHeight="1">
      <c r="B28" s="402" t="s">
        <v>663</v>
      </c>
      <c r="C28" s="401"/>
      <c r="D28" s="401"/>
      <c r="E28" s="401"/>
      <c r="F28" s="401"/>
      <c r="G28" s="401" t="e">
        <f>+#REF!</f>
        <v>#REF!</v>
      </c>
      <c r="H28" s="401"/>
      <c r="I28" s="406"/>
      <c r="J28" s="408" t="e">
        <f t="shared" si="0"/>
        <v>#REF!</v>
      </c>
      <c r="K28" s="408" t="e">
        <f>+#REF!</f>
        <v>#REF!</v>
      </c>
    </row>
    <row r="29" spans="2:11" ht="35.1" customHeight="1">
      <c r="B29" s="402" t="s">
        <v>374</v>
      </c>
      <c r="C29" s="401"/>
      <c r="D29" s="401"/>
      <c r="E29" s="401"/>
      <c r="F29" s="401" t="e">
        <f>+#REF!+#REF!+#REF!+#REF!+#REF!+#REF!+#REF!+#REF!+#REF!+#REF!+#REF!+#REF!+#REF!+#REF!+#REF!+#REF!+#REF!+#REF!+#REF!+#REF!+#REF!+#REF!+#REF!+#REF!+#REF!+#REF!+#REF!+#REF!+#REF!+#REF!</f>
        <v>#REF!</v>
      </c>
      <c r="G29" s="401" t="e">
        <f>+#REF!+#REF!+#REF!+#REF!+#REF!+#REF!+#REF!</f>
        <v>#REF!</v>
      </c>
      <c r="H29" s="401" t="e">
        <f>+#REF!+#REF!+#REF!</f>
        <v>#REF!</v>
      </c>
      <c r="I29" s="406"/>
      <c r="J29" s="408" t="e">
        <f t="shared" si="0"/>
        <v>#REF!</v>
      </c>
      <c r="K29" s="408" t="e">
        <f>+#REF!+#REF!+#REF!+#REF!+#REF!+#REF!+#REF!+#REF!+#REF!+#REF!+#REF!+#REF!+#REF!+#REF!+#REF!+#REF!+#REF!+#REF!+#REF!+#REF!+#REF!+#REF!+#REF!+#REF!+#REF!+#REF!+#REF!+#REF!+#REF!+#REF!+#REF!+#REF!+#REF!+#REF!+#REF!+#REF!+#REF!+#REF!+#REF!+#REF!+#REF!</f>
        <v>#REF!</v>
      </c>
    </row>
    <row r="30" spans="2:11" ht="35.1" customHeight="1">
      <c r="B30" s="390" t="s">
        <v>666</v>
      </c>
      <c r="C30" s="391" t="e">
        <f t="shared" ref="C30:H30" si="1">SUM(C12:C29)</f>
        <v>#REF!</v>
      </c>
      <c r="D30" s="391">
        <f t="shared" si="1"/>
        <v>0</v>
      </c>
      <c r="E30" s="391">
        <f t="shared" si="1"/>
        <v>0</v>
      </c>
      <c r="F30" s="391" t="e">
        <f t="shared" si="1"/>
        <v>#REF!</v>
      </c>
      <c r="G30" s="391" t="e">
        <f t="shared" si="1"/>
        <v>#REF!</v>
      </c>
      <c r="H30" s="391" t="e">
        <f t="shared" si="1"/>
        <v>#REF!</v>
      </c>
      <c r="I30" s="391" t="e">
        <f>SUM(I12:I29)</f>
        <v>#REF!</v>
      </c>
      <c r="J30" s="407" t="e">
        <f>SUM(J12:J29)</f>
        <v>#REF!</v>
      </c>
      <c r="K30" s="407"/>
    </row>
    <row r="31" spans="2:11" ht="35.1" customHeight="1">
      <c r="B31" s="390" t="s">
        <v>665</v>
      </c>
      <c r="C31" s="391">
        <f>-+RESULTAD!C12</f>
        <v>0</v>
      </c>
      <c r="D31" s="392">
        <v>0</v>
      </c>
      <c r="E31" s="393">
        <v>0</v>
      </c>
      <c r="F31" s="391">
        <f>-RESULTAD!C23</f>
        <v>-17899372</v>
      </c>
      <c r="G31" s="391">
        <f>-RESULTAD!C21</f>
        <v>0</v>
      </c>
      <c r="H31" s="391">
        <f>-RESULTAD!C28</f>
        <v>0</v>
      </c>
      <c r="I31" s="391">
        <f>-RESULTAD!C38-RESULTAD!C42-RESULTAD!C44</f>
        <v>-87993517</v>
      </c>
      <c r="J31" s="391"/>
      <c r="K31" s="391" t="e">
        <f>SUM(K12:K30)</f>
        <v>#REF!</v>
      </c>
    </row>
    <row r="32" spans="2:11" ht="15.75" customHeight="1">
      <c r="C32" s="387" t="e">
        <f>+RESULTAD!D12+'Anexo H F2'!C30</f>
        <v>#REF!</v>
      </c>
      <c r="F32" s="387" t="e">
        <f>+RESULTAD!D23+'Anexo H F2'!F30</f>
        <v>#REF!</v>
      </c>
      <c r="G32" s="387" t="e">
        <f>+RESULTAD!D21+'Anexo H F2'!G30</f>
        <v>#REF!</v>
      </c>
      <c r="H32" s="387" t="e">
        <f>+RESULTAD!D28+'Anexo H F2'!H30</f>
        <v>#REF!</v>
      </c>
      <c r="I32" s="387" t="e">
        <f>+RESULTAD!D38+RESULTAD!D42+RESULTAD!D44+'Anexo H F2'!I30</f>
        <v>#REF!</v>
      </c>
      <c r="J32" s="387" t="e">
        <f>+RESULTAD!D12+RESULTAD!D32+RESULTAD!D38+RESULTAD!D42+RESULTAD!D44+J30</f>
        <v>#REF!</v>
      </c>
      <c r="K32" s="387" t="e">
        <f>+RESULTAD!C12+RESULTAD!C32+RESULTAD!C38+RESULTAD!C42+RESULTAD!C44+K31</f>
        <v>#REF!</v>
      </c>
    </row>
  </sheetData>
  <mergeCells count="13">
    <mergeCell ref="G8:G11"/>
    <mergeCell ref="H8:H11"/>
    <mergeCell ref="J8:K8"/>
    <mergeCell ref="B2:K2"/>
    <mergeCell ref="B3:K3"/>
    <mergeCell ref="B4:K4"/>
    <mergeCell ref="B6:K6"/>
    <mergeCell ref="B8:B11"/>
    <mergeCell ref="C8:C11"/>
    <mergeCell ref="D8:D11"/>
    <mergeCell ref="E8:E11"/>
    <mergeCell ref="F8:F11"/>
    <mergeCell ref="I8:I11"/>
  </mergeCells>
  <pageMargins left="0.98425196850393704" right="0.59055118110236227" top="1.1811023622047245" bottom="1.5748031496062993" header="0.51181102362204722" footer="0.51181102362204722"/>
  <pageSetup scale="4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FFFF00"/>
  </sheetPr>
  <dimension ref="A1:G44"/>
  <sheetViews>
    <sheetView zoomScale="75" zoomScaleNormal="75" workbookViewId="0">
      <selection activeCell="H7" sqref="H7"/>
    </sheetView>
  </sheetViews>
  <sheetFormatPr baseColWidth="10" defaultRowHeight="12.75"/>
  <cols>
    <col min="1" max="1" width="2.7109375" customWidth="1"/>
    <col min="2" max="2" width="2.7109375" style="1" customWidth="1"/>
    <col min="3" max="3" width="35.85546875" style="1" customWidth="1"/>
    <col min="4" max="5" width="15.7109375" style="1" customWidth="1"/>
    <col min="6" max="6" width="16.5703125" style="1" customWidth="1"/>
    <col min="7" max="7" width="14.7109375" style="1" customWidth="1"/>
  </cols>
  <sheetData>
    <row r="1" spans="1:7">
      <c r="A1" s="1093" t="s">
        <v>0</v>
      </c>
      <c r="B1" s="1093"/>
      <c r="C1" s="1093"/>
      <c r="D1" s="1093"/>
      <c r="E1" s="1093"/>
      <c r="F1" s="1093"/>
    </row>
    <row r="2" spans="1:7">
      <c r="A2" s="1093" t="s">
        <v>1</v>
      </c>
      <c r="B2" s="1093"/>
      <c r="C2" s="1093"/>
      <c r="D2" s="1093"/>
      <c r="E2" s="1093"/>
      <c r="F2" s="1093"/>
    </row>
    <row r="3" spans="1:7">
      <c r="A3" s="1093" t="s">
        <v>2</v>
      </c>
      <c r="B3" s="1093"/>
      <c r="C3" s="1093"/>
      <c r="D3" s="1093"/>
      <c r="E3" s="1093"/>
      <c r="F3" s="1093"/>
    </row>
    <row r="4" spans="1:7">
      <c r="A4" s="1093" t="s">
        <v>3</v>
      </c>
      <c r="B4" s="1093"/>
      <c r="C4" s="1093"/>
      <c r="D4" s="1093"/>
      <c r="E4" s="1093"/>
      <c r="F4" s="1093"/>
    </row>
    <row r="5" spans="1:7">
      <c r="A5" s="1093" t="str">
        <f>EGRESOS!A5</f>
        <v>01/01/11 AL 31/12/11</v>
      </c>
      <c r="B5" s="1093"/>
      <c r="C5" s="1093"/>
      <c r="D5" s="1093"/>
      <c r="E5" s="1093"/>
      <c r="F5" s="1093"/>
    </row>
    <row r="6" spans="1:7">
      <c r="A6" s="4"/>
      <c r="B6" s="5"/>
      <c r="C6" s="5"/>
      <c r="D6" s="5"/>
      <c r="E6" s="5"/>
    </row>
    <row r="7" spans="1:7">
      <c r="A7" s="6" t="s">
        <v>196</v>
      </c>
      <c r="B7" s="7"/>
      <c r="C7" s="7"/>
      <c r="D7" s="7"/>
      <c r="E7" s="7"/>
      <c r="F7" s="8">
        <f>SUM(F9:F44)</f>
        <v>0</v>
      </c>
      <c r="G7" s="1">
        <f>+F7-EGRESOS!F7</f>
        <v>0</v>
      </c>
    </row>
    <row r="8" spans="1:7">
      <c r="A8" s="4"/>
      <c r="B8" s="5"/>
      <c r="C8" s="5"/>
      <c r="D8" s="5"/>
      <c r="E8" s="5"/>
      <c r="F8" s="5"/>
    </row>
    <row r="9" spans="1:7">
      <c r="A9" s="4" t="s">
        <v>197</v>
      </c>
      <c r="B9" s="5"/>
      <c r="C9" s="5"/>
      <c r="D9" s="5"/>
      <c r="E9" s="5"/>
      <c r="F9" s="5">
        <f>E10+E14+E23+E33+E36</f>
        <v>0</v>
      </c>
    </row>
    <row r="10" spans="1:7">
      <c r="A10" s="4"/>
      <c r="B10" s="5" t="s">
        <v>198</v>
      </c>
      <c r="C10" s="5"/>
      <c r="D10" s="5"/>
      <c r="E10" s="5">
        <f>SUM(D11:D12)</f>
        <v>0</v>
      </c>
    </row>
    <row r="11" spans="1:7">
      <c r="C11" s="1" t="s">
        <v>199</v>
      </c>
      <c r="D11" s="1">
        <v>0</v>
      </c>
    </row>
    <row r="12" spans="1:7">
      <c r="C12" s="1" t="s">
        <v>200</v>
      </c>
      <c r="D12" s="1">
        <v>0</v>
      </c>
    </row>
    <row r="14" spans="1:7">
      <c r="B14" s="5" t="s">
        <v>201</v>
      </c>
      <c r="C14" s="5"/>
      <c r="D14" s="5"/>
      <c r="E14" s="5">
        <f>SUM(D15:D21)</f>
        <v>0</v>
      </c>
      <c r="F14" s="5"/>
    </row>
    <row r="15" spans="1:7">
      <c r="C15" s="1" t="s">
        <v>202</v>
      </c>
      <c r="D15" s="1">
        <v>0</v>
      </c>
    </row>
    <row r="16" spans="1:7">
      <c r="C16" s="1" t="s">
        <v>203</v>
      </c>
      <c r="D16" s="1">
        <v>0</v>
      </c>
    </row>
    <row r="17" spans="2:5">
      <c r="C17" s="1" t="s">
        <v>204</v>
      </c>
      <c r="D17" s="1">
        <v>0</v>
      </c>
    </row>
    <row r="18" spans="2:5">
      <c r="C18" s="1" t="s">
        <v>205</v>
      </c>
      <c r="D18" s="1">
        <v>0</v>
      </c>
    </row>
    <row r="19" spans="2:5">
      <c r="C19" s="1" t="s">
        <v>206</v>
      </c>
      <c r="D19" s="1">
        <v>0</v>
      </c>
    </row>
    <row r="20" spans="2:5">
      <c r="C20" s="1" t="s">
        <v>207</v>
      </c>
      <c r="D20" s="1">
        <v>0</v>
      </c>
    </row>
    <row r="21" spans="2:5">
      <c r="C21" s="14" t="s">
        <v>208</v>
      </c>
      <c r="D21" s="1">
        <v>0</v>
      </c>
    </row>
    <row r="23" spans="2:5">
      <c r="B23" s="5" t="s">
        <v>209</v>
      </c>
      <c r="E23" s="5">
        <f>SUM(D24:D32)</f>
        <v>0</v>
      </c>
    </row>
    <row r="24" spans="2:5">
      <c r="C24" s="1" t="s">
        <v>210</v>
      </c>
      <c r="D24" s="1">
        <v>0</v>
      </c>
    </row>
    <row r="25" spans="2:5">
      <c r="C25" s="1" t="s">
        <v>211</v>
      </c>
      <c r="D25" s="1">
        <v>0</v>
      </c>
    </row>
    <row r="26" spans="2:5">
      <c r="C26" s="1" t="s">
        <v>212</v>
      </c>
      <c r="D26" s="1">
        <v>0</v>
      </c>
    </row>
    <row r="27" spans="2:5">
      <c r="C27" s="14" t="s">
        <v>213</v>
      </c>
      <c r="D27" s="1">
        <v>0</v>
      </c>
    </row>
    <row r="28" spans="2:5">
      <c r="C28" s="14" t="s">
        <v>214</v>
      </c>
      <c r="D28" s="1">
        <v>0</v>
      </c>
    </row>
    <row r="29" spans="2:5">
      <c r="C29" s="1" t="s">
        <v>215</v>
      </c>
      <c r="D29" s="1">
        <v>0</v>
      </c>
    </row>
    <row r="30" spans="2:5">
      <c r="C30" s="1" t="s">
        <v>216</v>
      </c>
      <c r="D30" s="1">
        <v>0</v>
      </c>
    </row>
    <row r="31" spans="2:5">
      <c r="C31" s="1" t="s">
        <v>217</v>
      </c>
      <c r="D31" s="1">
        <v>0</v>
      </c>
    </row>
    <row r="32" spans="2:5">
      <c r="C32" s="1" t="s">
        <v>218</v>
      </c>
      <c r="D32" s="1">
        <v>0</v>
      </c>
    </row>
    <row r="33" spans="1:6" ht="21" customHeight="1">
      <c r="B33" s="5" t="s">
        <v>219</v>
      </c>
      <c r="E33" s="5">
        <f>D34</f>
        <v>0</v>
      </c>
    </row>
    <row r="34" spans="1:6">
      <c r="C34" s="1" t="s">
        <v>220</v>
      </c>
      <c r="D34" s="1">
        <v>0</v>
      </c>
    </row>
    <row r="36" spans="1:6">
      <c r="B36" s="5" t="s">
        <v>221</v>
      </c>
      <c r="E36" s="5">
        <f>D37</f>
        <v>0</v>
      </c>
    </row>
    <row r="37" spans="1:6">
      <c r="C37" s="1" t="s">
        <v>222</v>
      </c>
      <c r="D37" s="1">
        <v>0</v>
      </c>
    </row>
    <row r="39" spans="1:6">
      <c r="A39" s="4" t="s">
        <v>223</v>
      </c>
      <c r="F39" s="5">
        <f>SUM(D40:D42)</f>
        <v>0</v>
      </c>
    </row>
    <row r="40" spans="1:6">
      <c r="C40" s="1" t="s">
        <v>224</v>
      </c>
      <c r="D40" s="1">
        <v>0</v>
      </c>
    </row>
    <row r="41" spans="1:6">
      <c r="C41" s="1" t="s">
        <v>225</v>
      </c>
      <c r="D41" s="1">
        <v>0</v>
      </c>
    </row>
    <row r="42" spans="1:6">
      <c r="C42" s="1" t="s">
        <v>226</v>
      </c>
      <c r="D42" s="1">
        <v>0</v>
      </c>
    </row>
    <row r="44" spans="1:6">
      <c r="A44" s="4" t="s">
        <v>227</v>
      </c>
      <c r="B44" s="5"/>
      <c r="C44" s="5"/>
      <c r="D44" s="5"/>
      <c r="E44" s="5"/>
      <c r="F44" s="5">
        <f>ACTIVO!G104</f>
        <v>0</v>
      </c>
    </row>
  </sheetData>
  <mergeCells count="5">
    <mergeCell ref="A5:F5"/>
    <mergeCell ref="A1:F1"/>
    <mergeCell ref="A2:F2"/>
    <mergeCell ref="A3:F3"/>
    <mergeCell ref="A4:F4"/>
  </mergeCells>
  <phoneticPr fontId="19" type="noConversion"/>
  <pageMargins left="0.55972222222222223" right="0.74791666666666667" top="0.69027777777777777" bottom="0.98402777777777783" header="0.51180555555555562" footer="0.51180555555555562"/>
  <pageSetup paperSize="9" firstPageNumber="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B31"/>
  <sheetViews>
    <sheetView topLeftCell="A4" zoomScale="80" zoomScaleNormal="80" workbookViewId="0">
      <selection activeCell="A8" sqref="A8"/>
    </sheetView>
  </sheetViews>
  <sheetFormatPr baseColWidth="10" defaultRowHeight="12.75"/>
  <cols>
    <col min="1" max="1" width="32.28515625" customWidth="1"/>
    <col min="2" max="2" width="59.42578125" customWidth="1"/>
  </cols>
  <sheetData>
    <row r="5" spans="1:2" ht="15.75">
      <c r="A5" s="1097" t="s">
        <v>1107</v>
      </c>
      <c r="B5" s="1097"/>
    </row>
    <row r="7" spans="1:2" ht="15.75">
      <c r="A7" s="1097" t="s">
        <v>1296</v>
      </c>
      <c r="B7" s="1097"/>
    </row>
    <row r="9" spans="1:2" ht="13.5" thickBot="1">
      <c r="A9" s="1029" t="s">
        <v>1108</v>
      </c>
      <c r="B9" s="1030"/>
    </row>
    <row r="10" spans="1:2" ht="30" customHeight="1" thickBot="1">
      <c r="A10" s="412" t="s">
        <v>969</v>
      </c>
      <c r="B10" s="413" t="s">
        <v>970</v>
      </c>
    </row>
    <row r="11" spans="1:2" ht="30" customHeight="1" thickBot="1">
      <c r="A11" s="414" t="s">
        <v>971</v>
      </c>
      <c r="B11" s="415" t="s">
        <v>972</v>
      </c>
    </row>
    <row r="12" spans="1:2" ht="30" customHeight="1" thickBot="1">
      <c r="A12" s="414" t="s">
        <v>973</v>
      </c>
      <c r="B12" s="415" t="s">
        <v>974</v>
      </c>
    </row>
    <row r="13" spans="1:2" ht="30" customHeight="1" thickBot="1">
      <c r="A13" s="414" t="s">
        <v>975</v>
      </c>
      <c r="B13" s="415" t="s">
        <v>976</v>
      </c>
    </row>
    <row r="14" spans="1:2" ht="30" customHeight="1">
      <c r="A14" s="1095" t="s">
        <v>977</v>
      </c>
      <c r="B14" s="416" t="s">
        <v>978</v>
      </c>
    </row>
    <row r="15" spans="1:2" ht="30" customHeight="1" thickBot="1">
      <c r="A15" s="1096"/>
      <c r="B15" s="417" t="s">
        <v>979</v>
      </c>
    </row>
    <row r="16" spans="1:2" ht="30" customHeight="1" thickBot="1">
      <c r="A16" s="414" t="s">
        <v>980</v>
      </c>
      <c r="B16" s="415" t="s">
        <v>981</v>
      </c>
    </row>
    <row r="17" spans="1:2" ht="30" customHeight="1" thickBot="1">
      <c r="A17" s="414" t="s">
        <v>982</v>
      </c>
      <c r="B17" s="415" t="s">
        <v>983</v>
      </c>
    </row>
    <row r="18" spans="1:2" ht="30" customHeight="1" thickBot="1">
      <c r="A18" s="414" t="s">
        <v>984</v>
      </c>
      <c r="B18" s="415" t="s">
        <v>985</v>
      </c>
    </row>
    <row r="19" spans="1:2" ht="44.25" customHeight="1" thickBot="1">
      <c r="A19" s="414" t="s">
        <v>986</v>
      </c>
      <c r="B19" s="415" t="s">
        <v>987</v>
      </c>
    </row>
    <row r="29" spans="1:2">
      <c r="A29" s="1094" t="s">
        <v>944</v>
      </c>
      <c r="B29" s="1094"/>
    </row>
    <row r="30" spans="1:2">
      <c r="A30" s="1094" t="s">
        <v>237</v>
      </c>
      <c r="B30" s="1094"/>
    </row>
    <row r="31" spans="1:2">
      <c r="A31" s="1094" t="s">
        <v>1149</v>
      </c>
      <c r="B31" s="1094"/>
    </row>
  </sheetData>
  <mergeCells count="6">
    <mergeCell ref="A31:B31"/>
    <mergeCell ref="A14:A15"/>
    <mergeCell ref="A5:B5"/>
    <mergeCell ref="A7:B7"/>
    <mergeCell ref="A29:B29"/>
    <mergeCell ref="A30:B3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B33"/>
  <sheetViews>
    <sheetView zoomScale="80" zoomScaleNormal="80" workbookViewId="0">
      <selection activeCell="G19" sqref="G19"/>
    </sheetView>
  </sheetViews>
  <sheetFormatPr baseColWidth="10" defaultRowHeight="12.75"/>
  <cols>
    <col min="1" max="1" width="41.85546875" customWidth="1"/>
    <col min="2" max="2" width="46.140625" customWidth="1"/>
  </cols>
  <sheetData>
    <row r="6" spans="1:2">
      <c r="A6" s="4" t="s">
        <v>1109</v>
      </c>
      <c r="B6" s="4"/>
    </row>
    <row r="7" spans="1:2" ht="13.5" thickBot="1">
      <c r="A7" s="4"/>
      <c r="B7" s="4"/>
    </row>
    <row r="8" spans="1:2" ht="14.25">
      <c r="A8" s="869" t="s">
        <v>1093</v>
      </c>
      <c r="B8" s="870" t="s">
        <v>1094</v>
      </c>
    </row>
    <row r="9" spans="1:2" ht="15" thickBot="1">
      <c r="A9" s="871" t="s">
        <v>1095</v>
      </c>
      <c r="B9" s="872" t="s">
        <v>1096</v>
      </c>
    </row>
    <row r="10" spans="1:2" ht="29.25" thickBot="1">
      <c r="A10" s="869" t="s">
        <v>1102</v>
      </c>
      <c r="B10" s="870" t="s">
        <v>1097</v>
      </c>
    </row>
    <row r="11" spans="1:2" ht="14.25">
      <c r="A11" s="869" t="s">
        <v>1098</v>
      </c>
      <c r="B11" s="869"/>
    </row>
    <row r="12" spans="1:2" ht="14.25">
      <c r="A12" s="873" t="s">
        <v>1093</v>
      </c>
      <c r="B12" s="873" t="s">
        <v>1099</v>
      </c>
    </row>
    <row r="13" spans="1:2" ht="14.25">
      <c r="A13" s="873" t="s">
        <v>1095</v>
      </c>
      <c r="B13" s="873" t="s">
        <v>1100</v>
      </c>
    </row>
    <row r="14" spans="1:2" ht="14.25">
      <c r="A14" s="873" t="s">
        <v>1093</v>
      </c>
      <c r="B14" s="873" t="s">
        <v>1178</v>
      </c>
    </row>
    <row r="15" spans="1:2" ht="15" thickBot="1">
      <c r="A15" s="871" t="s">
        <v>1095</v>
      </c>
      <c r="B15" s="871" t="s">
        <v>1179</v>
      </c>
    </row>
    <row r="16" spans="1:2" ht="29.25" thickBot="1">
      <c r="A16" s="871" t="s">
        <v>1102</v>
      </c>
      <c r="B16" s="872" t="s">
        <v>1097</v>
      </c>
    </row>
    <row r="17" spans="1:2" ht="29.25" thickBot="1">
      <c r="A17" s="871" t="s">
        <v>1103</v>
      </c>
      <c r="B17" s="872" t="s">
        <v>1101</v>
      </c>
    </row>
    <row r="31" spans="1:2">
      <c r="A31" s="1094" t="s">
        <v>944</v>
      </c>
      <c r="B31" s="1094"/>
    </row>
    <row r="32" spans="1:2">
      <c r="A32" s="1094" t="s">
        <v>237</v>
      </c>
      <c r="B32" s="1094"/>
    </row>
    <row r="33" spans="1:2">
      <c r="A33" s="1094" t="s">
        <v>1149</v>
      </c>
      <c r="B33" s="1094"/>
    </row>
  </sheetData>
  <mergeCells count="3">
    <mergeCell ref="A31:B31"/>
    <mergeCell ref="A32:B32"/>
    <mergeCell ref="A33:B33"/>
  </mergeCell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B31"/>
  <sheetViews>
    <sheetView zoomScale="85" zoomScaleNormal="85" workbookViewId="0">
      <selection activeCell="E10" sqref="E10"/>
    </sheetView>
  </sheetViews>
  <sheetFormatPr baseColWidth="10" defaultRowHeight="12.75"/>
  <cols>
    <col min="1" max="1" width="36.42578125" customWidth="1"/>
    <col min="2" max="2" width="36.140625" customWidth="1"/>
  </cols>
  <sheetData>
    <row r="7" spans="1:2" s="4" customFormat="1">
      <c r="A7" s="4" t="s">
        <v>1110</v>
      </c>
    </row>
    <row r="8" spans="1:2" ht="13.5" thickBot="1"/>
    <row r="9" spans="1:2" ht="30" customHeight="1">
      <c r="A9" s="865" t="s">
        <v>1084</v>
      </c>
      <c r="B9" s="866" t="s">
        <v>1085</v>
      </c>
    </row>
    <row r="10" spans="1:2" ht="30" customHeight="1">
      <c r="A10" s="867" t="s">
        <v>1092</v>
      </c>
      <c r="B10" s="868" t="s">
        <v>944</v>
      </c>
    </row>
    <row r="11" spans="1:2" ht="30" customHeight="1">
      <c r="A11" s="867" t="s">
        <v>1086</v>
      </c>
      <c r="B11" s="868" t="s">
        <v>944</v>
      </c>
    </row>
    <row r="12" spans="1:2" ht="30" customHeight="1">
      <c r="A12" s="867" t="s">
        <v>1087</v>
      </c>
      <c r="B12" s="868" t="s">
        <v>968</v>
      </c>
    </row>
    <row r="13" spans="1:2" s="886" customFormat="1" ht="30" customHeight="1">
      <c r="A13" s="1009" t="s">
        <v>1088</v>
      </c>
      <c r="B13" s="1010" t="s">
        <v>1089</v>
      </c>
    </row>
    <row r="14" spans="1:2" ht="30" customHeight="1">
      <c r="A14" s="867" t="s">
        <v>1090</v>
      </c>
      <c r="B14" s="868" t="s">
        <v>1091</v>
      </c>
    </row>
    <row r="29" spans="1:2">
      <c r="A29" s="1094" t="s">
        <v>944</v>
      </c>
      <c r="B29" s="1094"/>
    </row>
    <row r="30" spans="1:2">
      <c r="A30" s="1094" t="s">
        <v>237</v>
      </c>
      <c r="B30" s="1094"/>
    </row>
    <row r="31" spans="1:2">
      <c r="A31" s="1094" t="s">
        <v>1149</v>
      </c>
      <c r="B31" s="1094"/>
    </row>
  </sheetData>
  <mergeCells count="3">
    <mergeCell ref="A29:B29"/>
    <mergeCell ref="A30:B30"/>
    <mergeCell ref="A31:B31"/>
  </mergeCells>
  <pageMargins left="0.7" right="0.7" top="0.75" bottom="0.75" header="0.3" footer="0.3"/>
  <pageSetup orientation="portrait"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 Id="rId4" Type="http://schemas.openxmlformats.org/package/2006/relationships/digital-signature/signature" Target="sig4.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xEmpn3xXp+aJFpUpFDSkq7jO0sLowv76+tQxP+V8pn8=</DigestValue>
    </Reference>
    <Reference Type="http://www.w3.org/2000/09/xmldsig#Object" URI="#idOfficeObject">
      <DigestMethod Algorithm="http://www.w3.org/2001/04/xmlenc#sha256"/>
      <DigestValue>umhNDC3HgOcUYiRF9AISnRDRwOtigeUd+VUmXavqlCQ=</DigestValue>
    </Reference>
    <Reference Type="http://uri.etsi.org/01903#SignedProperties" URI="#idSignedProperties">
      <Transforms>
        <Transform Algorithm="http://www.w3.org/TR/2001/REC-xml-c14n-20010315"/>
      </Transforms>
      <DigestMethod Algorithm="http://www.w3.org/2001/04/xmlenc#sha256"/>
      <DigestValue>cGaPas7N3AcvTa1SKEiilWTU8bKCpfGxJHsPBmaQLdU=</DigestValue>
    </Reference>
  </SignedInfo>
  <SignatureValue>iLIi0oN4p2eysgREjzjFzWRCeMS1tRMOxZbP0MhaTh20YDlabhxTG2wjEEUoEwPIoT0isQjsSx1Q
Vw2h67BnuJ2BE2Dtb/faX9NUGPm7ZN++jOO5jV315vIW6aMsCyX9CbfKNyHSJ7wSoOdE5W7+o/iU
TOCxvZ88FAMya0mDCc3OWHCfuWdH+zCCw2cGVnrytx9llt9AkKtQ/a5JyWN2JJdrXPjDv5C6uZZz
5HYDb6OJxM3NWWWJNiuuRXuRNnPbFnGitrHadt4gW61/K5Z0XrT2N7SATM9If/RnmDhGIeRO1b6B
1LJUgYTniStEqe0RbaJPagtnQe9SlLYh4WEJhw==</SignatureValue>
  <KeyInfo>
    <X509Data>
      <X509Certificate>MIIICzCCBfOgAwIBAgITXAAAEKPgcwM2bITRjwAAAAAQozANBgkqhkiG9w0BAQsFADBXMRcwFQYDVQQFEw5SVUMgODAwODA2MTAtNzEVMBMGA1UEChMMQ09ERTEwMCBTLkEuMQswCQYDVQQGEwJQWTEYMBYGA1UEAxMPQ0EtQ09ERTEwMCBTLkEuMB4XDTE5MDQwNDE3MDkzMVoXDTIxMDQwNDE3MDkzMVowgacxJjAkBgNVBAMTHVBBTE9UVEkgVE9SSUVMTEkgSkFWSUVSIFBBQkxPMRcwFQYDVQQKEw5QRVJTT05BIEZJU0lDQTELMAkGA1UEBhMCUFkxGTAXBgNVBCoTEFBBTE9UVEkgVE9SSUVMTEkxFTATBgNVBAQTDEpBVklFUiBQQUJMTzESMBAGA1UEBRMJQ0k3NDUyMDAxMREwDwYDVQQLEwhGSVJNQSBGMjCCASIwDQYJKoZIhvcNAQEBBQADggEPADCCAQoCggEBAKr1WShr/vh7Kr7Gb+JxbiCxVf5jIZgMO//t8xHPpvI3lw2vutnD/jxoio+2z7RDS5ddUFUqSLV1lla/WVXJseYScT36hbDrpiOxV7kL7RV2K3BGg+rimiy69QLMMQr8Bu48ZTwYYt2/BL39tKqvWHqSZoAd94pyYCbUQlTC9gHXW9nUYBCkq0p0wqcQjIMLW40lXe+xrIwNjy1H0VTUSk8zEP8BsvicE/5X0dEOUTbvkgS+DrX57SDL2XGnBY47x0sihmTteBxoDo/CzQ3OLgrnJ5WHlkt2BSeDJ4HIFppvkdbVqhj2fNo9QjWJ9hW8nhZjxhd69P4+Xt4lzgerKdMCAwEAAaOCA30wggN5MA4GA1UdDwEB/wQEAwIF4DAMBgNVHRMBAf8EAjAAMCAGA1UdJQEB/wQWMBQGCCsGAQUFBwMCBggrBgEFBQcDBDAdBgNVHQ4EFgQU7jS5pXzO53mpFz/NCNc5n7yYC4U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HgYDVR0RBBcwFYETREZMRUlUQVNATUJCLkNPTS5QWTANBgkqhkiG9w0BAQsFAAOCAgEAEB1LWw8uV/dXNZ9xcGxPn+h4xGMEPDn2XHiQZnFlQpck255n+EDCuEdpBnvH2Sxv47X9ux++uz0J7ZJGio5vIRsHip2MOgnW53ZgKuK06/+eArRBBAbRkU3PPR/ztg7PrxLf+8SF6dP4XjEQjrEHct9TLqEXsA1kovO7bMSTewbQeKTRq+BMI5svRS1r6w47SzboY5fP/zUIu48XQugwptHDOl03/V0+qSm9aDRcfOUK7lIaS8L8o91MFcJv+qQ3MzDCQreKUssl6SOo8Lfr2UlByHoEsw6xjBfNnt7nWA3jLZ0GnAZabc4CGtmYkmCTa/ErOYfV7Zz4yiw6TzK1kOHqcXweJfH45OcrwIlrq76CAp1Uxc4KstMsR8mrgHvhSN/vCG/GV3AfwOFpdTISsBBeEY0JSiti98b/+HpP3c+2VRoKRXWZ8Izhgu4E88Ye6EFKhFSDXNJDWgqRkK0818ktF5wT/qLoRjcgbp0QZWr6i21hhvpdq269HD65O7Bac/qavfESc1fSyDBl0V9zQMHv9RxRWNEzhiKM1iAWP+d72ic7Ozu2/2pZ2Fs4YFm+DG3wxt3pD3mRHOq2nrAX4mBp6MRe6P1giJKmU6mU7lROS47MtY4A2mNYi8rIC3epW29m/GadvvBAGVldz6lm0/3HgTfsgx+Y/vKAZuU+Pi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rwQ8NNLfeIV0Svl5z/6GsN77Iuxc2NJX6WcSybAdBws=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zcvWX2nBR8vsLpugaQRi4/TTtq/43ce7yNEn7/+PY68=</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JqGz6vLWGozlzUjSd45hVXUTBLSksV7wQmLs+NumxEI=</DigestValue>
      </Reference>
      <Reference URI="/xl/drawings/drawing12.xml?ContentType=application/vnd.openxmlformats-officedocument.drawing+xml">
        <DigestMethod Algorithm="http://www.w3.org/2001/04/xmlenc#sha256"/>
        <DigestValue>XFm/Q85fRuBALJ29hVB+GpBut3jPRDCQ6OR7lM6s/Z4=</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ifLvntU11Ychi1lvdrvq6Chv+lBX8Cjo1JwgAVcRJrY=</DigestValue>
      </Reference>
      <Reference URI="/xl/drawings/drawing15.xml?ContentType=application/vnd.openxmlformats-officedocument.drawing+xml">
        <DigestMethod Algorithm="http://www.w3.org/2001/04/xmlenc#sha256"/>
        <DigestValue>JIAKT99zi9FI/4KXwuXrMlVdAHpbfZpyMu6lYRzSp1o=</DigestValue>
      </Reference>
      <Reference URI="/xl/drawings/drawing16.xml?ContentType=application/vnd.openxmlformats-officedocument.drawing+xml">
        <DigestMethod Algorithm="http://www.w3.org/2001/04/xmlenc#sha256"/>
        <DigestValue>XnTLmYWGevXmznAxnbciFqckyfijj39WaKb7+tRjxAY=</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5b+fCINz8XXemHeYqx/JI4peNFY1yuZjiUYOaSt7ay4=</DigestValue>
      </Reference>
      <Reference URI="/xl/drawings/drawing19.xml?ContentType=application/vnd.openxmlformats-officedocument.drawing+xml">
        <DigestMethod Algorithm="http://www.w3.org/2001/04/xmlenc#sha256"/>
        <DigestValue>mypGDIrqT5eULnXutXvy5YQm4JowMuZlh5rEhT36afw=</DigestValue>
      </Reference>
      <Reference URI="/xl/drawings/drawing2.xml?ContentType=application/vnd.openxmlformats-officedocument.drawing+xml">
        <DigestMethod Algorithm="http://www.w3.org/2001/04/xmlenc#sha256"/>
        <DigestValue>73Zma9GTY/Qbhr4LLYfSg3KmjSlRc6MUmtm6nDso0aI=</DigestValue>
      </Reference>
      <Reference URI="/xl/drawings/drawing20.xml?ContentType=application/vnd.openxmlformats-officedocument.drawing+xml">
        <DigestMethod Algorithm="http://www.w3.org/2001/04/xmlenc#sha256"/>
        <DigestValue>oxbqSSHDH6D8DSP3lEC5r2AAF55yPkvh8/cLarO9r6w=</DigestValue>
      </Reference>
      <Reference URI="/xl/drawings/drawing21.xml?ContentType=application/vnd.openxmlformats-officedocument.drawing+xml">
        <DigestMethod Algorithm="http://www.w3.org/2001/04/xmlenc#sha256"/>
        <DigestValue>QFqTPcllDj77qOUmNGp4GKnpXBf8+WMWcuMVOXseL+Y=</DigestValue>
      </Reference>
      <Reference URI="/xl/drawings/drawing22.xml?ContentType=application/vnd.openxmlformats-officedocument.drawing+xml">
        <DigestMethod Algorithm="http://www.w3.org/2001/04/xmlenc#sha256"/>
        <DigestValue>SMDHJCN7+artZs+YuVFkWAKm8tgJeUGORSHL8qtVvAc=</DigestValue>
      </Reference>
      <Reference URI="/xl/drawings/drawing23.xml?ContentType=application/vnd.openxmlformats-officedocument.drawing+xml">
        <DigestMethod Algorithm="http://www.w3.org/2001/04/xmlenc#sha256"/>
        <DigestValue>NKJVA/OlP1rilFR3HqMN41HJapoKDwrT7sAsTRf4x64=</DigestValue>
      </Reference>
      <Reference URI="/xl/drawings/drawing24.xml?ContentType=application/vnd.openxmlformats-officedocument.drawing+xml">
        <DigestMethod Algorithm="http://www.w3.org/2001/04/xmlenc#sha256"/>
        <DigestValue>ihI8Kp6ToGTxD/LnLcLtHe7RW5DVoqJCoSAdnZmncac=</DigestValue>
      </Reference>
      <Reference URI="/xl/drawings/drawing25.xml?ContentType=application/vnd.openxmlformats-officedocument.drawing+xml">
        <DigestMethod Algorithm="http://www.w3.org/2001/04/xmlenc#sha256"/>
        <DigestValue>PFGhj3wZifggbiRrv0L5KLxtDQZM47N4wL2p6cPBJ7c=</DigestValue>
      </Reference>
      <Reference URI="/xl/drawings/drawing26.xml?ContentType=application/vnd.openxmlformats-officedocument.drawing+xml">
        <DigestMethod Algorithm="http://www.w3.org/2001/04/xmlenc#sha256"/>
        <DigestValue>OouycOmReoGrecmOlqWk7hYfKAJAfnpu3j9PggvdJB0=</DigestValue>
      </Reference>
      <Reference URI="/xl/drawings/drawing27.xml?ContentType=application/vnd.openxmlformats-officedocument.drawing+xml">
        <DigestMethod Algorithm="http://www.w3.org/2001/04/xmlenc#sha256"/>
        <DigestValue>UTaTqn99wkwplVyxHeEGgwqQM6smH71jck54oHbzljw=</DigestValue>
      </Reference>
      <Reference URI="/xl/drawings/drawing28.xml?ContentType=application/vnd.openxmlformats-officedocument.drawing+xml">
        <DigestMethod Algorithm="http://www.w3.org/2001/04/xmlenc#sha256"/>
        <DigestValue>t2+uI+REghiaQDE+YceH1aEqNfgLVR2GfeCb+67oGRs=</DigestValue>
      </Reference>
      <Reference URI="/xl/drawings/drawing29.xml?ContentType=application/vnd.openxmlformats-officedocument.drawing+xml">
        <DigestMethod Algorithm="http://www.w3.org/2001/04/xmlenc#sha256"/>
        <DigestValue>mos9Pw0w6gf7i7e/NqsauHlDKzewhLWDwGOWi/E42AU=</DigestValue>
      </Reference>
      <Reference URI="/xl/drawings/drawing3.xml?ContentType=application/vnd.openxmlformats-officedocument.drawing+xml">
        <DigestMethod Algorithm="http://www.w3.org/2001/04/xmlenc#sha256"/>
        <DigestValue>+lYmgjiFQYCAS4gc4swzbXEeGH1zNwYtufvmFlNmaWs=</DigestValue>
      </Reference>
      <Reference URI="/xl/drawings/drawing30.xml?ContentType=application/vnd.openxmlformats-officedocument.drawing+xml">
        <DigestMethod Algorithm="http://www.w3.org/2001/04/xmlenc#sha256"/>
        <DigestValue>7aNBCfDh92+Bh1BAkrWa8Jbcx8hLYgb0dL2jNpkG/2w=</DigestValue>
      </Reference>
      <Reference URI="/xl/drawings/drawing31.xml?ContentType=application/vnd.openxmlformats-officedocument.drawing+xml">
        <DigestMethod Algorithm="http://www.w3.org/2001/04/xmlenc#sha256"/>
        <DigestValue>s90PtH/P6qachG2l9eVWeC2x2vqtjuyssZnZywrUGHs=</DigestValue>
      </Reference>
      <Reference URI="/xl/drawings/drawing32.xml?ContentType=application/vnd.openxmlformats-officedocument.drawing+xml">
        <DigestMethod Algorithm="http://www.w3.org/2001/04/xmlenc#sha256"/>
        <DigestValue>IXO3rSB+JSyFCx9YlryoDaVFlJDBFKslB+GFpU5msxY=</DigestValue>
      </Reference>
      <Reference URI="/xl/drawings/drawing33.xml?ContentType=application/vnd.openxmlformats-officedocument.drawing+xml">
        <DigestMethod Algorithm="http://www.w3.org/2001/04/xmlenc#sha256"/>
        <DigestValue>zIyq6l2g6I8/Wj4NyjHaMBO7qTQS/FXfc26ZK6T+jS0=</DigestValue>
      </Reference>
      <Reference URI="/xl/drawings/drawing34.xml?ContentType=application/vnd.openxmlformats-officedocument.drawing+xml">
        <DigestMethod Algorithm="http://www.w3.org/2001/04/xmlenc#sha256"/>
        <DigestValue>hJM8TSphcOa07Jlxi9oqrVw8Atz+JMkI6vtXjXq801s=</DigestValue>
      </Reference>
      <Reference URI="/xl/drawings/drawing35.xml?ContentType=application/vnd.openxmlformats-officedocument.drawing+xml">
        <DigestMethod Algorithm="http://www.w3.org/2001/04/xmlenc#sha256"/>
        <DigestValue>rvipdRBYh8wdEbU5tsHqe0orsEgGSsmjNktTJTD0By0=</DigestValue>
      </Reference>
      <Reference URI="/xl/drawings/drawing36.xml?ContentType=application/vnd.openxmlformats-officedocument.drawing+xml">
        <DigestMethod Algorithm="http://www.w3.org/2001/04/xmlenc#sha256"/>
        <DigestValue>NbdgzuCUc1yAjYv+2MdMJgujpBnpElglOvv+ITZ7Iig=</DigestValue>
      </Reference>
      <Reference URI="/xl/drawings/drawing37.xml?ContentType=application/vnd.openxmlformats-officedocument.drawing+xml">
        <DigestMethod Algorithm="http://www.w3.org/2001/04/xmlenc#sha256"/>
        <DigestValue>uVHNXQLzpolvz04GBkG4dx2a+jgdl9SE9fI8SZXFE1A=</DigestValue>
      </Reference>
      <Reference URI="/xl/drawings/drawing38.xml?ContentType=application/vnd.openxmlformats-officedocument.drawing+xml">
        <DigestMethod Algorithm="http://www.w3.org/2001/04/xmlenc#sha256"/>
        <DigestValue>9HQH+JemwXE+Os3rYT9HYXWX31GQxkwch31GKar0hN0=</DigestValue>
      </Reference>
      <Reference URI="/xl/drawings/drawing39.xml?ContentType=application/vnd.openxmlformats-officedocument.drawing+xml">
        <DigestMethod Algorithm="http://www.w3.org/2001/04/xmlenc#sha256"/>
        <DigestValue>ybYRCKK7uoc7jPa86A7DaMPElyuHsZQStyFXThweJnE=</DigestValue>
      </Reference>
      <Reference URI="/xl/drawings/drawing4.xml?ContentType=application/vnd.openxmlformats-officedocument.drawing+xml">
        <DigestMethod Algorithm="http://www.w3.org/2001/04/xmlenc#sha256"/>
        <DigestValue>pGKnUW0jkoJrB5ybcxCDoS4FvMalANj8EUqgiDLFs0o=</DigestValue>
      </Reference>
      <Reference URI="/xl/drawings/drawing5.xml?ContentType=application/vnd.openxmlformats-officedocument.drawing+xml">
        <DigestMethod Algorithm="http://www.w3.org/2001/04/xmlenc#sha256"/>
        <DigestValue>/THnCzP/k7BRydrmSdk8VxziETtHigOwLwm9hZutwX8=</DigestValue>
      </Reference>
      <Reference URI="/xl/drawings/drawing6.xml?ContentType=application/vnd.openxmlformats-officedocument.drawing+xml">
        <DigestMethod Algorithm="http://www.w3.org/2001/04/xmlenc#sha256"/>
        <DigestValue>bRKymH9q9L8zlYRnb7O6vjvbXBAPncqn7h8eBeM8JUk=</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V+yYuFh6EnhxGtUxP1awTvpb7X28p4+iTCO8cmSs2c4=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B4Q8N2zcbWojgCBNCXcBNM5QXqMCkXYTH6TMMCar42k=</DigestValue>
      </Reference>
      <Reference URI="/xl/printerSettings/printerSettings10.bin?ContentType=application/vnd.openxmlformats-officedocument.spreadsheetml.printerSettings">
        <DigestMethod Algorithm="http://www.w3.org/2001/04/xmlenc#sha256"/>
        <DigestValue>kcwqMr/zaJs6fqDV/XySQD8Ia+unjs14h0/Hj6eL39Q=</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ZAbJ27P/3jDUYtIXJsIue7Daei9lcjuzOAGWgXM9dN0=</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hOi9auu88MOhJVu5+E2APm2s+HXbGfwINgBKzhnwYPA=</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hOi9auu88MOhJVu5+E2APm2s+HXbGfwINgBKzhnwYPA=</DigestValue>
      </Reference>
      <Reference URI="/xl/printerSettings/printerSettings21.bin?ContentType=application/vnd.openxmlformats-officedocument.spreadsheetml.printerSettings">
        <DigestMethod Algorithm="http://www.w3.org/2001/04/xmlenc#sha256"/>
        <DigestValue>iesWx7GcTZIkSbOpVMRadbXiV30BRZGpZR+ZA+QIU+c=</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3iIArNJps9HpkpDcLOr8z230yUWZv1XesOHPXkjR8GI=</DigestValue>
      </Reference>
      <Reference URI="/xl/printerSettings/printerSettings27.bin?ContentType=application/vnd.openxmlformats-officedocument.spreadsheetml.printerSettings">
        <DigestMethod Algorithm="http://www.w3.org/2001/04/xmlenc#sha256"/>
        <DigestValue>hOi9auu88MOhJVu5+E2APm2s+HXbGfwINgBKzhnwYPA=</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rTYVv8Gal1CfjH/D/lMYWmWxEWpu3g77YYy5SnqITfI=</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Y6tiyYBETcxke1panLekhokdbd2uOU5uhfj/pBeOAG8=</DigestValue>
      </Reference>
      <Reference URI="/xl/printerSettings/printerSettings31.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iDHNTHpzY06/L3mgUST7Ha8zmKjtDr90B/u5Z/rQPno=</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Rhe+aYiduf1vnb7dQ7iijuAVNIWXADYsOlj2U9F5k3A=</DigestValue>
      </Reference>
      <Reference URI="/xl/styles.xml?ContentType=application/vnd.openxmlformats-officedocument.spreadsheetml.styles+xml">
        <DigestMethod Algorithm="http://www.w3.org/2001/04/xmlenc#sha256"/>
        <DigestValue>ibxAprfSlIblukKaj5rSxZYQp6/x8DinLfLmrx+8xMM=</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fOksBQ+WXEoVMA/WIAib48DgfWtOp/qnSyEhTtZXQRI=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CPlBUuX8iiTn2JkGLGLzYSykfNWlkwSteoNYnbZJabY=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/bcM6/z5v0GBK8K/0ZIEx38zxfQLjyxSCzFRtTgjO1s=</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yRcxBnRZ2sJAnZOlW93bs/jhAp6csNVHoMtPx5fhSSs=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WtzI6YyQVbOe41e8LbSohVCJMSowMkCEWmXCmaQdB2s=</DigestValue>
      </Reference>
      <Reference URI="/xl/worksheets/sheet10.xml?ContentType=application/vnd.openxmlformats-officedocument.spreadsheetml.worksheet+xml">
        <DigestMethod Algorithm="http://www.w3.org/2001/04/xmlenc#sha256"/>
        <DigestValue>kroikiITzCNmXxOs2p8ibsC+BoFQ9hMJyuPLATRtaJA=</DigestValue>
      </Reference>
      <Reference URI="/xl/worksheets/sheet11.xml?ContentType=application/vnd.openxmlformats-officedocument.spreadsheetml.worksheet+xml">
        <DigestMethod Algorithm="http://www.w3.org/2001/04/xmlenc#sha256"/>
        <DigestValue>xvlcKlDPUISbX/OzWMvT3LbnaZKxMuNcaoMPDdO9dWM=</DigestValue>
      </Reference>
      <Reference URI="/xl/worksheets/sheet12.xml?ContentType=application/vnd.openxmlformats-officedocument.spreadsheetml.worksheet+xml">
        <DigestMethod Algorithm="http://www.w3.org/2001/04/xmlenc#sha256"/>
        <DigestValue>l+wy5X8kkpfQ++vYoSJFLbVyeKpXr3hXv06XNt99eeg=</DigestValue>
      </Reference>
      <Reference URI="/xl/worksheets/sheet13.xml?ContentType=application/vnd.openxmlformats-officedocument.spreadsheetml.worksheet+xml">
        <DigestMethod Algorithm="http://www.w3.org/2001/04/xmlenc#sha256"/>
        <DigestValue>UM6GeayKBgRKvDm28WYw9FuYM4jGPMBa6oDHsa5n5as=</DigestValue>
      </Reference>
      <Reference URI="/xl/worksheets/sheet14.xml?ContentType=application/vnd.openxmlformats-officedocument.spreadsheetml.worksheet+xml">
        <DigestMethod Algorithm="http://www.w3.org/2001/04/xmlenc#sha256"/>
        <DigestValue>SI/7pbMIaCrWznX2EbVOvPVLwAoZ7U3BGycKuBHHW90=</DigestValue>
      </Reference>
      <Reference URI="/xl/worksheets/sheet15.xml?ContentType=application/vnd.openxmlformats-officedocument.spreadsheetml.worksheet+xml">
        <DigestMethod Algorithm="http://www.w3.org/2001/04/xmlenc#sha256"/>
        <DigestValue>9m3DmUHU1FQ7WBc9NKxWlyYLJS9zPdagJsbQ9876TL0=</DigestValue>
      </Reference>
      <Reference URI="/xl/worksheets/sheet16.xml?ContentType=application/vnd.openxmlformats-officedocument.spreadsheetml.worksheet+xml">
        <DigestMethod Algorithm="http://www.w3.org/2001/04/xmlenc#sha256"/>
        <DigestValue>/l7/e/e5YnhFCUTa/I+OqD8AHAQFcyq4CaM8uLx7WD4=</DigestValue>
      </Reference>
      <Reference URI="/xl/worksheets/sheet17.xml?ContentType=application/vnd.openxmlformats-officedocument.spreadsheetml.worksheet+xml">
        <DigestMethod Algorithm="http://www.w3.org/2001/04/xmlenc#sha256"/>
        <DigestValue>UbKjnvMVPyo1ydz3g3m+LsJYUkYA8I35Wq/jA77HRng=</DigestValue>
      </Reference>
      <Reference URI="/xl/worksheets/sheet18.xml?ContentType=application/vnd.openxmlformats-officedocument.spreadsheetml.worksheet+xml">
        <DigestMethod Algorithm="http://www.w3.org/2001/04/xmlenc#sha256"/>
        <DigestValue>c6JYaLTw+pbw/s4mPp6FNg8BAsSXwgnrtGuxc9CNA3w=</DigestValue>
      </Reference>
      <Reference URI="/xl/worksheets/sheet19.xml?ContentType=application/vnd.openxmlformats-officedocument.spreadsheetml.worksheet+xml">
        <DigestMethod Algorithm="http://www.w3.org/2001/04/xmlenc#sha256"/>
        <DigestValue>G2H8fsJRv2tdM/E911KF229JQFdZ8n7amOwxG2+DUE4=</DigestValue>
      </Reference>
      <Reference URI="/xl/worksheets/sheet2.xml?ContentType=application/vnd.openxmlformats-officedocument.spreadsheetml.worksheet+xml">
        <DigestMethod Algorithm="http://www.w3.org/2001/04/xmlenc#sha256"/>
        <DigestValue>yO9r0+SaBmF603koxHCDZXJrIQoVOte/t00Bv6IrYDg=</DigestValue>
      </Reference>
      <Reference URI="/xl/worksheets/sheet20.xml?ContentType=application/vnd.openxmlformats-officedocument.spreadsheetml.worksheet+xml">
        <DigestMethod Algorithm="http://www.w3.org/2001/04/xmlenc#sha256"/>
        <DigestValue>tzthjd5EekWj6K4PZSUhh0Tx87q7x1ZLxw1AhKY1/MM=</DigestValue>
      </Reference>
      <Reference URI="/xl/worksheets/sheet21.xml?ContentType=application/vnd.openxmlformats-officedocument.spreadsheetml.worksheet+xml">
        <DigestMethod Algorithm="http://www.w3.org/2001/04/xmlenc#sha256"/>
        <DigestValue>/AZkN8MxY7XmdU4fuCKQ59pdCq0Y+ov5jVyHF4lswNU=</DigestValue>
      </Reference>
      <Reference URI="/xl/worksheets/sheet22.xml?ContentType=application/vnd.openxmlformats-officedocument.spreadsheetml.worksheet+xml">
        <DigestMethod Algorithm="http://www.w3.org/2001/04/xmlenc#sha256"/>
        <DigestValue>qToGifAMGYyh1usO+stg4/6rrxYTq9IInfR6l8Ox04A=</DigestValue>
      </Reference>
      <Reference URI="/xl/worksheets/sheet23.xml?ContentType=application/vnd.openxmlformats-officedocument.spreadsheetml.worksheet+xml">
        <DigestMethod Algorithm="http://www.w3.org/2001/04/xmlenc#sha256"/>
        <DigestValue>bwG660zzw/IWv7XJRkuvK/hJcJxJK77CqJ2904jTfJ8=</DigestValue>
      </Reference>
      <Reference URI="/xl/worksheets/sheet24.xml?ContentType=application/vnd.openxmlformats-officedocument.spreadsheetml.worksheet+xml">
        <DigestMethod Algorithm="http://www.w3.org/2001/04/xmlenc#sha256"/>
        <DigestValue>gbeljyXFFwTePh5gbgk+Uo78R8k3tgNsK9EHI3f8xzM=</DigestValue>
      </Reference>
      <Reference URI="/xl/worksheets/sheet25.xml?ContentType=application/vnd.openxmlformats-officedocument.spreadsheetml.worksheet+xml">
        <DigestMethod Algorithm="http://www.w3.org/2001/04/xmlenc#sha256"/>
        <DigestValue>6PgXXvUt3A9NhGXRdJJAgR/qGaJ+h55U+naOteQK7TU=</DigestValue>
      </Reference>
      <Reference URI="/xl/worksheets/sheet26.xml?ContentType=application/vnd.openxmlformats-officedocument.spreadsheetml.worksheet+xml">
        <DigestMethod Algorithm="http://www.w3.org/2001/04/xmlenc#sha256"/>
        <DigestValue>QJXNeLq0NvnLcUm7YcR6CWwxWdkXGBlN7/8JvF9B+Rs=</DigestValue>
      </Reference>
      <Reference URI="/xl/worksheets/sheet27.xml?ContentType=application/vnd.openxmlformats-officedocument.spreadsheetml.worksheet+xml">
        <DigestMethod Algorithm="http://www.w3.org/2001/04/xmlenc#sha256"/>
        <DigestValue>bOi6htULhiy3nskqqY+NmmF0OBJwNQq/E+otYjSs+l0=</DigestValue>
      </Reference>
      <Reference URI="/xl/worksheets/sheet28.xml?ContentType=application/vnd.openxmlformats-officedocument.spreadsheetml.worksheet+xml">
        <DigestMethod Algorithm="http://www.w3.org/2001/04/xmlenc#sha256"/>
        <DigestValue>jtGY95ii4KzQXHKRPuSo/xcwqocvHE02agBHQKndihk=</DigestValue>
      </Reference>
      <Reference URI="/xl/worksheets/sheet29.xml?ContentType=application/vnd.openxmlformats-officedocument.spreadsheetml.worksheet+xml">
        <DigestMethod Algorithm="http://www.w3.org/2001/04/xmlenc#sha256"/>
        <DigestValue>hex1FQ251yKMPJdi5ni6TX13G9G21oedHMhjVDfjWdY=</DigestValue>
      </Reference>
      <Reference URI="/xl/worksheets/sheet3.xml?ContentType=application/vnd.openxmlformats-officedocument.spreadsheetml.worksheet+xml">
        <DigestMethod Algorithm="http://www.w3.org/2001/04/xmlenc#sha256"/>
        <DigestValue>Ziv0MerKIx8aU8Lv03sqToMt2zBmhiRVJ3rX8ggVH+c=</DigestValue>
      </Reference>
      <Reference URI="/xl/worksheets/sheet30.xml?ContentType=application/vnd.openxmlformats-officedocument.spreadsheetml.worksheet+xml">
        <DigestMethod Algorithm="http://www.w3.org/2001/04/xmlenc#sha256"/>
        <DigestValue>v4ZqydxhCPoHh3N6kyncezXds94T8NO960t99P0kJ7c=</DigestValue>
      </Reference>
      <Reference URI="/xl/worksheets/sheet31.xml?ContentType=application/vnd.openxmlformats-officedocument.spreadsheetml.worksheet+xml">
        <DigestMethod Algorithm="http://www.w3.org/2001/04/xmlenc#sha256"/>
        <DigestValue>UorpQJFQbDIKu+TQ4j/5nDpnKf4JvpXT84aTo2YLLxo=</DigestValue>
      </Reference>
      <Reference URI="/xl/worksheets/sheet32.xml?ContentType=application/vnd.openxmlformats-officedocument.spreadsheetml.worksheet+xml">
        <DigestMethod Algorithm="http://www.w3.org/2001/04/xmlenc#sha256"/>
        <DigestValue>Hg8TNgyz/yTK9Xwe2Gn3QouqScHH4iLnK0N9waepts4=</DigestValue>
      </Reference>
      <Reference URI="/xl/worksheets/sheet33.xml?ContentType=application/vnd.openxmlformats-officedocument.spreadsheetml.worksheet+xml">
        <DigestMethod Algorithm="http://www.w3.org/2001/04/xmlenc#sha256"/>
        <DigestValue>r5APYdyoeXY4zqwukqvY7Vym4kU9PAz1BvI6wT//xbE=</DigestValue>
      </Reference>
      <Reference URI="/xl/worksheets/sheet34.xml?ContentType=application/vnd.openxmlformats-officedocument.spreadsheetml.worksheet+xml">
        <DigestMethod Algorithm="http://www.w3.org/2001/04/xmlenc#sha256"/>
        <DigestValue>JjnlwpA2DbdSbGrqs5tO1NxXdKQhZgpqiODCxFXL09I=</DigestValue>
      </Reference>
      <Reference URI="/xl/worksheets/sheet35.xml?ContentType=application/vnd.openxmlformats-officedocument.spreadsheetml.worksheet+xml">
        <DigestMethod Algorithm="http://www.w3.org/2001/04/xmlenc#sha256"/>
        <DigestValue>lnOHOfTvH6ergKwmyv3Nx4Ckxz8txcDP4i/TgiI/Ka4=</DigestValue>
      </Reference>
      <Reference URI="/xl/worksheets/sheet36.xml?ContentType=application/vnd.openxmlformats-officedocument.spreadsheetml.worksheet+xml">
        <DigestMethod Algorithm="http://www.w3.org/2001/04/xmlenc#sha256"/>
        <DigestValue>YHTngmra3DXQFMNwUApCUIAoUjUSGUL2cLAo8/9IQdI=</DigestValue>
      </Reference>
      <Reference URI="/xl/worksheets/sheet37.xml?ContentType=application/vnd.openxmlformats-officedocument.spreadsheetml.worksheet+xml">
        <DigestMethod Algorithm="http://www.w3.org/2001/04/xmlenc#sha256"/>
        <DigestValue>lUKA7Fi4UouA0myYaRlZZ9h5MhDpvdETgRe2g219pJI=</DigestValue>
      </Reference>
      <Reference URI="/xl/worksheets/sheet38.xml?ContentType=application/vnd.openxmlformats-officedocument.spreadsheetml.worksheet+xml">
        <DigestMethod Algorithm="http://www.w3.org/2001/04/xmlenc#sha256"/>
        <DigestValue>QZC7Lq4ZTT8R3M/RE36comoc2PR4TrdsvMFUAXrnoR0=</DigestValue>
      </Reference>
      <Reference URI="/xl/worksheets/sheet39.xml?ContentType=application/vnd.openxmlformats-officedocument.spreadsheetml.worksheet+xml">
        <DigestMethod Algorithm="http://www.w3.org/2001/04/xmlenc#sha256"/>
        <DigestValue>p3TEvU/ph3BVEWObHogpkqdSH35m3DXeuny9lt3fXaw=</DigestValue>
      </Reference>
      <Reference URI="/xl/worksheets/sheet4.xml?ContentType=application/vnd.openxmlformats-officedocument.spreadsheetml.worksheet+xml">
        <DigestMethod Algorithm="http://www.w3.org/2001/04/xmlenc#sha256"/>
        <DigestValue>Dz5fb6CSKM9oYG4Ohz9F5M6zpz9NLtEPDyrDtZenE+Q=</DigestValue>
      </Reference>
      <Reference URI="/xl/worksheets/sheet40.xml?ContentType=application/vnd.openxmlformats-officedocument.spreadsheetml.worksheet+xml">
        <DigestMethod Algorithm="http://www.w3.org/2001/04/xmlenc#sha256"/>
        <DigestValue>vuuO6W/GKjTI7dsY8BqfT5tB7/E9loPQKREfa0JW9EU=</DigestValue>
      </Reference>
      <Reference URI="/xl/worksheets/sheet41.xml?ContentType=application/vnd.openxmlformats-officedocument.spreadsheetml.worksheet+xml">
        <DigestMethod Algorithm="http://www.w3.org/2001/04/xmlenc#sha256"/>
        <DigestValue>TF8SGP4KMBeirzvPZdTsLag/jvCg5BCqQiEgdeScRxY=</DigestValue>
      </Reference>
      <Reference URI="/xl/worksheets/sheet42.xml?ContentType=application/vnd.openxmlformats-officedocument.spreadsheetml.worksheet+xml">
        <DigestMethod Algorithm="http://www.w3.org/2001/04/xmlenc#sha256"/>
        <DigestValue>f1Kb52+so3toArDN1/wEeXnGPVxmlPFcwpAgQKVqS7s=</DigestValue>
      </Reference>
      <Reference URI="/xl/worksheets/sheet43.xml?ContentType=application/vnd.openxmlformats-officedocument.spreadsheetml.worksheet+xml">
        <DigestMethod Algorithm="http://www.w3.org/2001/04/xmlenc#sha256"/>
        <DigestValue>0uF4d8MCxtnwhQqbL52bHPea8DJvcvT//w/9KM+V3WI=</DigestValue>
      </Reference>
      <Reference URI="/xl/worksheets/sheet44.xml?ContentType=application/vnd.openxmlformats-officedocument.spreadsheetml.worksheet+xml">
        <DigestMethod Algorithm="http://www.w3.org/2001/04/xmlenc#sha256"/>
        <DigestValue>fRwTXHhKOuuvQEkprqLOW67+6im98qTLzh87o7VfJ14=</DigestValue>
      </Reference>
      <Reference URI="/xl/worksheets/sheet45.xml?ContentType=application/vnd.openxmlformats-officedocument.spreadsheetml.worksheet+xml">
        <DigestMethod Algorithm="http://www.w3.org/2001/04/xmlenc#sha256"/>
        <DigestValue>ZIevaRz+Np8klWtOd7OUk2+KRxKV6qnpk/pbxOJ4dNk=</DigestValue>
      </Reference>
      <Reference URI="/xl/worksheets/sheet46.xml?ContentType=application/vnd.openxmlformats-officedocument.spreadsheetml.worksheet+xml">
        <DigestMethod Algorithm="http://www.w3.org/2001/04/xmlenc#sha256"/>
        <DigestValue>EoHhHCil580/J9C8SpoMnFW+cc4w3WoeZ3VJoGT7cUM=</DigestValue>
      </Reference>
      <Reference URI="/xl/worksheets/sheet47.xml?ContentType=application/vnd.openxmlformats-officedocument.spreadsheetml.worksheet+xml">
        <DigestMethod Algorithm="http://www.w3.org/2001/04/xmlenc#sha256"/>
        <DigestValue>1rk3BbQWY6zyqFKKcW5FQNUZcHbj6LN8hZ50dCCfxO0=</DigestValue>
      </Reference>
      <Reference URI="/xl/worksheets/sheet48.xml?ContentType=application/vnd.openxmlformats-officedocument.spreadsheetml.worksheet+xml">
        <DigestMethod Algorithm="http://www.w3.org/2001/04/xmlenc#sha256"/>
        <DigestValue>YSA7Z4AK4GoLQSJRH2sjfR0ocZWtKvBaLIqIaccW4ic=</DigestValue>
      </Reference>
      <Reference URI="/xl/worksheets/sheet49.xml?ContentType=application/vnd.openxmlformats-officedocument.spreadsheetml.worksheet+xml">
        <DigestMethod Algorithm="http://www.w3.org/2001/04/xmlenc#sha256"/>
        <DigestValue>bgr6+A91MAoCdWtmNlldDzUv7iSUyP93GuShC+YGDak=</DigestValue>
      </Reference>
      <Reference URI="/xl/worksheets/sheet5.xml?ContentType=application/vnd.openxmlformats-officedocument.spreadsheetml.worksheet+xml">
        <DigestMethod Algorithm="http://www.w3.org/2001/04/xmlenc#sha256"/>
        <DigestValue>/Ve+8dtWRfDCdGQH1ttUX3i3HaMWCQ9S9YT4yeds5UI=</DigestValue>
      </Reference>
      <Reference URI="/xl/worksheets/sheet50.xml?ContentType=application/vnd.openxmlformats-officedocument.spreadsheetml.worksheet+xml">
        <DigestMethod Algorithm="http://www.w3.org/2001/04/xmlenc#sha256"/>
        <DigestValue>gXcS5ya/kvS54OTxyjBj2LyvRA7hl9M5Hiff1kdw+EU=</DigestValue>
      </Reference>
      <Reference URI="/xl/worksheets/sheet6.xml?ContentType=application/vnd.openxmlformats-officedocument.spreadsheetml.worksheet+xml">
        <DigestMethod Algorithm="http://www.w3.org/2001/04/xmlenc#sha256"/>
        <DigestValue>XPsmeJ6tsrSyFlFBgFCT3QxgouH9I1RnKT/J0dVMUSk=</DigestValue>
      </Reference>
      <Reference URI="/xl/worksheets/sheet7.xml?ContentType=application/vnd.openxmlformats-officedocument.spreadsheetml.worksheet+xml">
        <DigestMethod Algorithm="http://www.w3.org/2001/04/xmlenc#sha256"/>
        <DigestValue>c/XB4sHgba1hCiipM1s8cIpm72PveD1DtzIT9mH24bE=</DigestValue>
      </Reference>
      <Reference URI="/xl/worksheets/sheet8.xml?ContentType=application/vnd.openxmlformats-officedocument.spreadsheetml.worksheet+xml">
        <DigestMethod Algorithm="http://www.w3.org/2001/04/xmlenc#sha256"/>
        <DigestValue>CEVCyL0lvzAnpJJKBjXEF/QOxjKbK7VnUSOei7TNGXw=</DigestValue>
      </Reference>
      <Reference URI="/xl/worksheets/sheet9.xml?ContentType=application/vnd.openxmlformats-officedocument.spreadsheetml.worksheet+xml">
        <DigestMethod Algorithm="http://www.w3.org/2001/04/xmlenc#sha256"/>
        <DigestValue>7602VYmrAiED4ALQXVzekOxWQVoGJ37QFVIjgWNWk8c=</DigestValue>
      </Reference>
    </Manifest>
    <SignatureProperties>
      <SignatureProperty Id="idSignatureTime" Target="#idPackageSignature">
        <mdssi:SignatureTime xmlns:mdssi="http://schemas.openxmlformats.org/package/2006/digital-signature">
          <mdssi:Format>YYYY-MM-DDThh:mm:ssTZD</mdssi:Format>
          <mdssi:Value>2021-03-04T14:37:34Z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ANUAL CNV BVPASA 2020</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2021-03-04T14:37:34Z</xd:SigningTime>
          <xd:SigningCertificate>
            <xd:Cert>
              <xd:CertDigest>
                <DigestMethod Algorithm="http://www.w3.org/2001/04/xmlenc#sha256"/>
                <DigestValue>R8/zfQFX/37b4rZ66wYmqf07IZXFunWKCQiVM7YA49c=</DigestValue>
              </xd:CertDigest>
              <xd:IssuerSerial>
                <X509IssuerName>CN=CA-CODE100 S.A., C=PY, O=CODE100 S.A., SERIALNUMBER=RUC 80080610-7</X509IssuerName>
                <X509SerialNumber>2051668580383362021505273554942701475089879203</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ANUAL CNV BVPASA 2020</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8NKAj0NSsAihURP3caL4XeAUrW2xlJfPdQkSU9XDDGo=</DigestValue>
    </Reference>
    <Reference Type="http://www.w3.org/2000/09/xmldsig#Object" URI="#idOfficeObject">
      <DigestMethod Algorithm="http://www.w3.org/2001/04/xmlenc#sha256"/>
      <DigestValue>umhNDC3HgOcUYiRF9AISnRDRwOtigeUd+VUmXavqlCQ=</DigestValue>
    </Reference>
    <Reference Type="http://uri.etsi.org/01903#SignedProperties" URI="#idSignedProperties">
      <Transforms>
        <Transform Algorithm="http://www.w3.org/TR/2001/REC-xml-c14n-20010315"/>
      </Transforms>
      <DigestMethod Algorithm="http://www.w3.org/2001/04/xmlenc#sha256"/>
      <DigestValue>boQ6ITO/s3Z3ytBqqccGrnNvy8xE/RX5w5OderuDsao=</DigestValue>
    </Reference>
  </SignedInfo>
  <SignatureValue>fI0pHXVB1ok3s3dqevQVJ9r5snUsRwUGlWsXz6ghjeWv07XpGwUVR29rE5U0EPjIHahHCxRikMMF
sMLMPV/DtjLWYFKsXKx0yt9d2A3mLDuriOQdsvzECQSZFKB3ahdamUa0Iqxy0oMjOeIx9FNXRvRi
pH6Vqd7nuuINRN0+E0LM/sHuUNxXEUGbHL+BiR921XuccYWX7Vh2nyXU2HN9d69sQLrpx7vhxaTw
gEibrOV5f11RWKj/aalybVUBOqAkK7cIjAtym4RkvqyesXRj3Jgrp0iSfJyZvUXy9Lb22sSQQ4+T
voJhVRSz4bJBaionrWeFgiRRfRzK19PVCBhiXA==</SignatureValue>
  <KeyInfo>
    <X509Data>
      <X509Certificate>MIIIBTCCBe2gAwIBAgITXAAAEKQRYIrpEDl4kwAAAAAQpDANBgkqhkiG9w0BAQsFADBXMRcwFQYDVQQFEw5SVUMgODAwODA2MTAtNzEVMBMGA1UEChMMQ09ERTEwMCBTLkEuMQswCQYDVQQGEwJQWTEYMBYGA1UEAxMPQ0EtQ09ERTEwMCBTLkEuMB4XDTE5MDQwNDE3MDk0N1oXDTIxMDQwNDE3MDk0N1owgaExIzAhBgNVBAMTGkFOQSBHUklTRUxEQSBHT01FWiBERUxHQURPMRcwFQYDVQQKEw5QRVJTT05BIEZJU0lDQTELMAkGA1UEBhMCUFkxFTATBgNVBCoTDEFOQSBHUklTRUxEQTEWMBQGA1UEBBMNR09NRVogREVMR0FETzESMBAGA1UEBRMJQ0kzOTE4MTM4MREwDwYDVQQLEwhGSVJNQSBGMjCCASIwDQYJKoZIhvcNAQEBBQADggEPADCCAQoCggEBALbXlCz8s+uzFWRelVnGA/LvI+qSWdDM5G+caQMVYt6TR0mFF5ziEw34hZnQolbYgsKGHlVSySGKbFk8vsp+lrP7tzWJ6P5ZX257HCFFGGJ78LacxvKNZ3Mg8obt1OagROcPRlAhsn3RxfYK8h+p6iLBsTFATID8q6LE92P3ACikUGlNbVbl2juTBZisiww97Ac19jXCW2fWWfjFMO7JQIqXmJKsnU12qfuF3Y46G/7DjiiuHqu/DfmGD3lw8OpUm6JO21L+sZdVc2qRuA6LcSG/TIFGxKPJXpz/HW2RFl4tgLsATpob00Fvp/TAFNN0iRqpSvBazBggIko7gAB9yIsCAwEAAaOCA30wggN5MA4GA1UdDwEB/wQEAwIF4DAMBgNVHRMBAf8EAjAAMCAGA1UdJQEB/wQWMBQGCCsGAQUFBwMCBggrBgEFBQcDBDAdBgNVHQ4EFgQUq675eJotfbj4hz9oFANWFOqf0/MwHwYDVR0jBBgwFoAUJ/baOwt/k/hZEtAVqkLPspaWPUUwgYgGA1UdHwSBgDB+MHygeqB4hjpodHRwOi8vY2ExLmNvZGUxMDAuY29tLnB5L2Zpcm1hLWRpZ2l0YWwvY3JsL0NBLUNPREUxMDAuY3JshjpodHRwOi8vY2EyLmNvZGUxMDAuY29tLnB5L2Zpcm1hLWRpZ2l0YWwvY3JsL0NBLUNPREUxMDAuY3JsMIH4BggrBgEFBQcBAQSB6zCB6DBGBggrBgEFBQcwAoY6aHR0cDovL2NhMS5jb2RlMTAwLmNvbS5weS9maXJtYS1kaWdpdGFsL2Nlci9DQS1DT0RFMTAwLmNlcjBGBggrBgEFBQcwAoY6aHR0cDovL2NhMi5jb2RlMTAwLmNvbS5weS9maXJtYS1kaWdpdGFsL2Nlci9DQS1DT0RFMTAwLmNlcjAqBggrBgEFBQcwAYYeaHR0cDovL2NhMS5jb2RlMTAwLmNvbS5weS9vY3NwMCoGCCsGAQUFBzABhh5odHRwOi8vY2EyLmNvZGUxMDAuY29tLnB5L29jc3AwggFPBgNVHSAEggFGMIIBQjCCAT4GDCsGAQQBgtlKAQEBBjCCASwwbAYIKwYBBQUHAgEWYGh0dHA6Ly93d3cuY29kZTEwMC5jb20ucHkvZmlybWEtZGlnaXRhbC9DT0RFMTAwJTIwUG9saXRpY2ElMjBkZSUyMENlcnRpZmljYWNpb24lMjBGMiUyMHYyLjAucGRmADBmBggrBgEFBQcCAjBaHlgAUABvAGwAaQB0AGkAYwBhACAAZABlACAAYwBlAHIAdABpAGYAaQBjAGEAYwBpAG8AbgAgAEYAMgAgAGQAZQAgAEMAbwBkAGUAMQAwADAAIABTAC4AQQAuMFQGCCsGAQUFBwICMEgeRgBDAG8AZABlACAAMQAwADAAIABTAC4AQQAuACAAQwBlAHIAdABpAGYAaQBjAGEAdABlACAAUABvAGwAaQBjAHkAIABGADIwHgYDVR0RBBcwFYETREZMRUlUQVNATUJCLkNPTS5QWTANBgkqhkiG9w0BAQsFAAOCAgEAc5viiiFHuQPQ9pP0uquhXOlkOzHQLXmtij2iDmrqnohlKg4jSL+Q2aidTsN0Z1SDAalNztYQixZznkBD2hB+nMS7SLpNExMaxI7JJ0eCi9TVfJiF2mneTaCZDhElmWWZUt+9F8PoeCRFTH1y93C4+sx8UCkWzGytYE4i5zgEmjkBvGrh5X+iZTzBD+aCmNcfb1xas+zNZW+lmtRgCpmWPdWxicbgR21Y4kmM9x7IwIiWGc5gH9AdyZ551w/Hjry8HxsS8ki5gcpVa3hdbZvzhNP7M13zLreIBoA8YEMGjMEvEoDI2obtaoP03ePk/jV5EFn74KWXGNMZ1yS/JAwZv4z36OADRHoA0lFwv4zqD/f/ktEaSeie6gqA5dm7c5Z8ABJGoOPVYI5xlKArcV2XzgENwQV1j0VMUH2A0vJY5kITRgyZakyCUKoGJLaKv55yjkFtwk35l5eT6X291LutFAatH4sWKY3tmUNPs7+ijj+G6q++6kcLJbM9Znol1x1/MhihS31Of/eA98HFbW+y0dk+xZiLD3bfLK8lxIHf+DgXWGJ3vOLYdg36qRQ63MqtWolmFiXY6V+EtE0lM03976g3avTOwLv9mkCTFFhh0VlxSo/ioYNK6Rzo5/nRY6nqAqQqqedt9xfs+nmdy6njS8WDyUG1sAYuyePTC9J8h9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rwQ8NNLfeIV0Svl5z/6GsN77Iuxc2NJX6WcSybAdBws=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zcvWX2nBR8vsLpugaQRi4/TTtq/43ce7yNEn7/+PY68=</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JqGz6vLWGozlzUjSd45hVXUTBLSksV7wQmLs+NumxEI=</DigestValue>
      </Reference>
      <Reference URI="/xl/drawings/drawing12.xml?ContentType=application/vnd.openxmlformats-officedocument.drawing+xml">
        <DigestMethod Algorithm="http://www.w3.org/2001/04/xmlenc#sha256"/>
        <DigestValue>XFm/Q85fRuBALJ29hVB+GpBut3jPRDCQ6OR7lM6s/Z4=</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ifLvntU11Ychi1lvdrvq6Chv+lBX8Cjo1JwgAVcRJrY=</DigestValue>
      </Reference>
      <Reference URI="/xl/drawings/drawing15.xml?ContentType=application/vnd.openxmlformats-officedocument.drawing+xml">
        <DigestMethod Algorithm="http://www.w3.org/2001/04/xmlenc#sha256"/>
        <DigestValue>JIAKT99zi9FI/4KXwuXrMlVdAHpbfZpyMu6lYRzSp1o=</DigestValue>
      </Reference>
      <Reference URI="/xl/drawings/drawing16.xml?ContentType=application/vnd.openxmlformats-officedocument.drawing+xml">
        <DigestMethod Algorithm="http://www.w3.org/2001/04/xmlenc#sha256"/>
        <DigestValue>XnTLmYWGevXmznAxnbciFqckyfijj39WaKb7+tRjxAY=</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5b+fCINz8XXemHeYqx/JI4peNFY1yuZjiUYOaSt7ay4=</DigestValue>
      </Reference>
      <Reference URI="/xl/drawings/drawing19.xml?ContentType=application/vnd.openxmlformats-officedocument.drawing+xml">
        <DigestMethod Algorithm="http://www.w3.org/2001/04/xmlenc#sha256"/>
        <DigestValue>mypGDIrqT5eULnXutXvy5YQm4JowMuZlh5rEhT36afw=</DigestValue>
      </Reference>
      <Reference URI="/xl/drawings/drawing2.xml?ContentType=application/vnd.openxmlformats-officedocument.drawing+xml">
        <DigestMethod Algorithm="http://www.w3.org/2001/04/xmlenc#sha256"/>
        <DigestValue>73Zma9GTY/Qbhr4LLYfSg3KmjSlRc6MUmtm6nDso0aI=</DigestValue>
      </Reference>
      <Reference URI="/xl/drawings/drawing20.xml?ContentType=application/vnd.openxmlformats-officedocument.drawing+xml">
        <DigestMethod Algorithm="http://www.w3.org/2001/04/xmlenc#sha256"/>
        <DigestValue>oxbqSSHDH6D8DSP3lEC5r2AAF55yPkvh8/cLarO9r6w=</DigestValue>
      </Reference>
      <Reference URI="/xl/drawings/drawing21.xml?ContentType=application/vnd.openxmlformats-officedocument.drawing+xml">
        <DigestMethod Algorithm="http://www.w3.org/2001/04/xmlenc#sha256"/>
        <DigestValue>QFqTPcllDj77qOUmNGp4GKnpXBf8+WMWcuMVOXseL+Y=</DigestValue>
      </Reference>
      <Reference URI="/xl/drawings/drawing22.xml?ContentType=application/vnd.openxmlformats-officedocument.drawing+xml">
        <DigestMethod Algorithm="http://www.w3.org/2001/04/xmlenc#sha256"/>
        <DigestValue>SMDHJCN7+artZs+YuVFkWAKm8tgJeUGORSHL8qtVvAc=</DigestValue>
      </Reference>
      <Reference URI="/xl/drawings/drawing23.xml?ContentType=application/vnd.openxmlformats-officedocument.drawing+xml">
        <DigestMethod Algorithm="http://www.w3.org/2001/04/xmlenc#sha256"/>
        <DigestValue>NKJVA/OlP1rilFR3HqMN41HJapoKDwrT7sAsTRf4x64=</DigestValue>
      </Reference>
      <Reference URI="/xl/drawings/drawing24.xml?ContentType=application/vnd.openxmlformats-officedocument.drawing+xml">
        <DigestMethod Algorithm="http://www.w3.org/2001/04/xmlenc#sha256"/>
        <DigestValue>ihI8Kp6ToGTxD/LnLcLtHe7RW5DVoqJCoSAdnZmncac=</DigestValue>
      </Reference>
      <Reference URI="/xl/drawings/drawing25.xml?ContentType=application/vnd.openxmlformats-officedocument.drawing+xml">
        <DigestMethod Algorithm="http://www.w3.org/2001/04/xmlenc#sha256"/>
        <DigestValue>PFGhj3wZifggbiRrv0L5KLxtDQZM47N4wL2p6cPBJ7c=</DigestValue>
      </Reference>
      <Reference URI="/xl/drawings/drawing26.xml?ContentType=application/vnd.openxmlformats-officedocument.drawing+xml">
        <DigestMethod Algorithm="http://www.w3.org/2001/04/xmlenc#sha256"/>
        <DigestValue>OouycOmReoGrecmOlqWk7hYfKAJAfnpu3j9PggvdJB0=</DigestValue>
      </Reference>
      <Reference URI="/xl/drawings/drawing27.xml?ContentType=application/vnd.openxmlformats-officedocument.drawing+xml">
        <DigestMethod Algorithm="http://www.w3.org/2001/04/xmlenc#sha256"/>
        <DigestValue>UTaTqn99wkwplVyxHeEGgwqQM6smH71jck54oHbzljw=</DigestValue>
      </Reference>
      <Reference URI="/xl/drawings/drawing28.xml?ContentType=application/vnd.openxmlformats-officedocument.drawing+xml">
        <DigestMethod Algorithm="http://www.w3.org/2001/04/xmlenc#sha256"/>
        <DigestValue>t2+uI+REghiaQDE+YceH1aEqNfgLVR2GfeCb+67oGRs=</DigestValue>
      </Reference>
      <Reference URI="/xl/drawings/drawing29.xml?ContentType=application/vnd.openxmlformats-officedocument.drawing+xml">
        <DigestMethod Algorithm="http://www.w3.org/2001/04/xmlenc#sha256"/>
        <DigestValue>mos9Pw0w6gf7i7e/NqsauHlDKzewhLWDwGOWi/E42AU=</DigestValue>
      </Reference>
      <Reference URI="/xl/drawings/drawing3.xml?ContentType=application/vnd.openxmlformats-officedocument.drawing+xml">
        <DigestMethod Algorithm="http://www.w3.org/2001/04/xmlenc#sha256"/>
        <DigestValue>+lYmgjiFQYCAS4gc4swzbXEeGH1zNwYtufvmFlNmaWs=</DigestValue>
      </Reference>
      <Reference URI="/xl/drawings/drawing30.xml?ContentType=application/vnd.openxmlformats-officedocument.drawing+xml">
        <DigestMethod Algorithm="http://www.w3.org/2001/04/xmlenc#sha256"/>
        <DigestValue>7aNBCfDh92+Bh1BAkrWa8Jbcx8hLYgb0dL2jNpkG/2w=</DigestValue>
      </Reference>
      <Reference URI="/xl/drawings/drawing31.xml?ContentType=application/vnd.openxmlformats-officedocument.drawing+xml">
        <DigestMethod Algorithm="http://www.w3.org/2001/04/xmlenc#sha256"/>
        <DigestValue>s90PtH/P6qachG2l9eVWeC2x2vqtjuyssZnZywrUGHs=</DigestValue>
      </Reference>
      <Reference URI="/xl/drawings/drawing32.xml?ContentType=application/vnd.openxmlformats-officedocument.drawing+xml">
        <DigestMethod Algorithm="http://www.w3.org/2001/04/xmlenc#sha256"/>
        <DigestValue>IXO3rSB+JSyFCx9YlryoDaVFlJDBFKslB+GFpU5msxY=</DigestValue>
      </Reference>
      <Reference URI="/xl/drawings/drawing33.xml?ContentType=application/vnd.openxmlformats-officedocument.drawing+xml">
        <DigestMethod Algorithm="http://www.w3.org/2001/04/xmlenc#sha256"/>
        <DigestValue>zIyq6l2g6I8/Wj4NyjHaMBO7qTQS/FXfc26ZK6T+jS0=</DigestValue>
      </Reference>
      <Reference URI="/xl/drawings/drawing34.xml?ContentType=application/vnd.openxmlformats-officedocument.drawing+xml">
        <DigestMethod Algorithm="http://www.w3.org/2001/04/xmlenc#sha256"/>
        <DigestValue>hJM8TSphcOa07Jlxi9oqrVw8Atz+JMkI6vtXjXq801s=</DigestValue>
      </Reference>
      <Reference URI="/xl/drawings/drawing35.xml?ContentType=application/vnd.openxmlformats-officedocument.drawing+xml">
        <DigestMethod Algorithm="http://www.w3.org/2001/04/xmlenc#sha256"/>
        <DigestValue>rvipdRBYh8wdEbU5tsHqe0orsEgGSsmjNktTJTD0By0=</DigestValue>
      </Reference>
      <Reference URI="/xl/drawings/drawing36.xml?ContentType=application/vnd.openxmlformats-officedocument.drawing+xml">
        <DigestMethod Algorithm="http://www.w3.org/2001/04/xmlenc#sha256"/>
        <DigestValue>NbdgzuCUc1yAjYv+2MdMJgujpBnpElglOvv+ITZ7Iig=</DigestValue>
      </Reference>
      <Reference URI="/xl/drawings/drawing37.xml?ContentType=application/vnd.openxmlformats-officedocument.drawing+xml">
        <DigestMethod Algorithm="http://www.w3.org/2001/04/xmlenc#sha256"/>
        <DigestValue>uVHNXQLzpolvz04GBkG4dx2a+jgdl9SE9fI8SZXFE1A=</DigestValue>
      </Reference>
      <Reference URI="/xl/drawings/drawing38.xml?ContentType=application/vnd.openxmlformats-officedocument.drawing+xml">
        <DigestMethod Algorithm="http://www.w3.org/2001/04/xmlenc#sha256"/>
        <DigestValue>9HQH+JemwXE+Os3rYT9HYXWX31GQxkwch31GKar0hN0=</DigestValue>
      </Reference>
      <Reference URI="/xl/drawings/drawing39.xml?ContentType=application/vnd.openxmlformats-officedocument.drawing+xml">
        <DigestMethod Algorithm="http://www.w3.org/2001/04/xmlenc#sha256"/>
        <DigestValue>ybYRCKK7uoc7jPa86A7DaMPElyuHsZQStyFXThweJnE=</DigestValue>
      </Reference>
      <Reference URI="/xl/drawings/drawing4.xml?ContentType=application/vnd.openxmlformats-officedocument.drawing+xml">
        <DigestMethod Algorithm="http://www.w3.org/2001/04/xmlenc#sha256"/>
        <DigestValue>pGKnUW0jkoJrB5ybcxCDoS4FvMalANj8EUqgiDLFs0o=</DigestValue>
      </Reference>
      <Reference URI="/xl/drawings/drawing5.xml?ContentType=application/vnd.openxmlformats-officedocument.drawing+xml">
        <DigestMethod Algorithm="http://www.w3.org/2001/04/xmlenc#sha256"/>
        <DigestValue>/THnCzP/k7BRydrmSdk8VxziETtHigOwLwm9hZutwX8=</DigestValue>
      </Reference>
      <Reference URI="/xl/drawings/drawing6.xml?ContentType=application/vnd.openxmlformats-officedocument.drawing+xml">
        <DigestMethod Algorithm="http://www.w3.org/2001/04/xmlenc#sha256"/>
        <DigestValue>bRKymH9q9L8zlYRnb7O6vjvbXBAPncqn7h8eBeM8JUk=</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V+yYuFh6EnhxGtUxP1awTvpb7X28p4+iTCO8cmSs2c4=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B4Q8N2zcbWojgCBNCXcBNM5QXqMCkXYTH6TMMCar42k=</DigestValue>
      </Reference>
      <Reference URI="/xl/printerSettings/printerSettings10.bin?ContentType=application/vnd.openxmlformats-officedocument.spreadsheetml.printerSettings">
        <DigestMethod Algorithm="http://www.w3.org/2001/04/xmlenc#sha256"/>
        <DigestValue>kcwqMr/zaJs6fqDV/XySQD8Ia+unjs14h0/Hj6eL39Q=</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ZAbJ27P/3jDUYtIXJsIue7Daei9lcjuzOAGWgXM9dN0=</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hOi9auu88MOhJVu5+E2APm2s+HXbGfwINgBKzhnwYPA=</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hOi9auu88MOhJVu5+E2APm2s+HXbGfwINgBKzhnwYPA=</DigestValue>
      </Reference>
      <Reference URI="/xl/printerSettings/printerSettings21.bin?ContentType=application/vnd.openxmlformats-officedocument.spreadsheetml.printerSettings">
        <DigestMethod Algorithm="http://www.w3.org/2001/04/xmlenc#sha256"/>
        <DigestValue>iesWx7GcTZIkSbOpVMRadbXiV30BRZGpZR+ZA+QIU+c=</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3iIArNJps9HpkpDcLOr8z230yUWZv1XesOHPXkjR8GI=</DigestValue>
      </Reference>
      <Reference URI="/xl/printerSettings/printerSettings27.bin?ContentType=application/vnd.openxmlformats-officedocument.spreadsheetml.printerSettings">
        <DigestMethod Algorithm="http://www.w3.org/2001/04/xmlenc#sha256"/>
        <DigestValue>hOi9auu88MOhJVu5+E2APm2s+HXbGfwINgBKzhnwYPA=</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rTYVv8Gal1CfjH/D/lMYWmWxEWpu3g77YYy5SnqITfI=</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Y6tiyYBETcxke1panLekhokdbd2uOU5uhfj/pBeOAG8=</DigestValue>
      </Reference>
      <Reference URI="/xl/printerSettings/printerSettings31.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iDHNTHpzY06/L3mgUST7Ha8zmKjtDr90B/u5Z/rQPno=</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Rhe+aYiduf1vnb7dQ7iijuAVNIWXADYsOlj2U9F5k3A=</DigestValue>
      </Reference>
      <Reference URI="/xl/styles.xml?ContentType=application/vnd.openxmlformats-officedocument.spreadsheetml.styles+xml">
        <DigestMethod Algorithm="http://www.w3.org/2001/04/xmlenc#sha256"/>
        <DigestValue>ibxAprfSlIblukKaj5rSxZYQp6/x8DinLfLmrx+8xMM=</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fOksBQ+WXEoVMA/WIAib48DgfWtOp/qnSyEhTtZXQRI=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CPlBUuX8iiTn2JkGLGLzYSykfNWlkwSteoNYnbZJabY=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/bcM6/z5v0GBK8K/0ZIEx38zxfQLjyxSCzFRtTgjO1s=</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yRcxBnRZ2sJAnZOlW93bs/jhAp6csNVHoMtPx5fhSSs=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WtzI6YyQVbOe41e8LbSohVCJMSowMkCEWmXCmaQdB2s=</DigestValue>
      </Reference>
      <Reference URI="/xl/worksheets/sheet10.xml?ContentType=application/vnd.openxmlformats-officedocument.spreadsheetml.worksheet+xml">
        <DigestMethod Algorithm="http://www.w3.org/2001/04/xmlenc#sha256"/>
        <DigestValue>kroikiITzCNmXxOs2p8ibsC+BoFQ9hMJyuPLATRtaJA=</DigestValue>
      </Reference>
      <Reference URI="/xl/worksheets/sheet11.xml?ContentType=application/vnd.openxmlformats-officedocument.spreadsheetml.worksheet+xml">
        <DigestMethod Algorithm="http://www.w3.org/2001/04/xmlenc#sha256"/>
        <DigestValue>xvlcKlDPUISbX/OzWMvT3LbnaZKxMuNcaoMPDdO9dWM=</DigestValue>
      </Reference>
      <Reference URI="/xl/worksheets/sheet12.xml?ContentType=application/vnd.openxmlformats-officedocument.spreadsheetml.worksheet+xml">
        <DigestMethod Algorithm="http://www.w3.org/2001/04/xmlenc#sha256"/>
        <DigestValue>l+wy5X8kkpfQ++vYoSJFLbVyeKpXr3hXv06XNt99eeg=</DigestValue>
      </Reference>
      <Reference URI="/xl/worksheets/sheet13.xml?ContentType=application/vnd.openxmlformats-officedocument.spreadsheetml.worksheet+xml">
        <DigestMethod Algorithm="http://www.w3.org/2001/04/xmlenc#sha256"/>
        <DigestValue>UM6GeayKBgRKvDm28WYw9FuYM4jGPMBa6oDHsa5n5as=</DigestValue>
      </Reference>
      <Reference URI="/xl/worksheets/sheet14.xml?ContentType=application/vnd.openxmlformats-officedocument.spreadsheetml.worksheet+xml">
        <DigestMethod Algorithm="http://www.w3.org/2001/04/xmlenc#sha256"/>
        <DigestValue>SI/7pbMIaCrWznX2EbVOvPVLwAoZ7U3BGycKuBHHW90=</DigestValue>
      </Reference>
      <Reference URI="/xl/worksheets/sheet15.xml?ContentType=application/vnd.openxmlformats-officedocument.spreadsheetml.worksheet+xml">
        <DigestMethod Algorithm="http://www.w3.org/2001/04/xmlenc#sha256"/>
        <DigestValue>9m3DmUHU1FQ7WBc9NKxWlyYLJS9zPdagJsbQ9876TL0=</DigestValue>
      </Reference>
      <Reference URI="/xl/worksheets/sheet16.xml?ContentType=application/vnd.openxmlformats-officedocument.spreadsheetml.worksheet+xml">
        <DigestMethod Algorithm="http://www.w3.org/2001/04/xmlenc#sha256"/>
        <DigestValue>/l7/e/e5YnhFCUTa/I+OqD8AHAQFcyq4CaM8uLx7WD4=</DigestValue>
      </Reference>
      <Reference URI="/xl/worksheets/sheet17.xml?ContentType=application/vnd.openxmlformats-officedocument.spreadsheetml.worksheet+xml">
        <DigestMethod Algorithm="http://www.w3.org/2001/04/xmlenc#sha256"/>
        <DigestValue>UbKjnvMVPyo1ydz3g3m+LsJYUkYA8I35Wq/jA77HRng=</DigestValue>
      </Reference>
      <Reference URI="/xl/worksheets/sheet18.xml?ContentType=application/vnd.openxmlformats-officedocument.spreadsheetml.worksheet+xml">
        <DigestMethod Algorithm="http://www.w3.org/2001/04/xmlenc#sha256"/>
        <DigestValue>c6JYaLTw+pbw/s4mPp6FNg8BAsSXwgnrtGuxc9CNA3w=</DigestValue>
      </Reference>
      <Reference URI="/xl/worksheets/sheet19.xml?ContentType=application/vnd.openxmlformats-officedocument.spreadsheetml.worksheet+xml">
        <DigestMethod Algorithm="http://www.w3.org/2001/04/xmlenc#sha256"/>
        <DigestValue>G2H8fsJRv2tdM/E911KF229JQFdZ8n7amOwxG2+DUE4=</DigestValue>
      </Reference>
      <Reference URI="/xl/worksheets/sheet2.xml?ContentType=application/vnd.openxmlformats-officedocument.spreadsheetml.worksheet+xml">
        <DigestMethod Algorithm="http://www.w3.org/2001/04/xmlenc#sha256"/>
        <DigestValue>yO9r0+SaBmF603koxHCDZXJrIQoVOte/t00Bv6IrYDg=</DigestValue>
      </Reference>
      <Reference URI="/xl/worksheets/sheet20.xml?ContentType=application/vnd.openxmlformats-officedocument.spreadsheetml.worksheet+xml">
        <DigestMethod Algorithm="http://www.w3.org/2001/04/xmlenc#sha256"/>
        <DigestValue>tzthjd5EekWj6K4PZSUhh0Tx87q7x1ZLxw1AhKY1/MM=</DigestValue>
      </Reference>
      <Reference URI="/xl/worksheets/sheet21.xml?ContentType=application/vnd.openxmlformats-officedocument.spreadsheetml.worksheet+xml">
        <DigestMethod Algorithm="http://www.w3.org/2001/04/xmlenc#sha256"/>
        <DigestValue>/AZkN8MxY7XmdU4fuCKQ59pdCq0Y+ov5jVyHF4lswNU=</DigestValue>
      </Reference>
      <Reference URI="/xl/worksheets/sheet22.xml?ContentType=application/vnd.openxmlformats-officedocument.spreadsheetml.worksheet+xml">
        <DigestMethod Algorithm="http://www.w3.org/2001/04/xmlenc#sha256"/>
        <DigestValue>qToGifAMGYyh1usO+stg4/6rrxYTq9IInfR6l8Ox04A=</DigestValue>
      </Reference>
      <Reference URI="/xl/worksheets/sheet23.xml?ContentType=application/vnd.openxmlformats-officedocument.spreadsheetml.worksheet+xml">
        <DigestMethod Algorithm="http://www.w3.org/2001/04/xmlenc#sha256"/>
        <DigestValue>bwG660zzw/IWv7XJRkuvK/hJcJxJK77CqJ2904jTfJ8=</DigestValue>
      </Reference>
      <Reference URI="/xl/worksheets/sheet24.xml?ContentType=application/vnd.openxmlformats-officedocument.spreadsheetml.worksheet+xml">
        <DigestMethod Algorithm="http://www.w3.org/2001/04/xmlenc#sha256"/>
        <DigestValue>gbeljyXFFwTePh5gbgk+Uo78R8k3tgNsK9EHI3f8xzM=</DigestValue>
      </Reference>
      <Reference URI="/xl/worksheets/sheet25.xml?ContentType=application/vnd.openxmlformats-officedocument.spreadsheetml.worksheet+xml">
        <DigestMethod Algorithm="http://www.w3.org/2001/04/xmlenc#sha256"/>
        <DigestValue>6PgXXvUt3A9NhGXRdJJAgR/qGaJ+h55U+naOteQK7TU=</DigestValue>
      </Reference>
      <Reference URI="/xl/worksheets/sheet26.xml?ContentType=application/vnd.openxmlformats-officedocument.spreadsheetml.worksheet+xml">
        <DigestMethod Algorithm="http://www.w3.org/2001/04/xmlenc#sha256"/>
        <DigestValue>QJXNeLq0NvnLcUm7YcR6CWwxWdkXGBlN7/8JvF9B+Rs=</DigestValue>
      </Reference>
      <Reference URI="/xl/worksheets/sheet27.xml?ContentType=application/vnd.openxmlformats-officedocument.spreadsheetml.worksheet+xml">
        <DigestMethod Algorithm="http://www.w3.org/2001/04/xmlenc#sha256"/>
        <DigestValue>bOi6htULhiy3nskqqY+NmmF0OBJwNQq/E+otYjSs+l0=</DigestValue>
      </Reference>
      <Reference URI="/xl/worksheets/sheet28.xml?ContentType=application/vnd.openxmlformats-officedocument.spreadsheetml.worksheet+xml">
        <DigestMethod Algorithm="http://www.w3.org/2001/04/xmlenc#sha256"/>
        <DigestValue>jtGY95ii4KzQXHKRPuSo/xcwqocvHE02agBHQKndihk=</DigestValue>
      </Reference>
      <Reference URI="/xl/worksheets/sheet29.xml?ContentType=application/vnd.openxmlformats-officedocument.spreadsheetml.worksheet+xml">
        <DigestMethod Algorithm="http://www.w3.org/2001/04/xmlenc#sha256"/>
        <DigestValue>hex1FQ251yKMPJdi5ni6TX13G9G21oedHMhjVDfjWdY=</DigestValue>
      </Reference>
      <Reference URI="/xl/worksheets/sheet3.xml?ContentType=application/vnd.openxmlformats-officedocument.spreadsheetml.worksheet+xml">
        <DigestMethod Algorithm="http://www.w3.org/2001/04/xmlenc#sha256"/>
        <DigestValue>Ziv0MerKIx8aU8Lv03sqToMt2zBmhiRVJ3rX8ggVH+c=</DigestValue>
      </Reference>
      <Reference URI="/xl/worksheets/sheet30.xml?ContentType=application/vnd.openxmlformats-officedocument.spreadsheetml.worksheet+xml">
        <DigestMethod Algorithm="http://www.w3.org/2001/04/xmlenc#sha256"/>
        <DigestValue>v4ZqydxhCPoHh3N6kyncezXds94T8NO960t99P0kJ7c=</DigestValue>
      </Reference>
      <Reference URI="/xl/worksheets/sheet31.xml?ContentType=application/vnd.openxmlformats-officedocument.spreadsheetml.worksheet+xml">
        <DigestMethod Algorithm="http://www.w3.org/2001/04/xmlenc#sha256"/>
        <DigestValue>UorpQJFQbDIKu+TQ4j/5nDpnKf4JvpXT84aTo2YLLxo=</DigestValue>
      </Reference>
      <Reference URI="/xl/worksheets/sheet32.xml?ContentType=application/vnd.openxmlformats-officedocument.spreadsheetml.worksheet+xml">
        <DigestMethod Algorithm="http://www.w3.org/2001/04/xmlenc#sha256"/>
        <DigestValue>Hg8TNgyz/yTK9Xwe2Gn3QouqScHH4iLnK0N9waepts4=</DigestValue>
      </Reference>
      <Reference URI="/xl/worksheets/sheet33.xml?ContentType=application/vnd.openxmlformats-officedocument.spreadsheetml.worksheet+xml">
        <DigestMethod Algorithm="http://www.w3.org/2001/04/xmlenc#sha256"/>
        <DigestValue>r5APYdyoeXY4zqwukqvY7Vym4kU9PAz1BvI6wT//xbE=</DigestValue>
      </Reference>
      <Reference URI="/xl/worksheets/sheet34.xml?ContentType=application/vnd.openxmlformats-officedocument.spreadsheetml.worksheet+xml">
        <DigestMethod Algorithm="http://www.w3.org/2001/04/xmlenc#sha256"/>
        <DigestValue>JjnlwpA2DbdSbGrqs5tO1NxXdKQhZgpqiODCxFXL09I=</DigestValue>
      </Reference>
      <Reference URI="/xl/worksheets/sheet35.xml?ContentType=application/vnd.openxmlformats-officedocument.spreadsheetml.worksheet+xml">
        <DigestMethod Algorithm="http://www.w3.org/2001/04/xmlenc#sha256"/>
        <DigestValue>lnOHOfTvH6ergKwmyv3Nx4Ckxz8txcDP4i/TgiI/Ka4=</DigestValue>
      </Reference>
      <Reference URI="/xl/worksheets/sheet36.xml?ContentType=application/vnd.openxmlformats-officedocument.spreadsheetml.worksheet+xml">
        <DigestMethod Algorithm="http://www.w3.org/2001/04/xmlenc#sha256"/>
        <DigestValue>YHTngmra3DXQFMNwUApCUIAoUjUSGUL2cLAo8/9IQdI=</DigestValue>
      </Reference>
      <Reference URI="/xl/worksheets/sheet37.xml?ContentType=application/vnd.openxmlformats-officedocument.spreadsheetml.worksheet+xml">
        <DigestMethod Algorithm="http://www.w3.org/2001/04/xmlenc#sha256"/>
        <DigestValue>lUKA7Fi4UouA0myYaRlZZ9h5MhDpvdETgRe2g219pJI=</DigestValue>
      </Reference>
      <Reference URI="/xl/worksheets/sheet38.xml?ContentType=application/vnd.openxmlformats-officedocument.spreadsheetml.worksheet+xml">
        <DigestMethod Algorithm="http://www.w3.org/2001/04/xmlenc#sha256"/>
        <DigestValue>QZC7Lq4ZTT8R3M/RE36comoc2PR4TrdsvMFUAXrnoR0=</DigestValue>
      </Reference>
      <Reference URI="/xl/worksheets/sheet39.xml?ContentType=application/vnd.openxmlformats-officedocument.spreadsheetml.worksheet+xml">
        <DigestMethod Algorithm="http://www.w3.org/2001/04/xmlenc#sha256"/>
        <DigestValue>p3TEvU/ph3BVEWObHogpkqdSH35m3DXeuny9lt3fXaw=</DigestValue>
      </Reference>
      <Reference URI="/xl/worksheets/sheet4.xml?ContentType=application/vnd.openxmlformats-officedocument.spreadsheetml.worksheet+xml">
        <DigestMethod Algorithm="http://www.w3.org/2001/04/xmlenc#sha256"/>
        <DigestValue>Dz5fb6CSKM9oYG4Ohz9F5M6zpz9NLtEPDyrDtZenE+Q=</DigestValue>
      </Reference>
      <Reference URI="/xl/worksheets/sheet40.xml?ContentType=application/vnd.openxmlformats-officedocument.spreadsheetml.worksheet+xml">
        <DigestMethod Algorithm="http://www.w3.org/2001/04/xmlenc#sha256"/>
        <DigestValue>vuuO6W/GKjTI7dsY8BqfT5tB7/E9loPQKREfa0JW9EU=</DigestValue>
      </Reference>
      <Reference URI="/xl/worksheets/sheet41.xml?ContentType=application/vnd.openxmlformats-officedocument.spreadsheetml.worksheet+xml">
        <DigestMethod Algorithm="http://www.w3.org/2001/04/xmlenc#sha256"/>
        <DigestValue>TF8SGP4KMBeirzvPZdTsLag/jvCg5BCqQiEgdeScRxY=</DigestValue>
      </Reference>
      <Reference URI="/xl/worksheets/sheet42.xml?ContentType=application/vnd.openxmlformats-officedocument.spreadsheetml.worksheet+xml">
        <DigestMethod Algorithm="http://www.w3.org/2001/04/xmlenc#sha256"/>
        <DigestValue>f1Kb52+so3toArDN1/wEeXnGPVxmlPFcwpAgQKVqS7s=</DigestValue>
      </Reference>
      <Reference URI="/xl/worksheets/sheet43.xml?ContentType=application/vnd.openxmlformats-officedocument.spreadsheetml.worksheet+xml">
        <DigestMethod Algorithm="http://www.w3.org/2001/04/xmlenc#sha256"/>
        <DigestValue>0uF4d8MCxtnwhQqbL52bHPea8DJvcvT//w/9KM+V3WI=</DigestValue>
      </Reference>
      <Reference URI="/xl/worksheets/sheet44.xml?ContentType=application/vnd.openxmlformats-officedocument.spreadsheetml.worksheet+xml">
        <DigestMethod Algorithm="http://www.w3.org/2001/04/xmlenc#sha256"/>
        <DigestValue>fRwTXHhKOuuvQEkprqLOW67+6im98qTLzh87o7VfJ14=</DigestValue>
      </Reference>
      <Reference URI="/xl/worksheets/sheet45.xml?ContentType=application/vnd.openxmlformats-officedocument.spreadsheetml.worksheet+xml">
        <DigestMethod Algorithm="http://www.w3.org/2001/04/xmlenc#sha256"/>
        <DigestValue>ZIevaRz+Np8klWtOd7OUk2+KRxKV6qnpk/pbxOJ4dNk=</DigestValue>
      </Reference>
      <Reference URI="/xl/worksheets/sheet46.xml?ContentType=application/vnd.openxmlformats-officedocument.spreadsheetml.worksheet+xml">
        <DigestMethod Algorithm="http://www.w3.org/2001/04/xmlenc#sha256"/>
        <DigestValue>EoHhHCil580/J9C8SpoMnFW+cc4w3WoeZ3VJoGT7cUM=</DigestValue>
      </Reference>
      <Reference URI="/xl/worksheets/sheet47.xml?ContentType=application/vnd.openxmlformats-officedocument.spreadsheetml.worksheet+xml">
        <DigestMethod Algorithm="http://www.w3.org/2001/04/xmlenc#sha256"/>
        <DigestValue>1rk3BbQWY6zyqFKKcW5FQNUZcHbj6LN8hZ50dCCfxO0=</DigestValue>
      </Reference>
      <Reference URI="/xl/worksheets/sheet48.xml?ContentType=application/vnd.openxmlformats-officedocument.spreadsheetml.worksheet+xml">
        <DigestMethod Algorithm="http://www.w3.org/2001/04/xmlenc#sha256"/>
        <DigestValue>YSA7Z4AK4GoLQSJRH2sjfR0ocZWtKvBaLIqIaccW4ic=</DigestValue>
      </Reference>
      <Reference URI="/xl/worksheets/sheet49.xml?ContentType=application/vnd.openxmlformats-officedocument.spreadsheetml.worksheet+xml">
        <DigestMethod Algorithm="http://www.w3.org/2001/04/xmlenc#sha256"/>
        <DigestValue>bgr6+A91MAoCdWtmNlldDzUv7iSUyP93GuShC+YGDak=</DigestValue>
      </Reference>
      <Reference URI="/xl/worksheets/sheet5.xml?ContentType=application/vnd.openxmlformats-officedocument.spreadsheetml.worksheet+xml">
        <DigestMethod Algorithm="http://www.w3.org/2001/04/xmlenc#sha256"/>
        <DigestValue>/Ve+8dtWRfDCdGQH1ttUX3i3HaMWCQ9S9YT4yeds5UI=</DigestValue>
      </Reference>
      <Reference URI="/xl/worksheets/sheet50.xml?ContentType=application/vnd.openxmlformats-officedocument.spreadsheetml.worksheet+xml">
        <DigestMethod Algorithm="http://www.w3.org/2001/04/xmlenc#sha256"/>
        <DigestValue>gXcS5ya/kvS54OTxyjBj2LyvRA7hl9M5Hiff1kdw+EU=</DigestValue>
      </Reference>
      <Reference URI="/xl/worksheets/sheet6.xml?ContentType=application/vnd.openxmlformats-officedocument.spreadsheetml.worksheet+xml">
        <DigestMethod Algorithm="http://www.w3.org/2001/04/xmlenc#sha256"/>
        <DigestValue>XPsmeJ6tsrSyFlFBgFCT3QxgouH9I1RnKT/J0dVMUSk=</DigestValue>
      </Reference>
      <Reference URI="/xl/worksheets/sheet7.xml?ContentType=application/vnd.openxmlformats-officedocument.spreadsheetml.worksheet+xml">
        <DigestMethod Algorithm="http://www.w3.org/2001/04/xmlenc#sha256"/>
        <DigestValue>c/XB4sHgba1hCiipM1s8cIpm72PveD1DtzIT9mH24bE=</DigestValue>
      </Reference>
      <Reference URI="/xl/worksheets/sheet8.xml?ContentType=application/vnd.openxmlformats-officedocument.spreadsheetml.worksheet+xml">
        <DigestMethod Algorithm="http://www.w3.org/2001/04/xmlenc#sha256"/>
        <DigestValue>CEVCyL0lvzAnpJJKBjXEF/QOxjKbK7VnUSOei7TNGXw=</DigestValue>
      </Reference>
      <Reference URI="/xl/worksheets/sheet9.xml?ContentType=application/vnd.openxmlformats-officedocument.spreadsheetml.worksheet+xml">
        <DigestMethod Algorithm="http://www.w3.org/2001/04/xmlenc#sha256"/>
        <DigestValue>7602VYmrAiED4ALQXVzekOxWQVoGJ37QFVIjgWNWk8c=</DigestValue>
      </Reference>
    </Manifest>
    <SignatureProperties>
      <SignatureProperty Id="idSignatureTime" Target="#idPackageSignature">
        <mdssi:SignatureTime xmlns:mdssi="http://schemas.openxmlformats.org/package/2006/digital-signature">
          <mdssi:Format>YYYY-MM-DDThh:mm:ssTZD</mdssi:Format>
          <mdssi:Value>2021-03-04T14:39:12Z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ANUAL CNV BVPASA 2020</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2021-03-04T14:39:12Z</xd:SigningTime>
          <xd:SigningCertificate>
            <xd:Cert>
              <xd:CertDigest>
                <DigestMethod Algorithm="http://www.w3.org/2001/04/xmlenc#sha256"/>
                <DigestValue>oKQCN+g7OqFF3eR5Dwx1uPR0ppwLvn5xnseT4HeHvaY=</DigestValue>
              </xd:CertDigest>
              <xd:IssuerSerial>
                <X509IssuerName>CN=CA-CODE100 S.A., C=PY, O=CODE100 S.A., SERIALNUMBER=RUC 80080610-7</X509IssuerName>
                <X509SerialNumber>2051668580384354396237202915729434008140910756</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ANUAL CNV BVPASA 2020</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3.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LPHkRuDC3+ijLxYIP7Z9LDl+fboBvsLF7YnNDiYKRKQ=</DigestValue>
    </Reference>
    <Reference Type="http://www.w3.org/2000/09/xmldsig#Object" URI="#idOfficeObject">
      <DigestMethod Algorithm="http://www.w3.org/2001/04/xmlenc#sha256"/>
      <DigestValue>umhNDC3HgOcUYiRF9AISnRDRwOtigeUd+VUmXavqlCQ=</DigestValue>
    </Reference>
    <Reference Type="http://uri.etsi.org/01903#SignedProperties" URI="#idSignedProperties">
      <Transforms>
        <Transform Algorithm="http://www.w3.org/TR/2001/REC-xml-c14n-20010315"/>
      </Transforms>
      <DigestMethod Algorithm="http://www.w3.org/2001/04/xmlenc#sha256"/>
      <DigestValue>Hs+dnr6ZZiGwmRi6KCe94IYxSzWBXAfRBxLHEazuuDQ=</DigestValue>
    </Reference>
  </SignedInfo>
  <SignatureValue>xfXuHzeVXKtA7aXqKgYv2GzCciSZ40x5Nb8We4vVYjUkl68KfJv+CjwBOV3LWwLLrLG2ga5elRTX
LbHoM2Tx2SUM6meqZiwz+aNCX3xUgZJbAtr3bNCvFLml+mpMyFGx/U+mSLwiP1m2w6TrEB/spREG
V3jG9uaSknx4EN47TfAdJNjYMLvXRytYxPSdoVb0N4gOqG8iIhSE91JuMQZ789rXaVe/FSXj5l/c
2M/CEhRUbJUPypkPAFtycxaInttGks1nqNFv9XYGaoBh1x1/iWMhH9pRejumpaDpPaZagODm1k23
dM4VRNHyyebKmeTLwtvRkhSBN9zhqVgikewV9g==</SignatureValue>
  <KeyInfo>
    <X509Data>
      <X509Certificate>MIIICTCCBfGgAwIBAgITXAAAEM2fAKZfBx3hRwAAAAAQzTANBgkqhkiG9w0BAQsFADBXMRcwFQYDVQQFEw5SVUMgODAwODA2MTAtNzEVMBMGA1UEChMMQ09ERTEwMCBTLkEuMQswCQYDVQQGEwJQWTEYMBYGA1UEAxMPQ0EtQ09ERTEwMCBTLkEuMB4XDTE5MDQwODE5MDYyM1oXDTIxMDQwODE5MDYyM1owgaUxJTAjBgNVBAMTHEpVQU4gSk9TRSBNT1JBVE9SSU8gQU1FTE9UVEkxFzAVBgNVBAoTDlBFUlNPTkEgRklTSUNBMQswCQYDVQQGEwJQWTESMBAGA1UEKhMJSlVBTiBKT1NFMRswGQYDVQQEExJNT1JBVE9SSU8gQU1FTE9UVEkxEjAQBgNVBAUTCUNJNzQ1NjA4MjERMA8GA1UECxMIRklSTUEgRjIwggEiMA0GCSqGSIb3DQEBAQUAA4IBDwAwggEKAoIBAQDNnFfkfz8hwmEOm1A2rK05npD+I6C9rH0eoSTk6I54B239hGVUGgn5Dkmgp0mjwnySmnWEKvKYtGJcLFc9d4tMgYhoaT0l18m+9iPeo8WZh2cw4EtO2Qe3/qwEQ4OWwDn9s8KXbRmaREYD7pFiZPd7B8adnHHk7DS6NLthdPY20+KyOfCa6e4iG1eEJsrob3mWZiP69VBUM4sesay9L/pGN3b7yul+E+UE23u0d8b9NzejD9vZHKvfw4eFraIvBjN/OjBZx2Eiy+takxKMUS5y8kzyHburUPeRZQa3kP6sHg5f2l9sVGXbL7/4jDVNi8l/TGZsHwZXbBRD9a2SK0ktAgMBAAGjggN9MIIDeTAOBgNVHQ8BAf8EBAMCBeAwDAYDVR0TAQH/BAIwADAgBgNVHSUBAf8EFjAUBggrBgEFBQcDAgYIKwYBBQUHAwQwHQYDVR0OBBYEFG3v/FViijtfI0ureh0F5YPd/987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B4GA1UdEQQXMBWBE2RmbGVpdGFzQG1iYi5jb20ucHkwDQYJKoZIhvcNAQELBQADggIBAJSFWzWlrc26oFXP11L7yKOH7eSFvACNhqx7EOsbs90yw/55tZ4ACMV9Dd49ViJS4bMhsbSMRJXWIUHdIpbf7c2tXoRdeuSR4c+7rW4FC1+l+Ze7sqytdQfecspbP7L24yfz/o5Wzv/fMYlFBE8O6RefZ5gB2iEC4Kp7Hx8Umn8B4DqMIbEm9/LRgubtwMrICOePsoMylQf/DlzMpJJwoLpmNF7fcD1gARWjaCk62hla7NYlSVEy5ZJJATA8h2E3vzHw9T/szjT3m7cznpFipW8Mgl3VbkKhYjfeuf1eQ8abOpBa5n+B63u3wkq6av5rWEz9LZH/T/96J7S2LoIDul0pvld0y0i+k58hTjOeYutmwFaEHIcwjOV2Pk3btDTPko39o0Ri59E/NfncBZuwZ3ODK+WYxZIx9EfdZtthvC7zmL1SYcLoxWQPfldn8e7itwCc9SOdcBPTHLrABjaX6/LRoIkyExCoWE9b4BN2GbYWdMCNpRXx6SycizOnTZFdtC/ZCIpwxtKklqnIohhsZfbYN62BXboi7s8EU6EBvu4saumQy6ASt8VWYfJw/sw3THy//5bp2eSjchAZDrdjEyk4V3GBKN9M3FQyAEVA/LnULGd/XgJkSNR/i6JQFJjaXAY6Y+4z1rxip3VNKYX3wq1piU58Q32L4F8nUBKsP8Fw</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7"/>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0"/>
            <mdssi:RelationshipReference xmlns:mdssi="http://schemas.openxmlformats.org/package/2006/digital-signature" SourceId="rId29"/>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3"/>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rwQ8NNLfeIV0Svl5z/6GsN77Iuxc2NJX6WcSybAdBws=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zcvWX2nBR8vsLpugaQRi4/TTtq/43ce7yNEn7/+PY68=</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JqGz6vLWGozlzUjSd45hVXUTBLSksV7wQmLs+NumxEI=</DigestValue>
      </Reference>
      <Reference URI="/xl/drawings/drawing12.xml?ContentType=application/vnd.openxmlformats-officedocument.drawing+xml">
        <DigestMethod Algorithm="http://www.w3.org/2001/04/xmlenc#sha256"/>
        <DigestValue>XFm/Q85fRuBALJ29hVB+GpBut3jPRDCQ6OR7lM6s/Z4=</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ifLvntU11Ychi1lvdrvq6Chv+lBX8Cjo1JwgAVcRJrY=</DigestValue>
      </Reference>
      <Reference URI="/xl/drawings/drawing15.xml?ContentType=application/vnd.openxmlformats-officedocument.drawing+xml">
        <DigestMethod Algorithm="http://www.w3.org/2001/04/xmlenc#sha256"/>
        <DigestValue>JIAKT99zi9FI/4KXwuXrMlVdAHpbfZpyMu6lYRzSp1o=</DigestValue>
      </Reference>
      <Reference URI="/xl/drawings/drawing16.xml?ContentType=application/vnd.openxmlformats-officedocument.drawing+xml">
        <DigestMethod Algorithm="http://www.w3.org/2001/04/xmlenc#sha256"/>
        <DigestValue>XnTLmYWGevXmznAxnbciFqckyfijj39WaKb7+tRjxAY=</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5b+fCINz8XXemHeYqx/JI4peNFY1yuZjiUYOaSt7ay4=</DigestValue>
      </Reference>
      <Reference URI="/xl/drawings/drawing19.xml?ContentType=application/vnd.openxmlformats-officedocument.drawing+xml">
        <DigestMethod Algorithm="http://www.w3.org/2001/04/xmlenc#sha256"/>
        <DigestValue>mypGDIrqT5eULnXutXvy5YQm4JowMuZlh5rEhT36afw=</DigestValue>
      </Reference>
      <Reference URI="/xl/drawings/drawing2.xml?ContentType=application/vnd.openxmlformats-officedocument.drawing+xml">
        <DigestMethod Algorithm="http://www.w3.org/2001/04/xmlenc#sha256"/>
        <DigestValue>73Zma9GTY/Qbhr4LLYfSg3KmjSlRc6MUmtm6nDso0aI=</DigestValue>
      </Reference>
      <Reference URI="/xl/drawings/drawing20.xml?ContentType=application/vnd.openxmlformats-officedocument.drawing+xml">
        <DigestMethod Algorithm="http://www.w3.org/2001/04/xmlenc#sha256"/>
        <DigestValue>oxbqSSHDH6D8DSP3lEC5r2AAF55yPkvh8/cLarO9r6w=</DigestValue>
      </Reference>
      <Reference URI="/xl/drawings/drawing21.xml?ContentType=application/vnd.openxmlformats-officedocument.drawing+xml">
        <DigestMethod Algorithm="http://www.w3.org/2001/04/xmlenc#sha256"/>
        <DigestValue>QFqTPcllDj77qOUmNGp4GKnpXBf8+WMWcuMVOXseL+Y=</DigestValue>
      </Reference>
      <Reference URI="/xl/drawings/drawing22.xml?ContentType=application/vnd.openxmlformats-officedocument.drawing+xml">
        <DigestMethod Algorithm="http://www.w3.org/2001/04/xmlenc#sha256"/>
        <DigestValue>SMDHJCN7+artZs+YuVFkWAKm8tgJeUGORSHL8qtVvAc=</DigestValue>
      </Reference>
      <Reference URI="/xl/drawings/drawing23.xml?ContentType=application/vnd.openxmlformats-officedocument.drawing+xml">
        <DigestMethod Algorithm="http://www.w3.org/2001/04/xmlenc#sha256"/>
        <DigestValue>NKJVA/OlP1rilFR3HqMN41HJapoKDwrT7sAsTRf4x64=</DigestValue>
      </Reference>
      <Reference URI="/xl/drawings/drawing24.xml?ContentType=application/vnd.openxmlformats-officedocument.drawing+xml">
        <DigestMethod Algorithm="http://www.w3.org/2001/04/xmlenc#sha256"/>
        <DigestValue>ihI8Kp6ToGTxD/LnLcLtHe7RW5DVoqJCoSAdnZmncac=</DigestValue>
      </Reference>
      <Reference URI="/xl/drawings/drawing25.xml?ContentType=application/vnd.openxmlformats-officedocument.drawing+xml">
        <DigestMethod Algorithm="http://www.w3.org/2001/04/xmlenc#sha256"/>
        <DigestValue>PFGhj3wZifggbiRrv0L5KLxtDQZM47N4wL2p6cPBJ7c=</DigestValue>
      </Reference>
      <Reference URI="/xl/drawings/drawing26.xml?ContentType=application/vnd.openxmlformats-officedocument.drawing+xml">
        <DigestMethod Algorithm="http://www.w3.org/2001/04/xmlenc#sha256"/>
        <DigestValue>OouycOmReoGrecmOlqWk7hYfKAJAfnpu3j9PggvdJB0=</DigestValue>
      </Reference>
      <Reference URI="/xl/drawings/drawing27.xml?ContentType=application/vnd.openxmlformats-officedocument.drawing+xml">
        <DigestMethod Algorithm="http://www.w3.org/2001/04/xmlenc#sha256"/>
        <DigestValue>UTaTqn99wkwplVyxHeEGgwqQM6smH71jck54oHbzljw=</DigestValue>
      </Reference>
      <Reference URI="/xl/drawings/drawing28.xml?ContentType=application/vnd.openxmlformats-officedocument.drawing+xml">
        <DigestMethod Algorithm="http://www.w3.org/2001/04/xmlenc#sha256"/>
        <DigestValue>t2+uI+REghiaQDE+YceH1aEqNfgLVR2GfeCb+67oGRs=</DigestValue>
      </Reference>
      <Reference URI="/xl/drawings/drawing29.xml?ContentType=application/vnd.openxmlformats-officedocument.drawing+xml">
        <DigestMethod Algorithm="http://www.w3.org/2001/04/xmlenc#sha256"/>
        <DigestValue>mos9Pw0w6gf7i7e/NqsauHlDKzewhLWDwGOWi/E42AU=</DigestValue>
      </Reference>
      <Reference URI="/xl/drawings/drawing3.xml?ContentType=application/vnd.openxmlformats-officedocument.drawing+xml">
        <DigestMethod Algorithm="http://www.w3.org/2001/04/xmlenc#sha256"/>
        <DigestValue>+lYmgjiFQYCAS4gc4swzbXEeGH1zNwYtufvmFlNmaWs=</DigestValue>
      </Reference>
      <Reference URI="/xl/drawings/drawing30.xml?ContentType=application/vnd.openxmlformats-officedocument.drawing+xml">
        <DigestMethod Algorithm="http://www.w3.org/2001/04/xmlenc#sha256"/>
        <DigestValue>7aNBCfDh92+Bh1BAkrWa8Jbcx8hLYgb0dL2jNpkG/2w=</DigestValue>
      </Reference>
      <Reference URI="/xl/drawings/drawing31.xml?ContentType=application/vnd.openxmlformats-officedocument.drawing+xml">
        <DigestMethod Algorithm="http://www.w3.org/2001/04/xmlenc#sha256"/>
        <DigestValue>s90PtH/P6qachG2l9eVWeC2x2vqtjuyssZnZywrUGHs=</DigestValue>
      </Reference>
      <Reference URI="/xl/drawings/drawing32.xml?ContentType=application/vnd.openxmlformats-officedocument.drawing+xml">
        <DigestMethod Algorithm="http://www.w3.org/2001/04/xmlenc#sha256"/>
        <DigestValue>IXO3rSB+JSyFCx9YlryoDaVFlJDBFKslB+GFpU5msxY=</DigestValue>
      </Reference>
      <Reference URI="/xl/drawings/drawing33.xml?ContentType=application/vnd.openxmlformats-officedocument.drawing+xml">
        <DigestMethod Algorithm="http://www.w3.org/2001/04/xmlenc#sha256"/>
        <DigestValue>zIyq6l2g6I8/Wj4NyjHaMBO7qTQS/FXfc26ZK6T+jS0=</DigestValue>
      </Reference>
      <Reference URI="/xl/drawings/drawing34.xml?ContentType=application/vnd.openxmlformats-officedocument.drawing+xml">
        <DigestMethod Algorithm="http://www.w3.org/2001/04/xmlenc#sha256"/>
        <DigestValue>hJM8TSphcOa07Jlxi9oqrVw8Atz+JMkI6vtXjXq801s=</DigestValue>
      </Reference>
      <Reference URI="/xl/drawings/drawing35.xml?ContentType=application/vnd.openxmlformats-officedocument.drawing+xml">
        <DigestMethod Algorithm="http://www.w3.org/2001/04/xmlenc#sha256"/>
        <DigestValue>rvipdRBYh8wdEbU5tsHqe0orsEgGSsmjNktTJTD0By0=</DigestValue>
      </Reference>
      <Reference URI="/xl/drawings/drawing36.xml?ContentType=application/vnd.openxmlformats-officedocument.drawing+xml">
        <DigestMethod Algorithm="http://www.w3.org/2001/04/xmlenc#sha256"/>
        <DigestValue>NbdgzuCUc1yAjYv+2MdMJgujpBnpElglOvv+ITZ7Iig=</DigestValue>
      </Reference>
      <Reference URI="/xl/drawings/drawing37.xml?ContentType=application/vnd.openxmlformats-officedocument.drawing+xml">
        <DigestMethod Algorithm="http://www.w3.org/2001/04/xmlenc#sha256"/>
        <DigestValue>uVHNXQLzpolvz04GBkG4dx2a+jgdl9SE9fI8SZXFE1A=</DigestValue>
      </Reference>
      <Reference URI="/xl/drawings/drawing38.xml?ContentType=application/vnd.openxmlformats-officedocument.drawing+xml">
        <DigestMethod Algorithm="http://www.w3.org/2001/04/xmlenc#sha256"/>
        <DigestValue>9HQH+JemwXE+Os3rYT9HYXWX31GQxkwch31GKar0hN0=</DigestValue>
      </Reference>
      <Reference URI="/xl/drawings/drawing39.xml?ContentType=application/vnd.openxmlformats-officedocument.drawing+xml">
        <DigestMethod Algorithm="http://www.w3.org/2001/04/xmlenc#sha256"/>
        <DigestValue>ybYRCKK7uoc7jPa86A7DaMPElyuHsZQStyFXThweJnE=</DigestValue>
      </Reference>
      <Reference URI="/xl/drawings/drawing4.xml?ContentType=application/vnd.openxmlformats-officedocument.drawing+xml">
        <DigestMethod Algorithm="http://www.w3.org/2001/04/xmlenc#sha256"/>
        <DigestValue>pGKnUW0jkoJrB5ybcxCDoS4FvMalANj8EUqgiDLFs0o=</DigestValue>
      </Reference>
      <Reference URI="/xl/drawings/drawing5.xml?ContentType=application/vnd.openxmlformats-officedocument.drawing+xml">
        <DigestMethod Algorithm="http://www.w3.org/2001/04/xmlenc#sha256"/>
        <DigestValue>/THnCzP/k7BRydrmSdk8VxziETtHigOwLwm9hZutwX8=</DigestValue>
      </Reference>
      <Reference URI="/xl/drawings/drawing6.xml?ContentType=application/vnd.openxmlformats-officedocument.drawing+xml">
        <DigestMethod Algorithm="http://www.w3.org/2001/04/xmlenc#sha256"/>
        <DigestValue>bRKymH9q9L8zlYRnb7O6vjvbXBAPncqn7h8eBeM8JUk=</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V+yYuFh6EnhxGtUxP1awTvpb7X28p4+iTCO8cmSs2c4=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B4Q8N2zcbWojgCBNCXcBNM5QXqMCkXYTH6TMMCar42k=</DigestValue>
      </Reference>
      <Reference URI="/xl/printerSettings/printerSettings10.bin?ContentType=application/vnd.openxmlformats-officedocument.spreadsheetml.printerSettings">
        <DigestMethod Algorithm="http://www.w3.org/2001/04/xmlenc#sha256"/>
        <DigestValue>kcwqMr/zaJs6fqDV/XySQD8Ia+unjs14h0/Hj6eL39Q=</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ZAbJ27P/3jDUYtIXJsIue7Daei9lcjuzOAGWgXM9dN0=</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hOi9auu88MOhJVu5+E2APm2s+HXbGfwINgBKzhnwYPA=</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hOi9auu88MOhJVu5+E2APm2s+HXbGfwINgBKzhnwYPA=</DigestValue>
      </Reference>
      <Reference URI="/xl/printerSettings/printerSettings21.bin?ContentType=application/vnd.openxmlformats-officedocument.spreadsheetml.printerSettings">
        <DigestMethod Algorithm="http://www.w3.org/2001/04/xmlenc#sha256"/>
        <DigestValue>iesWx7GcTZIkSbOpVMRadbXiV30BRZGpZR+ZA+QIU+c=</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3iIArNJps9HpkpDcLOr8z230yUWZv1XesOHPXkjR8GI=</DigestValue>
      </Reference>
      <Reference URI="/xl/printerSettings/printerSettings27.bin?ContentType=application/vnd.openxmlformats-officedocument.spreadsheetml.printerSettings">
        <DigestMethod Algorithm="http://www.w3.org/2001/04/xmlenc#sha256"/>
        <DigestValue>hOi9auu88MOhJVu5+E2APm2s+HXbGfwINgBKzhnwYPA=</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rTYVv8Gal1CfjH/D/lMYWmWxEWpu3g77YYy5SnqITfI=</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Y6tiyYBETcxke1panLekhokdbd2uOU5uhfj/pBeOAG8=</DigestValue>
      </Reference>
      <Reference URI="/xl/printerSettings/printerSettings31.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iDHNTHpzY06/L3mgUST7Ha8zmKjtDr90B/u5Z/rQPno=</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Rhe+aYiduf1vnb7dQ7iijuAVNIWXADYsOlj2U9F5k3A=</DigestValue>
      </Reference>
      <Reference URI="/xl/styles.xml?ContentType=application/vnd.openxmlformats-officedocument.spreadsheetml.styles+xml">
        <DigestMethod Algorithm="http://www.w3.org/2001/04/xmlenc#sha256"/>
        <DigestValue>ibxAprfSlIblukKaj5rSxZYQp6/x8DinLfLmrx+8xMM=</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fOksBQ+WXEoVMA/WIAib48DgfWtOp/qnSyEhTtZXQRI=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CPlBUuX8iiTn2JkGLGLzYSykfNWlkwSteoNYnbZJabY=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/bcM6/z5v0GBK8K/0ZIEx38zxfQLjyxSCzFRtTgjO1s=</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yRcxBnRZ2sJAnZOlW93bs/jhAp6csNVHoMtPx5fhSSs=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WtzI6YyQVbOe41e8LbSohVCJMSowMkCEWmXCmaQdB2s=</DigestValue>
      </Reference>
      <Reference URI="/xl/worksheets/sheet10.xml?ContentType=application/vnd.openxmlformats-officedocument.spreadsheetml.worksheet+xml">
        <DigestMethod Algorithm="http://www.w3.org/2001/04/xmlenc#sha256"/>
        <DigestValue>kroikiITzCNmXxOs2p8ibsC+BoFQ9hMJyuPLATRtaJA=</DigestValue>
      </Reference>
      <Reference URI="/xl/worksheets/sheet11.xml?ContentType=application/vnd.openxmlformats-officedocument.spreadsheetml.worksheet+xml">
        <DigestMethod Algorithm="http://www.w3.org/2001/04/xmlenc#sha256"/>
        <DigestValue>xvlcKlDPUISbX/OzWMvT3LbnaZKxMuNcaoMPDdO9dWM=</DigestValue>
      </Reference>
      <Reference URI="/xl/worksheets/sheet12.xml?ContentType=application/vnd.openxmlformats-officedocument.spreadsheetml.worksheet+xml">
        <DigestMethod Algorithm="http://www.w3.org/2001/04/xmlenc#sha256"/>
        <DigestValue>l+wy5X8kkpfQ++vYoSJFLbVyeKpXr3hXv06XNt99eeg=</DigestValue>
      </Reference>
      <Reference URI="/xl/worksheets/sheet13.xml?ContentType=application/vnd.openxmlformats-officedocument.spreadsheetml.worksheet+xml">
        <DigestMethod Algorithm="http://www.w3.org/2001/04/xmlenc#sha256"/>
        <DigestValue>UM6GeayKBgRKvDm28WYw9FuYM4jGPMBa6oDHsa5n5as=</DigestValue>
      </Reference>
      <Reference URI="/xl/worksheets/sheet14.xml?ContentType=application/vnd.openxmlformats-officedocument.spreadsheetml.worksheet+xml">
        <DigestMethod Algorithm="http://www.w3.org/2001/04/xmlenc#sha256"/>
        <DigestValue>SI/7pbMIaCrWznX2EbVOvPVLwAoZ7U3BGycKuBHHW90=</DigestValue>
      </Reference>
      <Reference URI="/xl/worksheets/sheet15.xml?ContentType=application/vnd.openxmlformats-officedocument.spreadsheetml.worksheet+xml">
        <DigestMethod Algorithm="http://www.w3.org/2001/04/xmlenc#sha256"/>
        <DigestValue>9m3DmUHU1FQ7WBc9NKxWlyYLJS9zPdagJsbQ9876TL0=</DigestValue>
      </Reference>
      <Reference URI="/xl/worksheets/sheet16.xml?ContentType=application/vnd.openxmlformats-officedocument.spreadsheetml.worksheet+xml">
        <DigestMethod Algorithm="http://www.w3.org/2001/04/xmlenc#sha256"/>
        <DigestValue>/l7/e/e5YnhFCUTa/I+OqD8AHAQFcyq4CaM8uLx7WD4=</DigestValue>
      </Reference>
      <Reference URI="/xl/worksheets/sheet17.xml?ContentType=application/vnd.openxmlformats-officedocument.spreadsheetml.worksheet+xml">
        <DigestMethod Algorithm="http://www.w3.org/2001/04/xmlenc#sha256"/>
        <DigestValue>UbKjnvMVPyo1ydz3g3m+LsJYUkYA8I35Wq/jA77HRng=</DigestValue>
      </Reference>
      <Reference URI="/xl/worksheets/sheet18.xml?ContentType=application/vnd.openxmlformats-officedocument.spreadsheetml.worksheet+xml">
        <DigestMethod Algorithm="http://www.w3.org/2001/04/xmlenc#sha256"/>
        <DigestValue>c6JYaLTw+pbw/s4mPp6FNg8BAsSXwgnrtGuxc9CNA3w=</DigestValue>
      </Reference>
      <Reference URI="/xl/worksheets/sheet19.xml?ContentType=application/vnd.openxmlformats-officedocument.spreadsheetml.worksheet+xml">
        <DigestMethod Algorithm="http://www.w3.org/2001/04/xmlenc#sha256"/>
        <DigestValue>G2H8fsJRv2tdM/E911KF229JQFdZ8n7amOwxG2+DUE4=</DigestValue>
      </Reference>
      <Reference URI="/xl/worksheets/sheet2.xml?ContentType=application/vnd.openxmlformats-officedocument.spreadsheetml.worksheet+xml">
        <DigestMethod Algorithm="http://www.w3.org/2001/04/xmlenc#sha256"/>
        <DigestValue>yO9r0+SaBmF603koxHCDZXJrIQoVOte/t00Bv6IrYDg=</DigestValue>
      </Reference>
      <Reference URI="/xl/worksheets/sheet20.xml?ContentType=application/vnd.openxmlformats-officedocument.spreadsheetml.worksheet+xml">
        <DigestMethod Algorithm="http://www.w3.org/2001/04/xmlenc#sha256"/>
        <DigestValue>tzthjd5EekWj6K4PZSUhh0Tx87q7x1ZLxw1AhKY1/MM=</DigestValue>
      </Reference>
      <Reference URI="/xl/worksheets/sheet21.xml?ContentType=application/vnd.openxmlformats-officedocument.spreadsheetml.worksheet+xml">
        <DigestMethod Algorithm="http://www.w3.org/2001/04/xmlenc#sha256"/>
        <DigestValue>/AZkN8MxY7XmdU4fuCKQ59pdCq0Y+ov5jVyHF4lswNU=</DigestValue>
      </Reference>
      <Reference URI="/xl/worksheets/sheet22.xml?ContentType=application/vnd.openxmlformats-officedocument.spreadsheetml.worksheet+xml">
        <DigestMethod Algorithm="http://www.w3.org/2001/04/xmlenc#sha256"/>
        <DigestValue>qToGifAMGYyh1usO+stg4/6rrxYTq9IInfR6l8Ox04A=</DigestValue>
      </Reference>
      <Reference URI="/xl/worksheets/sheet23.xml?ContentType=application/vnd.openxmlformats-officedocument.spreadsheetml.worksheet+xml">
        <DigestMethod Algorithm="http://www.w3.org/2001/04/xmlenc#sha256"/>
        <DigestValue>bwG660zzw/IWv7XJRkuvK/hJcJxJK77CqJ2904jTfJ8=</DigestValue>
      </Reference>
      <Reference URI="/xl/worksheets/sheet24.xml?ContentType=application/vnd.openxmlformats-officedocument.spreadsheetml.worksheet+xml">
        <DigestMethod Algorithm="http://www.w3.org/2001/04/xmlenc#sha256"/>
        <DigestValue>gbeljyXFFwTePh5gbgk+Uo78R8k3tgNsK9EHI3f8xzM=</DigestValue>
      </Reference>
      <Reference URI="/xl/worksheets/sheet25.xml?ContentType=application/vnd.openxmlformats-officedocument.spreadsheetml.worksheet+xml">
        <DigestMethod Algorithm="http://www.w3.org/2001/04/xmlenc#sha256"/>
        <DigestValue>6PgXXvUt3A9NhGXRdJJAgR/qGaJ+h55U+naOteQK7TU=</DigestValue>
      </Reference>
      <Reference URI="/xl/worksheets/sheet26.xml?ContentType=application/vnd.openxmlformats-officedocument.spreadsheetml.worksheet+xml">
        <DigestMethod Algorithm="http://www.w3.org/2001/04/xmlenc#sha256"/>
        <DigestValue>QJXNeLq0NvnLcUm7YcR6CWwxWdkXGBlN7/8JvF9B+Rs=</DigestValue>
      </Reference>
      <Reference URI="/xl/worksheets/sheet27.xml?ContentType=application/vnd.openxmlformats-officedocument.spreadsheetml.worksheet+xml">
        <DigestMethod Algorithm="http://www.w3.org/2001/04/xmlenc#sha256"/>
        <DigestValue>bOi6htULhiy3nskqqY+NmmF0OBJwNQq/E+otYjSs+l0=</DigestValue>
      </Reference>
      <Reference URI="/xl/worksheets/sheet28.xml?ContentType=application/vnd.openxmlformats-officedocument.spreadsheetml.worksheet+xml">
        <DigestMethod Algorithm="http://www.w3.org/2001/04/xmlenc#sha256"/>
        <DigestValue>jtGY95ii4KzQXHKRPuSo/xcwqocvHE02agBHQKndihk=</DigestValue>
      </Reference>
      <Reference URI="/xl/worksheets/sheet29.xml?ContentType=application/vnd.openxmlformats-officedocument.spreadsheetml.worksheet+xml">
        <DigestMethod Algorithm="http://www.w3.org/2001/04/xmlenc#sha256"/>
        <DigestValue>hex1FQ251yKMPJdi5ni6TX13G9G21oedHMhjVDfjWdY=</DigestValue>
      </Reference>
      <Reference URI="/xl/worksheets/sheet3.xml?ContentType=application/vnd.openxmlformats-officedocument.spreadsheetml.worksheet+xml">
        <DigestMethod Algorithm="http://www.w3.org/2001/04/xmlenc#sha256"/>
        <DigestValue>Ziv0MerKIx8aU8Lv03sqToMt2zBmhiRVJ3rX8ggVH+c=</DigestValue>
      </Reference>
      <Reference URI="/xl/worksheets/sheet30.xml?ContentType=application/vnd.openxmlformats-officedocument.spreadsheetml.worksheet+xml">
        <DigestMethod Algorithm="http://www.w3.org/2001/04/xmlenc#sha256"/>
        <DigestValue>v4ZqydxhCPoHh3N6kyncezXds94T8NO960t99P0kJ7c=</DigestValue>
      </Reference>
      <Reference URI="/xl/worksheets/sheet31.xml?ContentType=application/vnd.openxmlformats-officedocument.spreadsheetml.worksheet+xml">
        <DigestMethod Algorithm="http://www.w3.org/2001/04/xmlenc#sha256"/>
        <DigestValue>UorpQJFQbDIKu+TQ4j/5nDpnKf4JvpXT84aTo2YLLxo=</DigestValue>
      </Reference>
      <Reference URI="/xl/worksheets/sheet32.xml?ContentType=application/vnd.openxmlformats-officedocument.spreadsheetml.worksheet+xml">
        <DigestMethod Algorithm="http://www.w3.org/2001/04/xmlenc#sha256"/>
        <DigestValue>Hg8TNgyz/yTK9Xwe2Gn3QouqScHH4iLnK0N9waepts4=</DigestValue>
      </Reference>
      <Reference URI="/xl/worksheets/sheet33.xml?ContentType=application/vnd.openxmlformats-officedocument.spreadsheetml.worksheet+xml">
        <DigestMethod Algorithm="http://www.w3.org/2001/04/xmlenc#sha256"/>
        <DigestValue>r5APYdyoeXY4zqwukqvY7Vym4kU9PAz1BvI6wT//xbE=</DigestValue>
      </Reference>
      <Reference URI="/xl/worksheets/sheet34.xml?ContentType=application/vnd.openxmlformats-officedocument.spreadsheetml.worksheet+xml">
        <DigestMethod Algorithm="http://www.w3.org/2001/04/xmlenc#sha256"/>
        <DigestValue>JjnlwpA2DbdSbGrqs5tO1NxXdKQhZgpqiODCxFXL09I=</DigestValue>
      </Reference>
      <Reference URI="/xl/worksheets/sheet35.xml?ContentType=application/vnd.openxmlformats-officedocument.spreadsheetml.worksheet+xml">
        <DigestMethod Algorithm="http://www.w3.org/2001/04/xmlenc#sha256"/>
        <DigestValue>lnOHOfTvH6ergKwmyv3Nx4Ckxz8txcDP4i/TgiI/Ka4=</DigestValue>
      </Reference>
      <Reference URI="/xl/worksheets/sheet36.xml?ContentType=application/vnd.openxmlformats-officedocument.spreadsheetml.worksheet+xml">
        <DigestMethod Algorithm="http://www.w3.org/2001/04/xmlenc#sha256"/>
        <DigestValue>YHTngmra3DXQFMNwUApCUIAoUjUSGUL2cLAo8/9IQdI=</DigestValue>
      </Reference>
      <Reference URI="/xl/worksheets/sheet37.xml?ContentType=application/vnd.openxmlformats-officedocument.spreadsheetml.worksheet+xml">
        <DigestMethod Algorithm="http://www.w3.org/2001/04/xmlenc#sha256"/>
        <DigestValue>lUKA7Fi4UouA0myYaRlZZ9h5MhDpvdETgRe2g219pJI=</DigestValue>
      </Reference>
      <Reference URI="/xl/worksheets/sheet38.xml?ContentType=application/vnd.openxmlformats-officedocument.spreadsheetml.worksheet+xml">
        <DigestMethod Algorithm="http://www.w3.org/2001/04/xmlenc#sha256"/>
        <DigestValue>QZC7Lq4ZTT8R3M/RE36comoc2PR4TrdsvMFUAXrnoR0=</DigestValue>
      </Reference>
      <Reference URI="/xl/worksheets/sheet39.xml?ContentType=application/vnd.openxmlformats-officedocument.spreadsheetml.worksheet+xml">
        <DigestMethod Algorithm="http://www.w3.org/2001/04/xmlenc#sha256"/>
        <DigestValue>p3TEvU/ph3BVEWObHogpkqdSH35m3DXeuny9lt3fXaw=</DigestValue>
      </Reference>
      <Reference URI="/xl/worksheets/sheet4.xml?ContentType=application/vnd.openxmlformats-officedocument.spreadsheetml.worksheet+xml">
        <DigestMethod Algorithm="http://www.w3.org/2001/04/xmlenc#sha256"/>
        <DigestValue>Dz5fb6CSKM9oYG4Ohz9F5M6zpz9NLtEPDyrDtZenE+Q=</DigestValue>
      </Reference>
      <Reference URI="/xl/worksheets/sheet40.xml?ContentType=application/vnd.openxmlformats-officedocument.spreadsheetml.worksheet+xml">
        <DigestMethod Algorithm="http://www.w3.org/2001/04/xmlenc#sha256"/>
        <DigestValue>vuuO6W/GKjTI7dsY8BqfT5tB7/E9loPQKREfa0JW9EU=</DigestValue>
      </Reference>
      <Reference URI="/xl/worksheets/sheet41.xml?ContentType=application/vnd.openxmlformats-officedocument.spreadsheetml.worksheet+xml">
        <DigestMethod Algorithm="http://www.w3.org/2001/04/xmlenc#sha256"/>
        <DigestValue>TF8SGP4KMBeirzvPZdTsLag/jvCg5BCqQiEgdeScRxY=</DigestValue>
      </Reference>
      <Reference URI="/xl/worksheets/sheet42.xml?ContentType=application/vnd.openxmlformats-officedocument.spreadsheetml.worksheet+xml">
        <DigestMethod Algorithm="http://www.w3.org/2001/04/xmlenc#sha256"/>
        <DigestValue>f1Kb52+so3toArDN1/wEeXnGPVxmlPFcwpAgQKVqS7s=</DigestValue>
      </Reference>
      <Reference URI="/xl/worksheets/sheet43.xml?ContentType=application/vnd.openxmlformats-officedocument.spreadsheetml.worksheet+xml">
        <DigestMethod Algorithm="http://www.w3.org/2001/04/xmlenc#sha256"/>
        <DigestValue>0uF4d8MCxtnwhQqbL52bHPea8DJvcvT//w/9KM+V3WI=</DigestValue>
      </Reference>
      <Reference URI="/xl/worksheets/sheet44.xml?ContentType=application/vnd.openxmlformats-officedocument.spreadsheetml.worksheet+xml">
        <DigestMethod Algorithm="http://www.w3.org/2001/04/xmlenc#sha256"/>
        <DigestValue>fRwTXHhKOuuvQEkprqLOW67+6im98qTLzh87o7VfJ14=</DigestValue>
      </Reference>
      <Reference URI="/xl/worksheets/sheet45.xml?ContentType=application/vnd.openxmlformats-officedocument.spreadsheetml.worksheet+xml">
        <DigestMethod Algorithm="http://www.w3.org/2001/04/xmlenc#sha256"/>
        <DigestValue>ZIevaRz+Np8klWtOd7OUk2+KRxKV6qnpk/pbxOJ4dNk=</DigestValue>
      </Reference>
      <Reference URI="/xl/worksheets/sheet46.xml?ContentType=application/vnd.openxmlformats-officedocument.spreadsheetml.worksheet+xml">
        <DigestMethod Algorithm="http://www.w3.org/2001/04/xmlenc#sha256"/>
        <DigestValue>EoHhHCil580/J9C8SpoMnFW+cc4w3WoeZ3VJoGT7cUM=</DigestValue>
      </Reference>
      <Reference URI="/xl/worksheets/sheet47.xml?ContentType=application/vnd.openxmlformats-officedocument.spreadsheetml.worksheet+xml">
        <DigestMethod Algorithm="http://www.w3.org/2001/04/xmlenc#sha256"/>
        <DigestValue>1rk3BbQWY6zyqFKKcW5FQNUZcHbj6LN8hZ50dCCfxO0=</DigestValue>
      </Reference>
      <Reference URI="/xl/worksheets/sheet48.xml?ContentType=application/vnd.openxmlformats-officedocument.spreadsheetml.worksheet+xml">
        <DigestMethod Algorithm="http://www.w3.org/2001/04/xmlenc#sha256"/>
        <DigestValue>YSA7Z4AK4GoLQSJRH2sjfR0ocZWtKvBaLIqIaccW4ic=</DigestValue>
      </Reference>
      <Reference URI="/xl/worksheets/sheet49.xml?ContentType=application/vnd.openxmlformats-officedocument.spreadsheetml.worksheet+xml">
        <DigestMethod Algorithm="http://www.w3.org/2001/04/xmlenc#sha256"/>
        <DigestValue>bgr6+A91MAoCdWtmNlldDzUv7iSUyP93GuShC+YGDak=</DigestValue>
      </Reference>
      <Reference URI="/xl/worksheets/sheet5.xml?ContentType=application/vnd.openxmlformats-officedocument.spreadsheetml.worksheet+xml">
        <DigestMethod Algorithm="http://www.w3.org/2001/04/xmlenc#sha256"/>
        <DigestValue>/Ve+8dtWRfDCdGQH1ttUX3i3HaMWCQ9S9YT4yeds5UI=</DigestValue>
      </Reference>
      <Reference URI="/xl/worksheets/sheet50.xml?ContentType=application/vnd.openxmlformats-officedocument.spreadsheetml.worksheet+xml">
        <DigestMethod Algorithm="http://www.w3.org/2001/04/xmlenc#sha256"/>
        <DigestValue>gXcS5ya/kvS54OTxyjBj2LyvRA7hl9M5Hiff1kdw+EU=</DigestValue>
      </Reference>
      <Reference URI="/xl/worksheets/sheet6.xml?ContentType=application/vnd.openxmlformats-officedocument.spreadsheetml.worksheet+xml">
        <DigestMethod Algorithm="http://www.w3.org/2001/04/xmlenc#sha256"/>
        <DigestValue>XPsmeJ6tsrSyFlFBgFCT3QxgouH9I1RnKT/J0dVMUSk=</DigestValue>
      </Reference>
      <Reference URI="/xl/worksheets/sheet7.xml?ContentType=application/vnd.openxmlformats-officedocument.spreadsheetml.worksheet+xml">
        <DigestMethod Algorithm="http://www.w3.org/2001/04/xmlenc#sha256"/>
        <DigestValue>c/XB4sHgba1hCiipM1s8cIpm72PveD1DtzIT9mH24bE=</DigestValue>
      </Reference>
      <Reference URI="/xl/worksheets/sheet8.xml?ContentType=application/vnd.openxmlformats-officedocument.spreadsheetml.worksheet+xml">
        <DigestMethod Algorithm="http://www.w3.org/2001/04/xmlenc#sha256"/>
        <DigestValue>CEVCyL0lvzAnpJJKBjXEF/QOxjKbK7VnUSOei7TNGXw=</DigestValue>
      </Reference>
      <Reference URI="/xl/worksheets/sheet9.xml?ContentType=application/vnd.openxmlformats-officedocument.spreadsheetml.worksheet+xml">
        <DigestMethod Algorithm="http://www.w3.org/2001/04/xmlenc#sha256"/>
        <DigestValue>7602VYmrAiED4ALQXVzekOxWQVoGJ37QFVIjgWNWk8c=</DigestValue>
      </Reference>
    </Manifest>
    <SignatureProperties>
      <SignatureProperty Id="idSignatureTime" Target="#idPackageSignature">
        <mdssi:SignatureTime xmlns:mdssi="http://schemas.openxmlformats.org/package/2006/digital-signature">
          <mdssi:Format>YYYY-MM-DDThh:mm:ssTZD</mdssi:Format>
          <mdssi:Value>2021-03-04T14:41:20Z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INFORME ANUAL CNV BVPASA 2020</SignatureComments>
          <WindowsVersion>6.2</WindowsVersion>
          <OfficeVersion>15.0</OfficeVersion>
          <ApplicationVersion>15.0</ApplicationVersion>
          <Monitors>2</Monitors>
          <HorizontalResolution>1366</HorizontalResolution>
          <VerticalResolution>768</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2021-03-04T14:41:20Z</xd:SigningTime>
          <xd:SigningCertificate>
            <xd:Cert>
              <xd:CertDigest>
                <DigestMethod Algorithm="http://www.w3.org/2001/04/xmlenc#sha256"/>
                <DigestValue>lZNYT9iTGm69tNr22HuxIV1F7ASETvcMsoqqXp5n6e4=</DigestValue>
              </xd:CertDigest>
              <xd:IssuerSerial>
                <X509IssuerName>CN=CA-CODE100 S.A., C=PY, O=CODE100 S.A., SERIALNUMBER=RUC 80080610-7</X509IssuerName>
                <X509SerialNumber>2051668580600111072195953517951294370364788941</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INFORME ANUAL CNV BVPASA 2020</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_xmlsignatures/sig4.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PwXWReUOIFw3YUPcNvk7V6Xg8Ab+LIyt5ir9xeQsv/Q=</DigestValue>
    </Reference>
    <Reference Type="http://www.w3.org/2000/09/xmldsig#Object" URI="#idOfficeObject">
      <DigestMethod Algorithm="http://www.w3.org/2001/04/xmlenc#sha256"/>
      <DigestValue>aDAn1oIJpo8usdkayqWwdGsWxtLdJaTv3cUNw6/uVKg=</DigestValue>
    </Reference>
    <Reference Type="http://uri.etsi.org/01903#SignedProperties" URI="#idSignedProperties">
      <Transforms>
        <Transform Algorithm="http://www.w3.org/TR/2001/REC-xml-c14n-20010315"/>
      </Transforms>
      <DigestMethod Algorithm="http://www.w3.org/2001/04/xmlenc#sha256"/>
      <DigestValue>nrUIcYF1NEPRWm6H6rmR2ehD1eSIoxZjTZNzZXJhB3I=</DigestValue>
    </Reference>
  </SignedInfo>
  <SignatureValue>WsLUGc8XpiWwqv1bCgh+yu8T+7WFlJ8vpnBbGffqcgdawa6PeLSUlNQhlcNk1KUSo+ogb8RSSNNT
6PijH2YI/F/9aLj70YKQ23LDFasWS/gvPju9n+Ofkb41I9xWTJHHvD9MFnSGbZ6c+SfFN5pqqfeq
f8JF1xtHyExn3MedN0KUUGZYbhpB07hoEG8kZzRfrXFIvWgsZqI59tmB/sRdh/OwYWQ8SDfFaIp6
19trq9lz4Du6dxrpolgIpEFcibc+XcZpGCwR9wRm4EUl/NQHsWvi7ji33kDBPH7hL5nxWYiMaLVu
BqKmjEpHpEX8QmWlwmkDCH0EXYFRFrT7be7Nog==</SignatureValue>
  <KeyInfo>
    <X509Data>
      <X509Certificate>MIIICjCCBfKgAwIBAgITXAAAWvxRpRX9NbC+mAAAAABa/DANBgkqhkiG9w0BAQsFADBXMRcwFQYDVQQFEw5SVUMgODAwODA2MTAtNzEVMBMGA1UEChMMQ09ERTEwMCBTLkEuMQswCQYDVQQGEwJQWTEYMBYGA1UEAxMPQ0EtQ09ERTEwMCBTLkEuMB4XDTIxMDMzMTEzNTExNFoXDTIzMDMzMTEzNTExNFowgZ8xIjAgBgNVBAMTGUpPUkdFIEZBQklBTiBMRUlWQSBGQUxDT04xFzAVBgNVBAoTDlBFUlNPTkEgRklTSUNBMQswCQYDVQQGEwJQWTEVMBMGA1UEKhMMSk9SR0UgRkFCSUFOMRUwEwYDVQQEEwxMRUlWQSBGQUxDT04xEjAQBgNVBAUTCUNJNDU4NTk3NDERMA8GA1UECxMIRklSTUEgRjIwggEiMA0GCSqGSIb3DQEBAQUAA4IBDwAwggEKAoIBAQDD1GLxSMNDMdaajDl/+lphc50Riy7yM/HhiwB39783ixJEUs5+IVv0+P9hZ/C/BkHyCzIvkA8/ZrS9mdwj3k1Sikwpxbp80jhLT09urZzH4znHXkm1s/4GcZHlAghMNtjWqmj8r/pt9F2TmFzrH3MtrqpqCR8x1ngbuHrlwLDXOXzijC8EclIbBiQbUJVFmMocDQCmeq7DRIfkmv73+QA0qpJF3DmkMD+dP5qM7fj6Kb7YAB3Aw3ufsKm3HeqnNHIOMIJH7A1kTZLlrz46Y18oZaE0rcHIjEONagfzqrrz984kenGQN7eo+w70npzyUs+qlkhRYKSGMX/MMMCN2wXHAgMBAAGjggOEMIIDgDAOBgNVHQ8BAf8EBAMCBeAwDAYDVR0TAQH/BAIwADAgBgNVHSUBAf8EFjAUBggrBgEFBQcDAgYIKwYBBQUHAwQwHQYDVR0OBBYEFGaK1uUZBuJ/PB3RRLSiA7puIkdkMB8GA1UdIwQYMBaAFCf22jsLf5P4WRLQFapCz7KWlj1FMIGIBgNVHR8EgYAwfjB8oHqgeIY6aHR0cDovL2NhMS5jb2RlMTAwLmNvbS5weS9maXJtYS1kaWdpdGFsL2NybC9DQS1DT0RFMTAwLmNybIY6aHR0cDovL2NhMi5jb2RlMTAwLmNvbS5weS9maXJtYS1kaWdpdGFsL2NybC9DQS1DT0RFMTAwLmNybDCB+AYIKwYBBQUHAQEEgeswgegwRgYIKwYBBQUHMAKGOmh0dHA6Ly9jYTEuY29kZTEwMC5jb20ucHkvZmlybWEtZGlnaXRhbC9jZXIvQ0EtQ09ERTEwMC5jZXIwRgYIKwYBBQUHMAKGOmh0dHA6Ly9jYTIuY29kZTEwMC5jb20ucHkvZmlybWEtZGlnaXRhbC9jZXIvQ0EtQ09ERTEwMC5jZXIwKgYIKwYBBQUHMAGGHmh0dHA6Ly9jYTEuY29kZTEwMC5jb20ucHkvb2NzcDAqBggrBgEFBQcwAYYeaHR0cDovL2NhMi5jb2RlMTAwLmNvbS5weS9vY3NwMIIBTwYDVR0gBIIBRjCCAUIwggE+BgwrBgEEAYLZSgEBAQYwggEsMGwGCCsGAQUFBwIBFmBodHRwOi8vd3d3LmNvZGUxMDAuY29tLnB5L2Zpcm1hLWRpZ2l0YWwvQ09ERTEwMCUyMFBvbGl0aWNhJTIwZGUlMjBDZXJ0aWZpY2FjaW9uJTIwRjIlMjB2Mi4wLnBkZgAwZgYIKwYBBQUHAgIwWh5YAFAAbwBsAGkAdABpAGMAYQAgAGQAZQAgAGMAZQByAHQAaQBmAGkAYwBhAGMAaQBvAG4AIABGADIAIABkAGUAIABDAG8AZABlADEAMAAwACAAUwAuAEEALjBUBggrBgEFBQcCAjBIHkYAQwBvAGQAZQAgADEAMAAwACAAUwAuAEEALgAgAEMAZQByAHQAaQBmAGkAYwBhAHQAZQAgAFAAbwBsAGkAYwB5ACAARgAyMCUGA1UdEQQeMByBGkpMRUlWQUBDT05UUk9MTEVSUFkuQ09NLlBZMA0GCSqGSIb3DQEBCwUAA4ICAQASI/nIg7wstpVI7zZi+mhqsZY0ThlEDiK0HCeXYiVtfiaTwWat9gfH4nhEO+uEuUL/hYyLW7IXLg9KAJ8UMOw88q2683FiGwN12i/oO8+aIC5SuF/49xHV6SMWwTZsk6TMyng8JutXKwkjhqeKReXiCw21BIix3+/H8bFYnHhoXPHvZtLP+4PP6p8FE6D79+ptfxv9lkKSfSBPHob40dVKBhl0Q2T3pBDxkQU0qUOwlc5RVJtys/mn4i+DRXj/Rrt9ynLFnxEaPm6I8MBy8Rr95C9j2hmgBlX9wdVXx7QX0izwn2Q6WbFPW48luYpEX+xUZoCSORvfHqSYhJEH50qfrvld+uMXhuMGFRUXBQg4g5O2JZEMV3d2C4mNcF83DBYWU7BpEVHroB+VdXBoF1hA5Agq49Yk+F+r6ygxWUnabO4Fr0CohBtoTiyivLqsyvgJYg87xnC7DQ8UFqASC+Nr6AzFkqKYupRuiHkuflK4kVTlb/MfXXSHiK2pQ14RuONPdQOz7vN6YMa6JNy3YAxA07Qit67RpUH9niSoIjdCiUe0N6YaSmm5GaC9A5CVmWEEA5yEu2LzH776QpEkVO3Sh82NZiemgNXLrxHhQTb3GKX6tFyUGhHiceqcSyiyQxNuoJrxOuFkKMz1ap+LuGvM/ERomLmC2Bi6bxKsoEbcF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8"/>
            <mdssi:RelationshipReference xmlns:mdssi="http://schemas.openxmlformats.org/package/2006/digital-signature" SourceId="rId26"/>
            <mdssi:RelationshipReference xmlns:mdssi="http://schemas.openxmlformats.org/package/2006/digital-signature" SourceId="rId39"/>
            <mdssi:RelationshipReference xmlns:mdssi="http://schemas.openxmlformats.org/package/2006/digital-signature" SourceId="rId21"/>
            <mdssi:RelationshipReference xmlns:mdssi="http://schemas.openxmlformats.org/package/2006/digital-signature" SourceId="rId34"/>
            <mdssi:RelationshipReference xmlns:mdssi="http://schemas.openxmlformats.org/package/2006/digital-signature" SourceId="rId42"/>
            <mdssi:RelationshipReference xmlns:mdssi="http://schemas.openxmlformats.org/package/2006/digital-signature" SourceId="rId47"/>
            <mdssi:RelationshipReference xmlns:mdssi="http://schemas.openxmlformats.org/package/2006/digital-signature" SourceId="rId50"/>
            <mdssi:RelationshipReference xmlns:mdssi="http://schemas.openxmlformats.org/package/2006/digital-signature" SourceId="rId55"/>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6"/>
            <mdssi:RelationshipReference xmlns:mdssi="http://schemas.openxmlformats.org/package/2006/digital-signature" SourceId="rId29"/>
            <mdssi:RelationshipReference xmlns:mdssi="http://schemas.openxmlformats.org/package/2006/digital-signature" SourceId="rId11"/>
            <mdssi:RelationshipReference xmlns:mdssi="http://schemas.openxmlformats.org/package/2006/digital-signature" SourceId="rId24"/>
            <mdssi:RelationshipReference xmlns:mdssi="http://schemas.openxmlformats.org/package/2006/digital-signature" SourceId="rId32"/>
            <mdssi:RelationshipReference xmlns:mdssi="http://schemas.openxmlformats.org/package/2006/digital-signature" SourceId="rId37"/>
            <mdssi:RelationshipReference xmlns:mdssi="http://schemas.openxmlformats.org/package/2006/digital-signature" SourceId="rId40"/>
            <mdssi:RelationshipReference xmlns:mdssi="http://schemas.openxmlformats.org/package/2006/digital-signature" SourceId="rId45"/>
            <mdssi:RelationshipReference xmlns:mdssi="http://schemas.openxmlformats.org/package/2006/digital-signature" SourceId="rId53"/>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19"/>
            <mdssi:RelationshipReference xmlns:mdssi="http://schemas.openxmlformats.org/package/2006/digital-signature" SourceId="rId31"/>
            <mdssi:RelationshipReference xmlns:mdssi="http://schemas.openxmlformats.org/package/2006/digital-signature" SourceId="rId44"/>
            <mdssi:RelationshipReference xmlns:mdssi="http://schemas.openxmlformats.org/package/2006/digital-signature" SourceId="rId52"/>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14"/>
            <mdssi:RelationshipReference xmlns:mdssi="http://schemas.openxmlformats.org/package/2006/digital-signature" SourceId="rId22"/>
            <mdssi:RelationshipReference xmlns:mdssi="http://schemas.openxmlformats.org/package/2006/digital-signature" SourceId="rId27"/>
            <mdssi:RelationshipReference xmlns:mdssi="http://schemas.openxmlformats.org/package/2006/digital-signature" SourceId="rId30"/>
            <mdssi:RelationshipReference xmlns:mdssi="http://schemas.openxmlformats.org/package/2006/digital-signature" SourceId="rId35"/>
            <mdssi:RelationshipReference xmlns:mdssi="http://schemas.openxmlformats.org/package/2006/digital-signature" SourceId="rId43"/>
            <mdssi:RelationshipReference xmlns:mdssi="http://schemas.openxmlformats.org/package/2006/digital-signature" SourceId="rId48"/>
            <mdssi:RelationshipReference xmlns:mdssi="http://schemas.openxmlformats.org/package/2006/digital-signature" SourceId="rId8"/>
            <mdssi:RelationshipReference xmlns:mdssi="http://schemas.openxmlformats.org/package/2006/digital-signature" SourceId="rId51"/>
            <mdssi:RelationshipReference xmlns:mdssi="http://schemas.openxmlformats.org/package/2006/digital-signature" SourceId="rId3"/>
            <mdssi:RelationshipReference xmlns:mdssi="http://schemas.openxmlformats.org/package/2006/digital-signature" SourceId="rId12"/>
            <mdssi:RelationshipReference xmlns:mdssi="http://schemas.openxmlformats.org/package/2006/digital-signature" SourceId="rId17"/>
            <mdssi:RelationshipReference xmlns:mdssi="http://schemas.openxmlformats.org/package/2006/digital-signature" SourceId="rId25"/>
            <mdssi:RelationshipReference xmlns:mdssi="http://schemas.openxmlformats.org/package/2006/digital-signature" SourceId="rId33"/>
            <mdssi:RelationshipReference xmlns:mdssi="http://schemas.openxmlformats.org/package/2006/digital-signature" SourceId="rId38"/>
            <mdssi:RelationshipReference xmlns:mdssi="http://schemas.openxmlformats.org/package/2006/digital-signature" SourceId="rId46"/>
            <mdssi:RelationshipReference xmlns:mdssi="http://schemas.openxmlformats.org/package/2006/digital-signature" SourceId="rId20"/>
            <mdssi:RelationshipReference xmlns:mdssi="http://schemas.openxmlformats.org/package/2006/digital-signature" SourceId="rId41"/>
            <mdssi:RelationshipReference xmlns:mdssi="http://schemas.openxmlformats.org/package/2006/digital-signature" SourceId="rId54"/>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15"/>
            <mdssi:RelationshipReference xmlns:mdssi="http://schemas.openxmlformats.org/package/2006/digital-signature" SourceId="rId23"/>
            <mdssi:RelationshipReference xmlns:mdssi="http://schemas.openxmlformats.org/package/2006/digital-signature" SourceId="rId28"/>
            <mdssi:RelationshipReference xmlns:mdssi="http://schemas.openxmlformats.org/package/2006/digital-signature" SourceId="rId36"/>
            <mdssi:RelationshipReference xmlns:mdssi="http://schemas.openxmlformats.org/package/2006/digital-signature" SourceId="rId49"/>
            <mdssi:RelationshipReference xmlns:mdssi="http://schemas.openxmlformats.org/package/2006/digital-signature" SourceId="rId13"/>
          </Transform>
          <Transform Algorithm="http://www.w3.org/TR/2001/REC-xml-c14n-20010315"/>
        </Transforms>
        <DigestMethod Algorithm="http://www.w3.org/2001/04/xmlenc#sha256"/>
        <DigestValue>gXYo2sR/iBeLlICi72dVvnDFZI9vFoEZE47zl4ZyIes=</DigestValue>
      </Reference>
      <Reference URI="/xl/calcChain.xml?ContentType=application/vnd.openxmlformats-officedocument.spreadsheetml.calcChain+xml">
        <DigestMethod Algorithm="http://www.w3.org/2001/04/xmlenc#sha256"/>
        <DigestValue>rwQ8NNLfeIV0Svl5z/6GsN77Iuxc2NJX6WcSybAdBws=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1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2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+XdzWc+wyQHdwwJoJAAUigYMuelNwVqgqpt0RsJs22s=</DigestValue>
      </Reference>
      <Reference URI="/xl/drawings/_rels/drawing2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TKyH5Z3AAgSAsyJe27yyyhGgyezqkq1Xx34wUHFnndo=</DigestValue>
      </Reference>
      <Reference URI="/xl/drawings/_rels/drawing2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Pci/LLab4lweiILiYVAGV+4ZdGnEYMYbmsEeX6rFNts=</DigestValue>
      </Reference>
      <Reference URI="/xl/drawings/_rels/drawing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/0rf+oeMuT3zWPqMg4EHrQXu2dhiBzMzjGHmZHgbcCE=</DigestValue>
      </Reference>
      <Reference URI="/xl/drawings/_rels/drawing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2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f4RTn+1cKsHuaazlLxqB+NnoGci8lY2yQXMECFx1fJ8=</DigestValue>
      </Reference>
      <Reference URI="/xl/drawings/_rels/drawing2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uWX52h7olg+PFY/GkFTDFdyBbrOZlOU2iSM2S8keCUM=</DigestValue>
      </Reference>
      <Reference URI="/xl/drawings/_rels/drawing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67xnnx6EKykBWhQ+l+MiepyUSieGRY8x748BTSV3Qa0=</DigestValue>
      </Reference>
      <Reference URI="/xl/drawings/_rels/drawing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Sef/FlsJNttiupwNoyxImH9IxP5gj3sLePpv9jfC/iQ=</DigestValue>
      </Reference>
      <Reference URI="/xl/drawings/_rels/drawing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2OL4cWaPkygIQxoIaF9H3g3QuG+8RFbL/SqrjaMcTkY=</DigestValue>
      </Reference>
      <Reference URI="/xl/drawings/_rels/drawing3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Et7T9XurKBJJWrCXtR3dMU+zZ9PJcsL9TMPWUNG8pjo=</DigestValue>
      </Reference>
      <Reference URI="/xl/drawings/_rels/drawing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z636FAxH4HldSbADCjNPVo9xhHfS/4dyra7CuQ1rsyc=</DigestValue>
      </Reference>
      <Reference URI="/xl/drawings/_rels/drawing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tFh9Rj43C6yuiQ96grItfe1YLkNNoe8ZxnJUi7n/lcI=</DigestValue>
      </Reference>
      <Reference URI="/xl/drawings/_rels/drawing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vIcDaovaxv3fNNzzv1EYgbd66eAzhY3M1JNU/ywjUPc=</DigestValue>
      </Reference>
      <Reference URI="/xl/drawings/_rels/drawing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3pb/3JJ0U8Upo3/H1FDkI+VvNMpjTCxDOQvHWW5dRfw=</DigestValue>
      </Reference>
      <Reference URI="/xl/drawings/_rels/drawing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8j3pe7mg3Uo1mW+UclCsYddhSA0wJ4miKmFAFXMAroY=</DigestValue>
      </Reference>
      <Reference URI="/xl/drawings/_rels/drawing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CHqaHTuftENll1Plk985c5Y2idDSqR7f0J1kKaAV7cg=</DigestValue>
      </Reference>
      <Reference URI="/xl/drawings/_rels/drawing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_rels/drawing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Kgz2T+jdnPwtS/b6SG36nlMh/tsyQtlsftvhZkyXlb8=</DigestValue>
      </Reference>
      <Reference URI="/xl/drawings/drawing1.xml?ContentType=application/vnd.openxmlformats-officedocument.drawing+xml">
        <DigestMethod Algorithm="http://www.w3.org/2001/04/xmlenc#sha256"/>
        <DigestValue>zcvWX2nBR8vsLpugaQRi4/TTtq/43ce7yNEn7/+PY68=</DigestValue>
      </Reference>
      <Reference URI="/xl/drawings/drawing10.xml?ContentType=application/vnd.openxmlformats-officedocument.drawing+xml">
        <DigestMethod Algorithm="http://www.w3.org/2001/04/xmlenc#sha256"/>
        <DigestValue>gEQiqpClN3YajIriWje5PBs6AivyUBmsa3wRfZcI+I0=</DigestValue>
      </Reference>
      <Reference URI="/xl/drawings/drawing11.xml?ContentType=application/vnd.openxmlformats-officedocument.drawing+xml">
        <DigestMethod Algorithm="http://www.w3.org/2001/04/xmlenc#sha256"/>
        <DigestValue>JqGz6vLWGozlzUjSd45hVXUTBLSksV7wQmLs+NumxEI=</DigestValue>
      </Reference>
      <Reference URI="/xl/drawings/drawing12.xml?ContentType=application/vnd.openxmlformats-officedocument.drawing+xml">
        <DigestMethod Algorithm="http://www.w3.org/2001/04/xmlenc#sha256"/>
        <DigestValue>XFm/Q85fRuBALJ29hVB+GpBut3jPRDCQ6OR7lM6s/Z4=</DigestValue>
      </Reference>
      <Reference URI="/xl/drawings/drawing13.xml?ContentType=application/vnd.openxmlformats-officedocument.drawing+xml">
        <DigestMethod Algorithm="http://www.w3.org/2001/04/xmlenc#sha256"/>
        <DigestValue>+ClD7G4WSfQC51+Y5bGcVb6dd/o0PpcWaWr+Qhp/MRo=</DigestValue>
      </Reference>
      <Reference URI="/xl/drawings/drawing14.xml?ContentType=application/vnd.openxmlformats-officedocument.drawing+xml">
        <DigestMethod Algorithm="http://www.w3.org/2001/04/xmlenc#sha256"/>
        <DigestValue>ifLvntU11Ychi1lvdrvq6Chv+lBX8Cjo1JwgAVcRJrY=</DigestValue>
      </Reference>
      <Reference URI="/xl/drawings/drawing15.xml?ContentType=application/vnd.openxmlformats-officedocument.drawing+xml">
        <DigestMethod Algorithm="http://www.w3.org/2001/04/xmlenc#sha256"/>
        <DigestValue>JIAKT99zi9FI/4KXwuXrMlVdAHpbfZpyMu6lYRzSp1o=</DigestValue>
      </Reference>
      <Reference URI="/xl/drawings/drawing16.xml?ContentType=application/vnd.openxmlformats-officedocument.drawing+xml">
        <DigestMethod Algorithm="http://www.w3.org/2001/04/xmlenc#sha256"/>
        <DigestValue>XnTLmYWGevXmznAxnbciFqckyfijj39WaKb7+tRjxAY=</DigestValue>
      </Reference>
      <Reference URI="/xl/drawings/drawing17.xml?ContentType=application/vnd.openxmlformats-officedocument.drawing+xml">
        <DigestMethod Algorithm="http://www.w3.org/2001/04/xmlenc#sha256"/>
        <DigestValue>RsoJvJrbik0FYqy35i4E5lgq6ERHiwp1MQYSzQq8Bag=</DigestValue>
      </Reference>
      <Reference URI="/xl/drawings/drawing18.xml?ContentType=application/vnd.openxmlformats-officedocument.drawing+xml">
        <DigestMethod Algorithm="http://www.w3.org/2001/04/xmlenc#sha256"/>
        <DigestValue>5b+fCINz8XXemHeYqx/JI4peNFY1yuZjiUYOaSt7ay4=</DigestValue>
      </Reference>
      <Reference URI="/xl/drawings/drawing19.xml?ContentType=application/vnd.openxmlformats-officedocument.drawing+xml">
        <DigestMethod Algorithm="http://www.w3.org/2001/04/xmlenc#sha256"/>
        <DigestValue>mypGDIrqT5eULnXutXvy5YQm4JowMuZlh5rEhT36afw=</DigestValue>
      </Reference>
      <Reference URI="/xl/drawings/drawing2.xml?ContentType=application/vnd.openxmlformats-officedocument.drawing+xml">
        <DigestMethod Algorithm="http://www.w3.org/2001/04/xmlenc#sha256"/>
        <DigestValue>73Zma9GTY/Qbhr4LLYfSg3KmjSlRc6MUmtm6nDso0aI=</DigestValue>
      </Reference>
      <Reference URI="/xl/drawings/drawing20.xml?ContentType=application/vnd.openxmlformats-officedocument.drawing+xml">
        <DigestMethod Algorithm="http://www.w3.org/2001/04/xmlenc#sha256"/>
        <DigestValue>oxbqSSHDH6D8DSP3lEC5r2AAF55yPkvh8/cLarO9r6w=</DigestValue>
      </Reference>
      <Reference URI="/xl/drawings/drawing21.xml?ContentType=application/vnd.openxmlformats-officedocument.drawing+xml">
        <DigestMethod Algorithm="http://www.w3.org/2001/04/xmlenc#sha256"/>
        <DigestValue>QFqTPcllDj77qOUmNGp4GKnpXBf8+WMWcuMVOXseL+Y=</DigestValue>
      </Reference>
      <Reference URI="/xl/drawings/drawing22.xml?ContentType=application/vnd.openxmlformats-officedocument.drawing+xml">
        <DigestMethod Algorithm="http://www.w3.org/2001/04/xmlenc#sha256"/>
        <DigestValue>SMDHJCN7+artZs+YuVFkWAKm8tgJeUGORSHL8qtVvAc=</DigestValue>
      </Reference>
      <Reference URI="/xl/drawings/drawing23.xml?ContentType=application/vnd.openxmlformats-officedocument.drawing+xml">
        <DigestMethod Algorithm="http://www.w3.org/2001/04/xmlenc#sha256"/>
        <DigestValue>NKJVA/OlP1rilFR3HqMN41HJapoKDwrT7sAsTRf4x64=</DigestValue>
      </Reference>
      <Reference URI="/xl/drawings/drawing24.xml?ContentType=application/vnd.openxmlformats-officedocument.drawing+xml">
        <DigestMethod Algorithm="http://www.w3.org/2001/04/xmlenc#sha256"/>
        <DigestValue>ihI8Kp6ToGTxD/LnLcLtHe7RW5DVoqJCoSAdnZmncac=</DigestValue>
      </Reference>
      <Reference URI="/xl/drawings/drawing25.xml?ContentType=application/vnd.openxmlformats-officedocument.drawing+xml">
        <DigestMethod Algorithm="http://www.w3.org/2001/04/xmlenc#sha256"/>
        <DigestValue>PFGhj3wZifggbiRrv0L5KLxtDQZM47N4wL2p6cPBJ7c=</DigestValue>
      </Reference>
      <Reference URI="/xl/drawings/drawing26.xml?ContentType=application/vnd.openxmlformats-officedocument.drawing+xml">
        <DigestMethod Algorithm="http://www.w3.org/2001/04/xmlenc#sha256"/>
        <DigestValue>OouycOmReoGrecmOlqWk7hYfKAJAfnpu3j9PggvdJB0=</DigestValue>
      </Reference>
      <Reference URI="/xl/drawings/drawing27.xml?ContentType=application/vnd.openxmlformats-officedocument.drawing+xml">
        <DigestMethod Algorithm="http://www.w3.org/2001/04/xmlenc#sha256"/>
        <DigestValue>UTaTqn99wkwplVyxHeEGgwqQM6smH71jck54oHbzljw=</DigestValue>
      </Reference>
      <Reference URI="/xl/drawings/drawing28.xml?ContentType=application/vnd.openxmlformats-officedocument.drawing+xml">
        <DigestMethod Algorithm="http://www.w3.org/2001/04/xmlenc#sha256"/>
        <DigestValue>t2+uI+REghiaQDE+YceH1aEqNfgLVR2GfeCb+67oGRs=</DigestValue>
      </Reference>
      <Reference URI="/xl/drawings/drawing29.xml?ContentType=application/vnd.openxmlformats-officedocument.drawing+xml">
        <DigestMethod Algorithm="http://www.w3.org/2001/04/xmlenc#sha256"/>
        <DigestValue>mos9Pw0w6gf7i7e/NqsauHlDKzewhLWDwGOWi/E42AU=</DigestValue>
      </Reference>
      <Reference URI="/xl/drawings/drawing3.xml?ContentType=application/vnd.openxmlformats-officedocument.drawing+xml">
        <DigestMethod Algorithm="http://www.w3.org/2001/04/xmlenc#sha256"/>
        <DigestValue>+lYmgjiFQYCAS4gc4swzbXEeGH1zNwYtufvmFlNmaWs=</DigestValue>
      </Reference>
      <Reference URI="/xl/drawings/drawing30.xml?ContentType=application/vnd.openxmlformats-officedocument.drawing+xml">
        <DigestMethod Algorithm="http://www.w3.org/2001/04/xmlenc#sha256"/>
        <DigestValue>7aNBCfDh92+Bh1BAkrWa8Jbcx8hLYgb0dL2jNpkG/2w=</DigestValue>
      </Reference>
      <Reference URI="/xl/drawings/drawing31.xml?ContentType=application/vnd.openxmlformats-officedocument.drawing+xml">
        <DigestMethod Algorithm="http://www.w3.org/2001/04/xmlenc#sha256"/>
        <DigestValue>s90PtH/P6qachG2l9eVWeC2x2vqtjuyssZnZywrUGHs=</DigestValue>
      </Reference>
      <Reference URI="/xl/drawings/drawing32.xml?ContentType=application/vnd.openxmlformats-officedocument.drawing+xml">
        <DigestMethod Algorithm="http://www.w3.org/2001/04/xmlenc#sha256"/>
        <DigestValue>IXO3rSB+JSyFCx9YlryoDaVFlJDBFKslB+GFpU5msxY=</DigestValue>
      </Reference>
      <Reference URI="/xl/drawings/drawing33.xml?ContentType=application/vnd.openxmlformats-officedocument.drawing+xml">
        <DigestMethod Algorithm="http://www.w3.org/2001/04/xmlenc#sha256"/>
        <DigestValue>zIyq6l2g6I8/Wj4NyjHaMBO7qTQS/FXfc26ZK6T+jS0=</DigestValue>
      </Reference>
      <Reference URI="/xl/drawings/drawing34.xml?ContentType=application/vnd.openxmlformats-officedocument.drawing+xml">
        <DigestMethod Algorithm="http://www.w3.org/2001/04/xmlenc#sha256"/>
        <DigestValue>hJM8TSphcOa07Jlxi9oqrVw8Atz+JMkI6vtXjXq801s=</DigestValue>
      </Reference>
      <Reference URI="/xl/drawings/drawing35.xml?ContentType=application/vnd.openxmlformats-officedocument.drawing+xml">
        <DigestMethod Algorithm="http://www.w3.org/2001/04/xmlenc#sha256"/>
        <DigestValue>rvipdRBYh8wdEbU5tsHqe0orsEgGSsmjNktTJTD0By0=</DigestValue>
      </Reference>
      <Reference URI="/xl/drawings/drawing36.xml?ContentType=application/vnd.openxmlformats-officedocument.drawing+xml">
        <DigestMethod Algorithm="http://www.w3.org/2001/04/xmlenc#sha256"/>
        <DigestValue>NbdgzuCUc1yAjYv+2MdMJgujpBnpElglOvv+ITZ7Iig=</DigestValue>
      </Reference>
      <Reference URI="/xl/drawings/drawing37.xml?ContentType=application/vnd.openxmlformats-officedocument.drawing+xml">
        <DigestMethod Algorithm="http://www.w3.org/2001/04/xmlenc#sha256"/>
        <DigestValue>uVHNXQLzpolvz04GBkG4dx2a+jgdl9SE9fI8SZXFE1A=</DigestValue>
      </Reference>
      <Reference URI="/xl/drawings/drawing38.xml?ContentType=application/vnd.openxmlformats-officedocument.drawing+xml">
        <DigestMethod Algorithm="http://www.w3.org/2001/04/xmlenc#sha256"/>
        <DigestValue>9HQH+JemwXE+Os3rYT9HYXWX31GQxkwch31GKar0hN0=</DigestValue>
      </Reference>
      <Reference URI="/xl/drawings/drawing39.xml?ContentType=application/vnd.openxmlformats-officedocument.drawing+xml">
        <DigestMethod Algorithm="http://www.w3.org/2001/04/xmlenc#sha256"/>
        <DigestValue>ybYRCKK7uoc7jPa86A7DaMPElyuHsZQStyFXThweJnE=</DigestValue>
      </Reference>
      <Reference URI="/xl/drawings/drawing4.xml?ContentType=application/vnd.openxmlformats-officedocument.drawing+xml">
        <DigestMethod Algorithm="http://www.w3.org/2001/04/xmlenc#sha256"/>
        <DigestValue>pGKnUW0jkoJrB5ybcxCDoS4FvMalANj8EUqgiDLFs0o=</DigestValue>
      </Reference>
      <Reference URI="/xl/drawings/drawing5.xml?ContentType=application/vnd.openxmlformats-officedocument.drawing+xml">
        <DigestMethod Algorithm="http://www.w3.org/2001/04/xmlenc#sha256"/>
        <DigestValue>/THnCzP/k7BRydrmSdk8VxziETtHigOwLwm9hZutwX8=</DigestValue>
      </Reference>
      <Reference URI="/xl/drawings/drawing6.xml?ContentType=application/vnd.openxmlformats-officedocument.drawing+xml">
        <DigestMethod Algorithm="http://www.w3.org/2001/04/xmlenc#sha256"/>
        <DigestValue>bRKymH9q9L8zlYRnb7O6vjvbXBAPncqn7h8eBeM8JUk=</DigestValue>
      </Reference>
      <Reference URI="/xl/drawings/drawing7.xml?ContentType=application/vnd.openxmlformats-officedocument.drawing+xml">
        <DigestMethod Algorithm="http://www.w3.org/2001/04/xmlenc#sha256"/>
        <DigestValue>nQ9wow1U87M07iYGbw56e97seWrlCLdE54Pdrs1NcUI=</DigestValue>
      </Reference>
      <Reference URI="/xl/drawings/drawing8.xml?ContentType=application/vnd.openxmlformats-officedocument.drawing+xml">
        <DigestMethod Algorithm="http://www.w3.org/2001/04/xmlenc#sha256"/>
        <DigestValue>V+yYuFh6EnhxGtUxP1awTvpb7X28p4+iTCO8cmSs2c4=</DigestValue>
      </Reference>
      <Reference URI="/xl/drawings/drawing9.xml?ContentType=application/vnd.openxmlformats-officedocument.drawing+xml">
        <DigestMethod Algorithm="http://www.w3.org/2001/04/xmlenc#sha256"/>
        <DigestValue>e/QfCY/dxHIkMWDIKTqpVDew/MBzcSal4Ev5+jfK1FM=</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qcCvnXAgISUdOaXmpHxRUf47IzDD6wUYeGD0alQLpDI=</DigestValue>
      </Reference>
      <Reference URI="/xl/externalLinks/externalLink1.xml?ContentType=application/vnd.openxmlformats-officedocument.spreadsheetml.externalLink+xml">
        <DigestMethod Algorithm="http://www.w3.org/2001/04/xmlenc#sha256"/>
        <DigestValue>YJRMteVW16B/Xkrru1bF5wq5CJen9wYmUbdcseRow3c=</DigestValue>
      </Reference>
      <Reference URI="/xl/media/image1.png?ContentType=image/png">
        <DigestMethod Algorithm="http://www.w3.org/2001/04/xmlenc#sha256"/>
        <DigestValue>0yN0sv3xks3LhB8DdGOpvoOtBsjYEMBICdGg++eVkgI=</DigestValue>
      </Reference>
      <Reference URI="/xl/media/image10.png?ContentType=image/png">
        <DigestMethod Algorithm="http://www.w3.org/2001/04/xmlenc#sha256"/>
        <DigestValue>JyjjR5gl3HMcFUs+LhTpBAR/45PHjzviJOIkarDz/IY=</DigestValue>
      </Reference>
      <Reference URI="/xl/media/image11.png?ContentType=image/png">
        <DigestMethod Algorithm="http://www.w3.org/2001/04/xmlenc#sha256"/>
        <DigestValue>tg/gq6qh06h8QArHcR04UMi0/aTHuLX1R5yCZPTfS/8=</DigestValue>
      </Reference>
      <Reference URI="/xl/media/image12.png?ContentType=image/png">
        <DigestMethod Algorithm="http://www.w3.org/2001/04/xmlenc#sha256"/>
        <DigestValue>5lxoLIpXKnDj4Hup1XD2i5eim/PKky6NAtsfWETPH8A=</DigestValue>
      </Reference>
      <Reference URI="/xl/media/image13.png?ContentType=image/png">
        <DigestMethod Algorithm="http://www.w3.org/2001/04/xmlenc#sha256"/>
        <DigestValue>/YEIX5tivdCOM3B3zce4zsm5VVgSls2UUHJ0R3u4k60=</DigestValue>
      </Reference>
      <Reference URI="/xl/media/image14.png?ContentType=image/png">
        <DigestMethod Algorithm="http://www.w3.org/2001/04/xmlenc#sha256"/>
        <DigestValue>puQgzczx3QgdiN0D7xAgQa2Zr6/cOu+wzDRo9PEoFro=</DigestValue>
      </Reference>
      <Reference URI="/xl/media/image15.png?ContentType=image/png">
        <DigestMethod Algorithm="http://www.w3.org/2001/04/xmlenc#sha256"/>
        <DigestValue>nTiBY7ziJ4H95AIKXRAgWODzNv2NBioqNAYH47FQoTw=</DigestValue>
      </Reference>
      <Reference URI="/xl/media/image16.png?ContentType=image/png">
        <DigestMethod Algorithm="http://www.w3.org/2001/04/xmlenc#sha256"/>
        <DigestValue>eii6jmGbFF8u+3QBSbLtFSmsTLM73Kr9S9BGXOO7m0Y=</DigestValue>
      </Reference>
      <Reference URI="/xl/media/image17.png?ContentType=image/png">
        <DigestMethod Algorithm="http://www.w3.org/2001/04/xmlenc#sha256"/>
        <DigestValue>VFLjeXnJN80RKMvSz6YJiZTOKJwhcNN/0uCqAtSJMlE=</DigestValue>
      </Reference>
      <Reference URI="/xl/media/image2.png?ContentType=image/png">
        <DigestMethod Algorithm="http://www.w3.org/2001/04/xmlenc#sha256"/>
        <DigestValue>9hk54UCoSkL12GgG2N83ToiEZ+MLsfhN1AFl6yDkbjA=</DigestValue>
      </Reference>
      <Reference URI="/xl/media/image3.png?ContentType=image/png">
        <DigestMethod Algorithm="http://www.w3.org/2001/04/xmlenc#sha256"/>
        <DigestValue>1yjrE4fm66dE4TknsIqfskKPJPUgHWT/KPR0drar5BI=</DigestValue>
      </Reference>
      <Reference URI="/xl/media/image4.png?ContentType=image/png">
        <DigestMethod Algorithm="http://www.w3.org/2001/04/xmlenc#sha256"/>
        <DigestValue>bWpgqZw7caGqVzGE9RuRNl6FP5RGtylR9TVLVHO5Rwk=</DigestValue>
      </Reference>
      <Reference URI="/xl/media/image5.png?ContentType=image/png">
        <DigestMethod Algorithm="http://www.w3.org/2001/04/xmlenc#sha256"/>
        <DigestValue>pYHq++Imbkc99SC7m+tCG/XVxh3HtX9cicYqScGTyZs=</DigestValue>
      </Reference>
      <Reference URI="/xl/media/image6.png?ContentType=image/png">
        <DigestMethod Algorithm="http://www.w3.org/2001/04/xmlenc#sha256"/>
        <DigestValue>nI++AjEfP1d7ftlg6KWihH/ov/sjqaMMI8lEWXstggc=</DigestValue>
      </Reference>
      <Reference URI="/xl/media/image7.png?ContentType=image/png">
        <DigestMethod Algorithm="http://www.w3.org/2001/04/xmlenc#sha256"/>
        <DigestValue>lsyYvngostLa9Gw1kltfVj9nX68/T5wKiOsE48GFtK8=</DigestValue>
      </Reference>
      <Reference URI="/xl/media/image8.png?ContentType=image/png">
        <DigestMethod Algorithm="http://www.w3.org/2001/04/xmlenc#sha256"/>
        <DigestValue>8H8K457GbXt57SCRBWkswYwN4UIvmFvBTwfvfm+Jkzs=</DigestValue>
      </Reference>
      <Reference URI="/xl/media/image9.png?ContentType=image/png">
        <DigestMethod Algorithm="http://www.w3.org/2001/04/xmlenc#sha256"/>
        <DigestValue>dlvOUHyLirm0ZxzY0wb56z8/V9GXEHRmdRCEus3TeqU=</DigestValue>
      </Reference>
      <Reference URI="/xl/printerSettings/printerSettings1.bin?ContentType=application/vnd.openxmlformats-officedocument.spreadsheetml.printerSettings">
        <DigestMethod Algorithm="http://www.w3.org/2001/04/xmlenc#sha256"/>
        <DigestValue>B4Q8N2zcbWojgCBNCXcBNM5QXqMCkXYTH6TMMCar42k=</DigestValue>
      </Reference>
      <Reference URI="/xl/printerSettings/printerSettings10.bin?ContentType=application/vnd.openxmlformats-officedocument.spreadsheetml.printerSettings">
        <DigestMethod Algorithm="http://www.w3.org/2001/04/xmlenc#sha256"/>
        <DigestValue>kcwqMr/zaJs6fqDV/XySQD8Ia+unjs14h0/Hj6eL39Q=</DigestValue>
      </Reference>
      <Reference URI="/xl/printerSettings/printerSettings11.bin?ContentType=application/vnd.openxmlformats-officedocument.spreadsheetml.printerSettings">
        <DigestMethod Algorithm="http://www.w3.org/2001/04/xmlenc#sha256"/>
        <DigestValue>3iIArNJps9HpkpDcLOr8z230yUWZv1XesOHPXkjR8GI=</DigestValue>
      </Reference>
      <Reference URI="/xl/printerSettings/printerSettings12.bin?ContentType=application/vnd.openxmlformats-officedocument.spreadsheetml.printerSettings">
        <DigestMethod Algorithm="http://www.w3.org/2001/04/xmlenc#sha256"/>
        <DigestValue>ZAbJ27P/3jDUYtIXJsIue7Daei9lcjuzOAGWgXM9dN0=</DigestValue>
      </Reference>
      <Reference URI="/xl/printerSettings/printerSettings13.bin?ContentType=application/vnd.openxmlformats-officedocument.spreadsheetml.printerSettings">
        <DigestMethod Algorithm="http://www.w3.org/2001/04/xmlenc#sha256"/>
        <DigestValue>d0Dtv2BH7csRasCz9VpX6inprNjMrOR0zY+irM2+7UE=</DigestValue>
      </Reference>
      <Reference URI="/xl/printerSettings/printerSettings14.bin?ContentType=application/vnd.openxmlformats-officedocument.spreadsheetml.printerSettings">
        <DigestMethod Algorithm="http://www.w3.org/2001/04/xmlenc#sha256"/>
        <DigestValue>ZAbJ27P/3jDUYtIXJsIue7Daei9lcjuzOAGWgXM9dN0=</DigestValue>
      </Reference>
      <Reference URI="/xl/printerSettings/printerSettings15.bin?ContentType=application/vnd.openxmlformats-officedocument.spreadsheetml.printerSettings">
        <DigestMethod Algorithm="http://www.w3.org/2001/04/xmlenc#sha256"/>
        <DigestValue>kcwqMr/zaJs6fqDV/XySQD8Ia+unjs14h0/Hj6eL39Q=</DigestValue>
      </Reference>
      <Reference URI="/xl/printerSettings/printerSettings16.bin?ContentType=application/vnd.openxmlformats-officedocument.spreadsheetml.printerSettings">
        <DigestMethod Algorithm="http://www.w3.org/2001/04/xmlenc#sha256"/>
        <DigestValue>gIytFaOhoIJ+h5FxEzaqu+TAkh+R6i9u0tH+nyJ2zwQ=</DigestValue>
      </Reference>
      <Reference URI="/xl/printerSettings/printerSettings17.bin?ContentType=application/vnd.openxmlformats-officedocument.spreadsheetml.printerSettings">
        <DigestMethod Algorithm="http://www.w3.org/2001/04/xmlenc#sha256"/>
        <DigestValue>hOi9auu88MOhJVu5+E2APm2s+HXbGfwINgBKzhnwYPA=</DigestValue>
      </Reference>
      <Reference URI="/xl/printerSettings/printerSettings18.bin?ContentType=application/vnd.openxmlformats-officedocument.spreadsheetml.printerSettings">
        <DigestMethod Algorithm="http://www.w3.org/2001/04/xmlenc#sha256"/>
        <DigestValue>3iIArNJps9HpkpDcLOr8z230yUWZv1XesOHPXkjR8GI=</DigestValue>
      </Reference>
      <Reference URI="/xl/printerSettings/printerSettings19.bin?ContentType=application/vnd.openxmlformats-officedocument.spreadsheetml.printerSettings">
        <DigestMethod Algorithm="http://www.w3.org/2001/04/xmlenc#sha256"/>
        <DigestValue>hOi9auu88MOhJVu5+E2APm2s+HXbGfwINgBKzhnwYPA=</DigestValue>
      </Reference>
      <Reference URI="/xl/printerSettings/printerSettings2.bin?ContentType=application/vnd.openxmlformats-officedocument.spreadsheetml.printerSettings">
        <DigestMethod Algorithm="http://www.w3.org/2001/04/xmlenc#sha256"/>
        <DigestValue>r3YG9TzA4yBoZ7KYXO0kHDFSqYEjSWVJwhltonS2n5w=</DigestValue>
      </Reference>
      <Reference URI="/xl/printerSettings/printerSettings20.bin?ContentType=application/vnd.openxmlformats-officedocument.spreadsheetml.printerSettings">
        <DigestMethod Algorithm="http://www.w3.org/2001/04/xmlenc#sha256"/>
        <DigestValue>hOi9auu88MOhJVu5+E2APm2s+HXbGfwINgBKzhnwYPA=</DigestValue>
      </Reference>
      <Reference URI="/xl/printerSettings/printerSettings21.bin?ContentType=application/vnd.openxmlformats-officedocument.spreadsheetml.printerSettings">
        <DigestMethod Algorithm="http://www.w3.org/2001/04/xmlenc#sha256"/>
        <DigestValue>iesWx7GcTZIkSbOpVMRadbXiV30BRZGpZR+ZA+QIU+c=</DigestValue>
      </Reference>
      <Reference URI="/xl/printerSettings/printerSettings22.bin?ContentType=application/vnd.openxmlformats-officedocument.spreadsheetml.printerSettings">
        <DigestMethod Algorithm="http://www.w3.org/2001/04/xmlenc#sha256"/>
        <DigestValue>ZAbJ27P/3jDUYtIXJsIue7Daei9lcjuzOAGWgXM9dN0=</DigestValue>
      </Reference>
      <Reference URI="/xl/printerSettings/printerSettings23.bin?ContentType=application/vnd.openxmlformats-officedocument.spreadsheetml.printerSettings">
        <DigestMethod Algorithm="http://www.w3.org/2001/04/xmlenc#sha256"/>
        <DigestValue>hOi9auu88MOhJVu5+E2APm2s+HXbGfwINgBKzhnwYPA=</DigestValue>
      </Reference>
      <Reference URI="/xl/printerSettings/printerSettings24.bin?ContentType=application/vnd.openxmlformats-officedocument.spreadsheetml.printerSettings">
        <DigestMethod Algorithm="http://www.w3.org/2001/04/xmlenc#sha256"/>
        <DigestValue>iDHNTHpzY06/L3mgUST7Ha8zmKjtDr90B/u5Z/rQPno=</DigestValue>
      </Reference>
      <Reference URI="/xl/printerSettings/printerSettings25.bin?ContentType=application/vnd.openxmlformats-officedocument.spreadsheetml.printerSettings">
        <DigestMethod Algorithm="http://www.w3.org/2001/04/xmlenc#sha256"/>
        <DigestValue>hOi9auu88MOhJVu5+E2APm2s+HXbGfwINgBKzhnwYPA=</DigestValue>
      </Reference>
      <Reference URI="/xl/printerSettings/printerSettings26.bin?ContentType=application/vnd.openxmlformats-officedocument.spreadsheetml.printerSettings">
        <DigestMethod Algorithm="http://www.w3.org/2001/04/xmlenc#sha256"/>
        <DigestValue>3iIArNJps9HpkpDcLOr8z230yUWZv1XesOHPXkjR8GI=</DigestValue>
      </Reference>
      <Reference URI="/xl/printerSettings/printerSettings27.bin?ContentType=application/vnd.openxmlformats-officedocument.spreadsheetml.printerSettings">
        <DigestMethod Algorithm="http://www.w3.org/2001/04/xmlenc#sha256"/>
        <DigestValue>hOi9auu88MOhJVu5+E2APm2s+HXbGfwINgBKzhnwYPA=</DigestValue>
      </Reference>
      <Reference URI="/xl/printerSettings/printerSettings28.bin?ContentType=application/vnd.openxmlformats-officedocument.spreadsheetml.printerSettings">
        <DigestMethod Algorithm="http://www.w3.org/2001/04/xmlenc#sha256"/>
        <DigestValue>hOi9auu88MOhJVu5+E2APm2s+HXbGfwINgBKzhnwYPA=</DigestValue>
      </Reference>
      <Reference URI="/xl/printerSettings/printerSettings29.bin?ContentType=application/vnd.openxmlformats-officedocument.spreadsheetml.printerSettings">
        <DigestMethod Algorithm="http://www.w3.org/2001/04/xmlenc#sha256"/>
        <DigestValue>rTYVv8Gal1CfjH/D/lMYWmWxEWpu3g77YYy5SnqITfI=</DigestValue>
      </Reference>
      <Reference URI="/xl/printerSettings/printerSettings3.bin?ContentType=application/vnd.openxmlformats-officedocument.spreadsheetml.printerSettings">
        <DigestMethod Algorithm="http://www.w3.org/2001/04/xmlenc#sha256"/>
        <DigestValue>gIytFaOhoIJ+h5FxEzaqu+TAkh+R6i9u0tH+nyJ2zwQ=</DigestValue>
      </Reference>
      <Reference URI="/xl/printerSettings/printerSettings30.bin?ContentType=application/vnd.openxmlformats-officedocument.spreadsheetml.printerSettings">
        <DigestMethod Algorithm="http://www.w3.org/2001/04/xmlenc#sha256"/>
        <DigestValue>Y6tiyYBETcxke1panLekhokdbd2uOU5uhfj/pBeOAG8=</DigestValue>
      </Reference>
      <Reference URI="/xl/printerSettings/printerSettings31.bin?ContentType=application/vnd.openxmlformats-officedocument.spreadsheetml.printerSettings">
        <DigestMethod Algorithm="http://www.w3.org/2001/04/xmlenc#sha256"/>
        <DigestValue>Y6tiyYBETcxke1panLekhokdbd2uOU5uhfj/pBeOAG8=</DigestValue>
      </Reference>
      <Reference URI="/xl/printerSettings/printerSettings4.bin?ContentType=application/vnd.openxmlformats-officedocument.spreadsheetml.printerSettings">
        <DigestMethod Algorithm="http://www.w3.org/2001/04/xmlenc#sha256"/>
        <DigestValue>7TY9P7WQnQmiq5l9XCTpc621N4D7vgqZ9j1gf5jO7Fw=</DigestValue>
      </Reference>
      <Reference URI="/xl/printerSettings/printerSettings5.bin?ContentType=application/vnd.openxmlformats-officedocument.spreadsheetml.printerSettings">
        <DigestMethod Algorithm="http://www.w3.org/2001/04/xmlenc#sha256"/>
        <DigestValue>gIytFaOhoIJ+h5FxEzaqu+TAkh+R6i9u0tH+nyJ2zwQ=</DigestValue>
      </Reference>
      <Reference URI="/xl/printerSettings/printerSettings6.bin?ContentType=application/vnd.openxmlformats-officedocument.spreadsheetml.printerSettings">
        <DigestMethod Algorithm="http://www.w3.org/2001/04/xmlenc#sha256"/>
        <DigestValue>3ALomSxg8VLf4aeOVXjDHTaVOPlSDv7DXHap3NHEgB4=</DigestValue>
      </Reference>
      <Reference URI="/xl/printerSettings/printerSettings7.bin?ContentType=application/vnd.openxmlformats-officedocument.spreadsheetml.printerSettings">
        <DigestMethod Algorithm="http://www.w3.org/2001/04/xmlenc#sha256"/>
        <DigestValue>Lv/33Q42DG7Te8Tz1aqiZKLSDnJJd9woq1MbaUbNT5U=</DigestValue>
      </Reference>
      <Reference URI="/xl/printerSettings/printerSettings8.bin?ContentType=application/vnd.openxmlformats-officedocument.spreadsheetml.printerSettings">
        <DigestMethod Algorithm="http://www.w3.org/2001/04/xmlenc#sha256"/>
        <DigestValue>iDHNTHpzY06/L3mgUST7Ha8zmKjtDr90B/u5Z/rQPno=</DigestValue>
      </Reference>
      <Reference URI="/xl/printerSettings/printerSettings9.bin?ContentType=application/vnd.openxmlformats-officedocument.spreadsheetml.printerSettings">
        <DigestMethod Algorithm="http://www.w3.org/2001/04/xmlenc#sha256"/>
        <DigestValue>hOi9auu88MOhJVu5+E2APm2s+HXbGfwINgBKzhnwYPA=</DigestValue>
      </Reference>
      <Reference URI="/xl/sharedStrings.xml?ContentType=application/vnd.openxmlformats-officedocument.spreadsheetml.sharedStrings+xml">
        <DigestMethod Algorithm="http://www.w3.org/2001/04/xmlenc#sha256"/>
        <DigestValue>Rhe+aYiduf1vnb7dQ7iijuAVNIWXADYsOlj2U9F5k3A=</DigestValue>
      </Reference>
      <Reference URI="/xl/styles.xml?ContentType=application/vnd.openxmlformats-officedocument.spreadsheetml.styles+xml">
        <DigestMethod Algorithm="http://www.w3.org/2001/04/xmlenc#sha256"/>
        <DigestValue>ibxAprfSlIblukKaj5rSxZYQp6/x8DinLfLmrx+8xMM=</DigestValue>
      </Reference>
      <Reference URI="/xl/theme/theme1.xml?ContentType=application/vnd.openxmlformats-officedocument.theme+xml">
        <DigestMethod Algorithm="http://www.w3.org/2001/04/xmlenc#sha256"/>
        <DigestValue>zrSZsHfHKXMLyhR+cmuqyL9ZRQ1MUPRKGcOv9yN2vyg=</DigestValue>
      </Reference>
      <Reference URI="/xl/workbook.xml?ContentType=application/vnd.openxmlformats-officedocument.spreadsheetml.sheet.main+xml">
        <DigestMethod Algorithm="http://www.w3.org/2001/04/xmlenc#sha256"/>
        <DigestValue>fOksBQ+WXEoVMA/WIAib48DgfWtOp/qnSyEhTtZXQRI=</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DFvVPqoIk86WVQiP0UyA3uzCQioz46PDY/dKih+lBrk=</DigestValue>
      </Reference>
      <Reference URI="/xl/worksheets/_rels/sheet10.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sAoHhOM7oC9GNoHleIstkl726jcas0b4JXPz1F/fpdI=</DigestValue>
      </Reference>
      <Reference URI="/xl/worksheets/_rels/sheet1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aAR6l/b3SiQsGMPtnMeHmzfsh0crtT1C5+UxP55whIA=</DigestValue>
      </Reference>
      <Reference URI="/xl/worksheets/_rels/sheet1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OZN3816x952FMFlNoTE5TTjh0Prg8LGiyQwISpXPzn0=</DigestValue>
      </Reference>
      <Reference URI="/xl/worksheets/_rels/sheet1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xZ54+lU4u9NaYtT7FnVsHXThiNDp8KFFxsm252MCZYk=</DigestValue>
      </Reference>
      <Reference URI="/xl/worksheets/_rels/sheet14.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tbAVzrFam96r7zTY6M6QiSy+qRWQVV0HcEHZ4+h04/A=</DigestValue>
      </Reference>
      <Reference URI="/xl/worksheets/_rels/sheet15.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qLX7vszwdUKtNSSYzJSaRceXiZ7F1yRMP30eYcks96Y=</DigestValue>
      </Reference>
      <Reference URI="/xl/worksheets/_rels/sheet16.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ClMsgkC+Pgxrl1xHc72m2zZjS52WY2W48YbhbN3iktA=</DigestValue>
      </Reference>
      <Reference URI="/xl/worksheets/_rels/sheet17.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SLpH5hncHrs4wNKXI3m2fC3i9M8m8LrbZTPtt/d7NLo=</DigestValue>
      </Reference>
      <Reference URI="/xl/worksheets/_rels/sheet1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a44YNjtiym0S9exNLLrYg/u0IjW9EHsUCQlLPMlbO/o=</DigestValue>
      </Reference>
      <Reference URI="/xl/worksheets/_rels/sheet1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ldNj55eVzko3XQgfP366UhwgWMuPYo3ZSMk4YFSqnws=</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ie1t59T+oh4xR4rir291kA0PxL5MlUFD/HEFvVUbc9Y=</DigestValue>
      </Reference>
      <Reference URI="/xl/worksheets/_rels/sheet20.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x7uY7GM2IBpdYfU4/lLwcEhe2q0KTm8XxGDw9FIqAmM=</DigestValue>
      </Reference>
      <Reference URI="/xl/worksheets/_rels/sheet2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60GDBc4sHWp+GV9xBAHkEcgJHmlFKMZIXx55ZVUTzTA=</DigestValue>
      </Reference>
      <Reference URI="/xl/worksheets/_rels/sheet2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MsV7aS7zVXwJEFvJtwor1t0lySdLclcSim8JeJkS2oE=</DigestValue>
      </Reference>
      <Reference URI="/xl/worksheets/_rels/sheet2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5xTnn2KaZLEliLXG3996v34JlCR7UHa8FnKvlWKKF5c=</DigestValue>
      </Reference>
      <Reference URI="/xl/worksheets/_rels/sheet24.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rqC48IlAvMvxs/GrYFexiHrPwXYY/KOhDJpUX08vC+U=</DigestValue>
      </Reference>
      <Reference URI="/xl/worksheets/_rels/sheet2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RG8Wr1taF3Nl9G2y7X1LlUvoSUJ36k0/h67PLOkMkPo=</DigestValue>
      </Reference>
      <Reference URI="/xl/worksheets/_rels/sheet2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PV/vzIUqhTpu8O+leN9UZZ1Snk86hdBWCAPIT5LPwV4=</DigestValue>
      </Reference>
      <Reference URI="/xl/worksheets/_rels/sheet2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frxznYk5+X6H89wE27ZJg24asW/o5g/n3V8HNYOeuLo=</DigestValue>
      </Reference>
      <Reference URI="/xl/worksheets/_rels/sheet2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RDLq+FJ5fyTn+XMuDD8s+3OYee4NBC37U9+XK4/oA3g=</DigestValue>
      </Reference>
      <Reference URI="/xl/worksheets/_rels/sheet29.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skB5G3RjxBLR5P76qM8nZwcOT1rXzxb8c9frstXbLR8=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QSYMNFtFM/We0x/y91OmLCZOt/Fg9jrJRLrG/1nsbrY=</DigestValue>
      </Reference>
      <Reference URI="/xl/worksheets/_rels/sheet3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M5S5r/VuDqIXKu2JN+G+lhD9Zxr0Ibrwui54IKDvkss=</DigestValue>
      </Reference>
      <Reference URI="/xl/worksheets/_rels/sheet3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pmKSNYDvF7HQxORWFdYtsOyFk6Ls9Dg6fsGI2e3sJPM=</DigestValue>
      </Reference>
      <Reference URI="/xl/worksheets/_rels/sheet3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m0cLh5X8WDrq5nzMs6ARReLL4O/bYpHjZW/M8pryAh8=</DigestValue>
      </Reference>
      <Reference URI="/xl/worksheets/_rels/sheet3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EE8amWRz8Efp3arNpvjrhK8Km6OYqqDYzcuIJIMejMk=</DigestValue>
      </Reference>
      <Reference URI="/xl/worksheets/_rels/sheet3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h4/YGk/vmmkw9SZf/00KacJZUtS+Gg+8i2zqBfyQucM=</DigestValue>
      </Reference>
      <Reference URI="/xl/worksheets/_rels/sheet3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xDLf69K9KXLBRzVLgm+7o5FhfSXDymojtWNjnYCSHm8=</DigestValue>
      </Reference>
      <Reference URI="/xl/worksheets/_rels/sheet3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IBWvLkjeGZcevxXh8Pg4QQMyF6OaLSlFBv9vI604zlA=</DigestValue>
      </Reference>
      <Reference URI="/xl/worksheets/_rels/sheet3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eB5X5zReUV8woBoYmoQ8kwdzy1cYZZNrSu6sfiDzsLo=</DigestValue>
      </Reference>
      <Reference URI="/xl/worksheets/_rels/sheet3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hABLZXd4XFUtvlf/+VK7jDNlBxlXgbKMrsNLnoq4qvc=</DigestValue>
      </Reference>
      <Reference URI="/xl/worksheets/_rels/sheet3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hCoYTopYT+oEhtakqbw+k3Zh7DUX/JmVRx1wUIj77pE=</DigestValue>
      </Reference>
      <Reference URI="/xl/worksheets/_rels/sheet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Auuqa0XyaXU4hdxM770k/DVyj5HFS3KFPVMKRz5ysj0=</DigestValue>
      </Reference>
      <Reference URI="/xl/worksheets/_rels/sheet4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BIcejRhrOvMTA+NddOhgubZ8KZT6Nv8f4u/FW95TfD0=</DigestValue>
      </Reference>
      <Reference URI="/xl/worksheets/_rels/sheet4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CPlBUuX8iiTn2JkGLGLzYSykfNWlkwSteoNYnbZJabY=</DigestValue>
      </Reference>
      <Reference URI="/xl/worksheets/_rels/sheet4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/bcM6/z5v0GBK8K/0ZIEx38zxfQLjyxSCzFRtTgjO1s=</DigestValue>
      </Reference>
      <Reference URI="/xl/worksheets/_rels/sheet4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1z2IX2FtUXLQBYafOsq/Xuvzaa+HQquBn7K+cS9L/ko=</DigestValue>
      </Reference>
      <Reference URI="/xl/worksheets/_rels/sheet44.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TFTJWlcTFqpsWSyI0c/R/AtsM6QqhMKs7MqwNH3COsg=</DigestValue>
      </Reference>
      <Reference URI="/xl/worksheets/_rels/sheet45.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yRcxBnRZ2sJAnZOlW93bs/jhAp6csNVHoMtPx5fhSSs=</DigestValue>
      </Reference>
      <Reference URI="/xl/worksheets/_rels/sheet47.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5dGEBXVB03aLoMSs3kVj+7uSVfRUn+P+vrF5Xe7KTag=</DigestValue>
      </Reference>
      <Reference URI="/xl/worksheets/_rels/sheet48.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3BU9j2nE/T0n7gCQLFZTcYggRvLBqeLDRh+2LLtPr1I=</DigestValue>
      </Reference>
      <Reference URI="/xl/worksheets/_rels/sheet49.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Cp9PA/EMUCmFN0rjs+ZKFhODDEGzJl8Ch1IdmuYTIUc=</DigestValue>
      </Reference>
      <Reference URI="/xl/worksheets/_rels/sheet5.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KT/CqvyuV6uSjWC5ynXnrxXR9G3iaDSosVAugHGTKbE=</DigestValue>
      </Reference>
      <Reference URI="/xl/worksheets/_rels/sheet50.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3iS29RgGizUTgmtBni8degzLfqWHy2uN4AVjRehr32M=</DigestValue>
      </Reference>
      <Reference URI="/xl/worksheets/_rels/sheet6.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cHSaoSNm5nCotqUe+dTLnc1pBKvYzluxU+g0Bl3uMr8=</DigestValue>
      </Reference>
      <Reference URI="/xl/worksheets/_rels/sheet7.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ZANLeL9Y+3I0NDGrmewSuEMzo7e8KH3YY28jdTyPwTg=</DigestValue>
      </Reference>
      <Reference URI="/xl/worksheets/_rels/sheet8.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SLbDqzM9XNc/LhYmk/0iU/Kvn4hiGXSRxlTy1v6QxrI=</DigestValue>
      </Reference>
      <Reference URI="/xl/worksheets/_rels/sheet9.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uTofkfPwC6UMbvYIqPa8FD/Z2HHjIxfcbUKQb9eB+KE=</DigestValue>
      </Reference>
      <Reference URI="/xl/worksheets/sheet1.xml?ContentType=application/vnd.openxmlformats-officedocument.spreadsheetml.worksheet+xml">
        <DigestMethod Algorithm="http://www.w3.org/2001/04/xmlenc#sha256"/>
        <DigestValue>WtzI6YyQVbOe41e8LbSohVCJMSowMkCEWmXCmaQdB2s=</DigestValue>
      </Reference>
      <Reference URI="/xl/worksheets/sheet10.xml?ContentType=application/vnd.openxmlformats-officedocument.spreadsheetml.worksheet+xml">
        <DigestMethod Algorithm="http://www.w3.org/2001/04/xmlenc#sha256"/>
        <DigestValue>kroikiITzCNmXxOs2p8ibsC+BoFQ9hMJyuPLATRtaJA=</DigestValue>
      </Reference>
      <Reference URI="/xl/worksheets/sheet11.xml?ContentType=application/vnd.openxmlformats-officedocument.spreadsheetml.worksheet+xml">
        <DigestMethod Algorithm="http://www.w3.org/2001/04/xmlenc#sha256"/>
        <DigestValue>xvlcKlDPUISbX/OzWMvT3LbnaZKxMuNcaoMPDdO9dWM=</DigestValue>
      </Reference>
      <Reference URI="/xl/worksheets/sheet12.xml?ContentType=application/vnd.openxmlformats-officedocument.spreadsheetml.worksheet+xml">
        <DigestMethod Algorithm="http://www.w3.org/2001/04/xmlenc#sha256"/>
        <DigestValue>l+wy5X8kkpfQ++vYoSJFLbVyeKpXr3hXv06XNt99eeg=</DigestValue>
      </Reference>
      <Reference URI="/xl/worksheets/sheet13.xml?ContentType=application/vnd.openxmlformats-officedocument.spreadsheetml.worksheet+xml">
        <DigestMethod Algorithm="http://www.w3.org/2001/04/xmlenc#sha256"/>
        <DigestValue>UM6GeayKBgRKvDm28WYw9FuYM4jGPMBa6oDHsa5n5as=</DigestValue>
      </Reference>
      <Reference URI="/xl/worksheets/sheet14.xml?ContentType=application/vnd.openxmlformats-officedocument.spreadsheetml.worksheet+xml">
        <DigestMethod Algorithm="http://www.w3.org/2001/04/xmlenc#sha256"/>
        <DigestValue>SI/7pbMIaCrWznX2EbVOvPVLwAoZ7U3BGycKuBHHW90=</DigestValue>
      </Reference>
      <Reference URI="/xl/worksheets/sheet15.xml?ContentType=application/vnd.openxmlformats-officedocument.spreadsheetml.worksheet+xml">
        <DigestMethod Algorithm="http://www.w3.org/2001/04/xmlenc#sha256"/>
        <DigestValue>9m3DmUHU1FQ7WBc9NKxWlyYLJS9zPdagJsbQ9876TL0=</DigestValue>
      </Reference>
      <Reference URI="/xl/worksheets/sheet16.xml?ContentType=application/vnd.openxmlformats-officedocument.spreadsheetml.worksheet+xml">
        <DigestMethod Algorithm="http://www.w3.org/2001/04/xmlenc#sha256"/>
        <DigestValue>/l7/e/e5YnhFCUTa/I+OqD8AHAQFcyq4CaM8uLx7WD4=</DigestValue>
      </Reference>
      <Reference URI="/xl/worksheets/sheet17.xml?ContentType=application/vnd.openxmlformats-officedocument.spreadsheetml.worksheet+xml">
        <DigestMethod Algorithm="http://www.w3.org/2001/04/xmlenc#sha256"/>
        <DigestValue>UbKjnvMVPyo1ydz3g3m+LsJYUkYA8I35Wq/jA77HRng=</DigestValue>
      </Reference>
      <Reference URI="/xl/worksheets/sheet18.xml?ContentType=application/vnd.openxmlformats-officedocument.spreadsheetml.worksheet+xml">
        <DigestMethod Algorithm="http://www.w3.org/2001/04/xmlenc#sha256"/>
        <DigestValue>c6JYaLTw+pbw/s4mPp6FNg8BAsSXwgnrtGuxc9CNA3w=</DigestValue>
      </Reference>
      <Reference URI="/xl/worksheets/sheet19.xml?ContentType=application/vnd.openxmlformats-officedocument.spreadsheetml.worksheet+xml">
        <DigestMethod Algorithm="http://www.w3.org/2001/04/xmlenc#sha256"/>
        <DigestValue>G2H8fsJRv2tdM/E911KF229JQFdZ8n7amOwxG2+DUE4=</DigestValue>
      </Reference>
      <Reference URI="/xl/worksheets/sheet2.xml?ContentType=application/vnd.openxmlformats-officedocument.spreadsheetml.worksheet+xml">
        <DigestMethod Algorithm="http://www.w3.org/2001/04/xmlenc#sha256"/>
        <DigestValue>yO9r0+SaBmF603koxHCDZXJrIQoVOte/t00Bv6IrYDg=</DigestValue>
      </Reference>
      <Reference URI="/xl/worksheets/sheet20.xml?ContentType=application/vnd.openxmlformats-officedocument.spreadsheetml.worksheet+xml">
        <DigestMethod Algorithm="http://www.w3.org/2001/04/xmlenc#sha256"/>
        <DigestValue>tzthjd5EekWj6K4PZSUhh0Tx87q7x1ZLxw1AhKY1/MM=</DigestValue>
      </Reference>
      <Reference URI="/xl/worksheets/sheet21.xml?ContentType=application/vnd.openxmlformats-officedocument.spreadsheetml.worksheet+xml">
        <DigestMethod Algorithm="http://www.w3.org/2001/04/xmlenc#sha256"/>
        <DigestValue>/AZkN8MxY7XmdU4fuCKQ59pdCq0Y+ov5jVyHF4lswNU=</DigestValue>
      </Reference>
      <Reference URI="/xl/worksheets/sheet22.xml?ContentType=application/vnd.openxmlformats-officedocument.spreadsheetml.worksheet+xml">
        <DigestMethod Algorithm="http://www.w3.org/2001/04/xmlenc#sha256"/>
        <DigestValue>qToGifAMGYyh1usO+stg4/6rrxYTq9IInfR6l8Ox04A=</DigestValue>
      </Reference>
      <Reference URI="/xl/worksheets/sheet23.xml?ContentType=application/vnd.openxmlformats-officedocument.spreadsheetml.worksheet+xml">
        <DigestMethod Algorithm="http://www.w3.org/2001/04/xmlenc#sha256"/>
        <DigestValue>bwG660zzw/IWv7XJRkuvK/hJcJxJK77CqJ2904jTfJ8=</DigestValue>
      </Reference>
      <Reference URI="/xl/worksheets/sheet24.xml?ContentType=application/vnd.openxmlformats-officedocument.spreadsheetml.worksheet+xml">
        <DigestMethod Algorithm="http://www.w3.org/2001/04/xmlenc#sha256"/>
        <DigestValue>gbeljyXFFwTePh5gbgk+Uo78R8k3tgNsK9EHI3f8xzM=</DigestValue>
      </Reference>
      <Reference URI="/xl/worksheets/sheet25.xml?ContentType=application/vnd.openxmlformats-officedocument.spreadsheetml.worksheet+xml">
        <DigestMethod Algorithm="http://www.w3.org/2001/04/xmlenc#sha256"/>
        <DigestValue>6PgXXvUt3A9NhGXRdJJAgR/qGaJ+h55U+naOteQK7TU=</DigestValue>
      </Reference>
      <Reference URI="/xl/worksheets/sheet26.xml?ContentType=application/vnd.openxmlformats-officedocument.spreadsheetml.worksheet+xml">
        <DigestMethod Algorithm="http://www.w3.org/2001/04/xmlenc#sha256"/>
        <DigestValue>QJXNeLq0NvnLcUm7YcR6CWwxWdkXGBlN7/8JvF9B+Rs=</DigestValue>
      </Reference>
      <Reference URI="/xl/worksheets/sheet27.xml?ContentType=application/vnd.openxmlformats-officedocument.spreadsheetml.worksheet+xml">
        <DigestMethod Algorithm="http://www.w3.org/2001/04/xmlenc#sha256"/>
        <DigestValue>bOi6htULhiy3nskqqY+NmmF0OBJwNQq/E+otYjSs+l0=</DigestValue>
      </Reference>
      <Reference URI="/xl/worksheets/sheet28.xml?ContentType=application/vnd.openxmlformats-officedocument.spreadsheetml.worksheet+xml">
        <DigestMethod Algorithm="http://www.w3.org/2001/04/xmlenc#sha256"/>
        <DigestValue>jtGY95ii4KzQXHKRPuSo/xcwqocvHE02agBHQKndihk=</DigestValue>
      </Reference>
      <Reference URI="/xl/worksheets/sheet29.xml?ContentType=application/vnd.openxmlformats-officedocument.spreadsheetml.worksheet+xml">
        <DigestMethod Algorithm="http://www.w3.org/2001/04/xmlenc#sha256"/>
        <DigestValue>hex1FQ251yKMPJdi5ni6TX13G9G21oedHMhjVDfjWdY=</DigestValue>
      </Reference>
      <Reference URI="/xl/worksheets/sheet3.xml?ContentType=application/vnd.openxmlformats-officedocument.spreadsheetml.worksheet+xml">
        <DigestMethod Algorithm="http://www.w3.org/2001/04/xmlenc#sha256"/>
        <DigestValue>Ziv0MerKIx8aU8Lv03sqToMt2zBmhiRVJ3rX8ggVH+c=</DigestValue>
      </Reference>
      <Reference URI="/xl/worksheets/sheet30.xml?ContentType=application/vnd.openxmlformats-officedocument.spreadsheetml.worksheet+xml">
        <DigestMethod Algorithm="http://www.w3.org/2001/04/xmlenc#sha256"/>
        <DigestValue>v4ZqydxhCPoHh3N6kyncezXds94T8NO960t99P0kJ7c=</DigestValue>
      </Reference>
      <Reference URI="/xl/worksheets/sheet31.xml?ContentType=application/vnd.openxmlformats-officedocument.spreadsheetml.worksheet+xml">
        <DigestMethod Algorithm="http://www.w3.org/2001/04/xmlenc#sha256"/>
        <DigestValue>UorpQJFQbDIKu+TQ4j/5nDpnKf4JvpXT84aTo2YLLxo=</DigestValue>
      </Reference>
      <Reference URI="/xl/worksheets/sheet32.xml?ContentType=application/vnd.openxmlformats-officedocument.spreadsheetml.worksheet+xml">
        <DigestMethod Algorithm="http://www.w3.org/2001/04/xmlenc#sha256"/>
        <DigestValue>Hg8TNgyz/yTK9Xwe2Gn3QouqScHH4iLnK0N9waepts4=</DigestValue>
      </Reference>
      <Reference URI="/xl/worksheets/sheet33.xml?ContentType=application/vnd.openxmlformats-officedocument.spreadsheetml.worksheet+xml">
        <DigestMethod Algorithm="http://www.w3.org/2001/04/xmlenc#sha256"/>
        <DigestValue>r5APYdyoeXY4zqwukqvY7Vym4kU9PAz1BvI6wT//xbE=</DigestValue>
      </Reference>
      <Reference URI="/xl/worksheets/sheet34.xml?ContentType=application/vnd.openxmlformats-officedocument.spreadsheetml.worksheet+xml">
        <DigestMethod Algorithm="http://www.w3.org/2001/04/xmlenc#sha256"/>
        <DigestValue>JjnlwpA2DbdSbGrqs5tO1NxXdKQhZgpqiODCxFXL09I=</DigestValue>
      </Reference>
      <Reference URI="/xl/worksheets/sheet35.xml?ContentType=application/vnd.openxmlformats-officedocument.spreadsheetml.worksheet+xml">
        <DigestMethod Algorithm="http://www.w3.org/2001/04/xmlenc#sha256"/>
        <DigestValue>lnOHOfTvH6ergKwmyv3Nx4Ckxz8txcDP4i/TgiI/Ka4=</DigestValue>
      </Reference>
      <Reference URI="/xl/worksheets/sheet36.xml?ContentType=application/vnd.openxmlformats-officedocument.spreadsheetml.worksheet+xml">
        <DigestMethod Algorithm="http://www.w3.org/2001/04/xmlenc#sha256"/>
        <DigestValue>YHTngmra3DXQFMNwUApCUIAoUjUSGUL2cLAo8/9IQdI=</DigestValue>
      </Reference>
      <Reference URI="/xl/worksheets/sheet37.xml?ContentType=application/vnd.openxmlformats-officedocument.spreadsheetml.worksheet+xml">
        <DigestMethod Algorithm="http://www.w3.org/2001/04/xmlenc#sha256"/>
        <DigestValue>lUKA7Fi4UouA0myYaRlZZ9h5MhDpvdETgRe2g219pJI=</DigestValue>
      </Reference>
      <Reference URI="/xl/worksheets/sheet38.xml?ContentType=application/vnd.openxmlformats-officedocument.spreadsheetml.worksheet+xml">
        <DigestMethod Algorithm="http://www.w3.org/2001/04/xmlenc#sha256"/>
        <DigestValue>QZC7Lq4ZTT8R3M/RE36comoc2PR4TrdsvMFUAXrnoR0=</DigestValue>
      </Reference>
      <Reference URI="/xl/worksheets/sheet39.xml?ContentType=application/vnd.openxmlformats-officedocument.spreadsheetml.worksheet+xml">
        <DigestMethod Algorithm="http://www.w3.org/2001/04/xmlenc#sha256"/>
        <DigestValue>p3TEvU/ph3BVEWObHogpkqdSH35m3DXeuny9lt3fXaw=</DigestValue>
      </Reference>
      <Reference URI="/xl/worksheets/sheet4.xml?ContentType=application/vnd.openxmlformats-officedocument.spreadsheetml.worksheet+xml">
        <DigestMethod Algorithm="http://www.w3.org/2001/04/xmlenc#sha256"/>
        <DigestValue>Dz5fb6CSKM9oYG4Ohz9F5M6zpz9NLtEPDyrDtZenE+Q=</DigestValue>
      </Reference>
      <Reference URI="/xl/worksheets/sheet40.xml?ContentType=application/vnd.openxmlformats-officedocument.spreadsheetml.worksheet+xml">
        <DigestMethod Algorithm="http://www.w3.org/2001/04/xmlenc#sha256"/>
        <DigestValue>vuuO6W/GKjTI7dsY8BqfT5tB7/E9loPQKREfa0JW9EU=</DigestValue>
      </Reference>
      <Reference URI="/xl/worksheets/sheet41.xml?ContentType=application/vnd.openxmlformats-officedocument.spreadsheetml.worksheet+xml">
        <DigestMethod Algorithm="http://www.w3.org/2001/04/xmlenc#sha256"/>
        <DigestValue>TF8SGP4KMBeirzvPZdTsLag/jvCg5BCqQiEgdeScRxY=</DigestValue>
      </Reference>
      <Reference URI="/xl/worksheets/sheet42.xml?ContentType=application/vnd.openxmlformats-officedocument.spreadsheetml.worksheet+xml">
        <DigestMethod Algorithm="http://www.w3.org/2001/04/xmlenc#sha256"/>
        <DigestValue>f1Kb52+so3toArDN1/wEeXnGPVxmlPFcwpAgQKVqS7s=</DigestValue>
      </Reference>
      <Reference URI="/xl/worksheets/sheet43.xml?ContentType=application/vnd.openxmlformats-officedocument.spreadsheetml.worksheet+xml">
        <DigestMethod Algorithm="http://www.w3.org/2001/04/xmlenc#sha256"/>
        <DigestValue>0uF4d8MCxtnwhQqbL52bHPea8DJvcvT//w/9KM+V3WI=</DigestValue>
      </Reference>
      <Reference URI="/xl/worksheets/sheet44.xml?ContentType=application/vnd.openxmlformats-officedocument.spreadsheetml.worksheet+xml">
        <DigestMethod Algorithm="http://www.w3.org/2001/04/xmlenc#sha256"/>
        <DigestValue>fRwTXHhKOuuvQEkprqLOW67+6im98qTLzh87o7VfJ14=</DigestValue>
      </Reference>
      <Reference URI="/xl/worksheets/sheet45.xml?ContentType=application/vnd.openxmlformats-officedocument.spreadsheetml.worksheet+xml">
        <DigestMethod Algorithm="http://www.w3.org/2001/04/xmlenc#sha256"/>
        <DigestValue>ZIevaRz+Np8klWtOd7OUk2+KRxKV6qnpk/pbxOJ4dNk=</DigestValue>
      </Reference>
      <Reference URI="/xl/worksheets/sheet46.xml?ContentType=application/vnd.openxmlformats-officedocument.spreadsheetml.worksheet+xml">
        <DigestMethod Algorithm="http://www.w3.org/2001/04/xmlenc#sha256"/>
        <DigestValue>EoHhHCil580/J9C8SpoMnFW+cc4w3WoeZ3VJoGT7cUM=</DigestValue>
      </Reference>
      <Reference URI="/xl/worksheets/sheet47.xml?ContentType=application/vnd.openxmlformats-officedocument.spreadsheetml.worksheet+xml">
        <DigestMethod Algorithm="http://www.w3.org/2001/04/xmlenc#sha256"/>
        <DigestValue>1rk3BbQWY6zyqFKKcW5FQNUZcHbj6LN8hZ50dCCfxO0=</DigestValue>
      </Reference>
      <Reference URI="/xl/worksheets/sheet48.xml?ContentType=application/vnd.openxmlformats-officedocument.spreadsheetml.worksheet+xml">
        <DigestMethod Algorithm="http://www.w3.org/2001/04/xmlenc#sha256"/>
        <DigestValue>YSA7Z4AK4GoLQSJRH2sjfR0ocZWtKvBaLIqIaccW4ic=</DigestValue>
      </Reference>
      <Reference URI="/xl/worksheets/sheet49.xml?ContentType=application/vnd.openxmlformats-officedocument.spreadsheetml.worksheet+xml">
        <DigestMethod Algorithm="http://www.w3.org/2001/04/xmlenc#sha256"/>
        <DigestValue>bgr6+A91MAoCdWtmNlldDzUv7iSUyP93GuShC+YGDak=</DigestValue>
      </Reference>
      <Reference URI="/xl/worksheets/sheet5.xml?ContentType=application/vnd.openxmlformats-officedocument.spreadsheetml.worksheet+xml">
        <DigestMethod Algorithm="http://www.w3.org/2001/04/xmlenc#sha256"/>
        <DigestValue>/Ve+8dtWRfDCdGQH1ttUX3i3HaMWCQ9S9YT4yeds5UI=</DigestValue>
      </Reference>
      <Reference URI="/xl/worksheets/sheet50.xml?ContentType=application/vnd.openxmlformats-officedocument.spreadsheetml.worksheet+xml">
        <DigestMethod Algorithm="http://www.w3.org/2001/04/xmlenc#sha256"/>
        <DigestValue>gXcS5ya/kvS54OTxyjBj2LyvRA7hl9M5Hiff1kdw+EU=</DigestValue>
      </Reference>
      <Reference URI="/xl/worksheets/sheet6.xml?ContentType=application/vnd.openxmlformats-officedocument.spreadsheetml.worksheet+xml">
        <DigestMethod Algorithm="http://www.w3.org/2001/04/xmlenc#sha256"/>
        <DigestValue>XPsmeJ6tsrSyFlFBgFCT3QxgouH9I1RnKT/J0dVMUSk=</DigestValue>
      </Reference>
      <Reference URI="/xl/worksheets/sheet7.xml?ContentType=application/vnd.openxmlformats-officedocument.spreadsheetml.worksheet+xml">
        <DigestMethod Algorithm="http://www.w3.org/2001/04/xmlenc#sha256"/>
        <DigestValue>c/XB4sHgba1hCiipM1s8cIpm72PveD1DtzIT9mH24bE=</DigestValue>
      </Reference>
      <Reference URI="/xl/worksheets/sheet8.xml?ContentType=application/vnd.openxmlformats-officedocument.spreadsheetml.worksheet+xml">
        <DigestMethod Algorithm="http://www.w3.org/2001/04/xmlenc#sha256"/>
        <DigestValue>CEVCyL0lvzAnpJJKBjXEF/QOxjKbK7VnUSOei7TNGXw=</DigestValue>
      </Reference>
      <Reference URI="/xl/worksheets/sheet9.xml?ContentType=application/vnd.openxmlformats-officedocument.spreadsheetml.worksheet+xml">
        <DigestMethod Algorithm="http://www.w3.org/2001/04/xmlenc#sha256"/>
        <DigestValue>7602VYmrAiED4ALQXVzekOxWQVoGJ37QFVIjgWNWk8c=</DigestValue>
      </Reference>
    </Manifest>
    <SignatureProperties>
      <SignatureProperty Id="idSignatureTime" Target="#idPackageSignature">
        <mdssi:SignatureTime xmlns:mdssi="http://schemas.openxmlformats.org/package/2006/digital-signature">
          <mdssi:Format>YYYY-MM-DDThh:mm:ssTZD</mdssi:Format>
          <mdssi:Value>2021-03-31T16:22:21Z</mdssi:Value>
        </mdssi:SignatureTime>
      </SignatureProperty>
    </SignatureProperties>
  </Object>
  <Object Id="idOfficeObject">
    <SignatureProperties>
      <SignatureProperty Id="idOfficeV1Details" Target="#idPackageSignature">
        <SignatureInfoV1 xmlns="http://schemas.microsoft.com/office/2006/digsig">
          <SetupID/>
          <SignatureText/>
          <SignatureImage/>
          <SignatureComments>Firmado al solo efecto de su identificación con el Dictamen de fecha 26 de marzo de 2021. </SignatureComments>
          <WindowsVersion>10.0</WindowsVersion>
          <OfficeVersion>16.0</OfficeVersion>
          <ApplicationVersion>16.0</ApplicationVersion>
          <Monitors>1</Monitors>
          <HorizontalResolution>1920</HorizontalResolution>
          <VerticalResolution>1080</VerticalResolution>
          <ColorDepth>32</ColorDepth>
          <SignatureProviderId>{00000000-0000-0000-0000-000000000000}</SignatureProviderId>
          <SignatureProviderUrl/>
          <SignatureProviderDetails>9</SignatureProviderDetails>
          <SignatureType>1</SignatureType>
        </SignatureInfoV1>
      </SignatureProperty>
    </SignatureProperties>
  </Object>
  <Object>
    <xd:QualifyingProperties xmlns:xd="http://uri.etsi.org/01903/v1.3.2#" Target="#idPackageSignature">
      <xd:SignedProperties Id="idSignedProperties">
        <xd:SignedSignatureProperties>
          <xd:SigningTime>2021-03-31T16:22:21Z</xd:SigningTime>
          <xd:SigningCertificate>
            <xd:Cert>
              <xd:CertDigest>
                <DigestMethod Algorithm="http://www.w3.org/2001/04/xmlenc#sha256"/>
                <DigestValue>VvIgbc9mNw9o/axDkijENDiowxEdnCtJshGvwPLu1gQ=</DigestValue>
              </xd:CertDigest>
              <xd:IssuerSerial>
                <X509IssuerName>CN=CA-CODE100 S.A., C=PY, O=CODE100 S.A., SERIALNUMBER=RUC 80080610-7</X509IssuerName>
                <X509SerialNumber>2051668679205451712644498828131036173015472892</X509SerialNumber>
              </xd:IssuerSerial>
            </xd:Cert>
          </xd:SigningCertificate>
          <xd:SignaturePolicyIdentifier>
            <xd:SignaturePolicyImplied/>
          </xd:SignaturePolicyIdentifier>
        </xd:SignedSignatureProperties>
        <xd:SignedDataObjectProperties>
          <xd:CommitmentTypeIndication>
            <xd:CommitmentTypeId>
              <xd:Identifier>http://uri.etsi.org/01903/v1.2.2#ProofOfApproval</xd:Identifier>
              <xd:Description>Aprobó este documento</xd:Description>
            </xd:CommitmentTypeId>
            <xd:AllSignedDataObjects/>
            <xd:CommitmentTypeQualifiers>
              <xd:CommitmentTypeQualifier>Firmado al solo efecto de su identificación con el Dictamen de fecha 26 de marzo de 2021. </xd:CommitmentTypeQualifier>
            </xd:CommitmentTypeQualifiers>
          </xd:CommitmentTypeIndication>
        </xd:SignedDataObjectProperties>
      </xd:SignedProperties>
      <xd:UnsignedProperties>
        <xd:UnsignedSignatureProperties>
          <xd:CertificateValues>
            <xd:EncapsulatedX509Certificate>MIIHlTCCBX2gAwIBAgIQFQam0zHqbL5VAzhF6Zk1wTANBgkqhkiG9w0BAQsFADBvMQswCQYDVQQGEwJQWTErMCkGA1UECgwiTWluaXN0ZXJpbyBkZSBJbmR1c3RyaWEgeSBDb21lcmNpbzEzMDEGA1UEAwwqQXV0b3JpZGFkIENlcnRpZmljYWRvcmEgUmHDrXogZGVsIFBhcmFndWF5MB4XDTE1MDMxMzE5MTkzM1oXDTI1MDMxMzE5MTkzM1owVzEXMBUGA1UEBRMOUlVDIDgwMDgwNjEwLTcxFTATBgNVBAoTDENPREUxMDAgUy5BLjELMAkGA1UEBhMCUFkxGDAWBgNVBAMTD0NBLUNPREUxMDAgUy5BLjCCAiIwDQYJKoZIhvcNAQEBBQADggIPADCCAgoCggIBAKq5cmDx8Vvk7dlXjYYKwdNRreQbj9K2Q3zBDwF+/vPMXXX8pPD+U3dIHr9BGoDy6M7UrZlXfexAGDzVgaTKlzJgZbkYFOYOKrN2fh1UnTPnStJsIjHywqpPqrW0y5rRm3preND4LMJhjmB0YSIp6LT8Nd5FvOtn/G2eBMZD1vFGooZ8p135TkWSGhTfNwssEYaLxWxFSnC8ntX+rfzBh0v9bx/iS2oRpvqLqTyOXvtgaTmUcGOMmzwRUnuQqRaHe7EQJMtYSnFKB8QZbxhnMSmhc3wxAcrO+mOruL/FO153UvU6uEJUP4uxjggxxyxcIWwQX40/TMWauVhG68YjIUZJBXJMSbO9AewBmKnWSWkZqD2ZTwg6fPew0cBOSsk2AvlA6w++ID+31F8uSm6OOxG/u9q3a7kHdfsH1N+tQBBdhuUr8+IcwNIgy4kkVQsNyF9jxwPimQHUXWTHnMxug0zb/+UyPX5U24dzq1FrMHneKi+m7fZYjPO3eN1FB/0ZhTqphfEM8QT8XHaPSxY+U8raBZnWqjZhCT5Xx02cmlHYZ/O4w7us9KKaMfLrMxioE8CdJsyTkN1K6z/Bd31FVPSfKJZBZ+4iAj6Wfa4sRci8KhB9tS9Tp4AeSY/yaf6OSh1FZSgaJ8UpCCJjX8BIlToDHyASJxtaR7AItaeD5p4XAgMBAAGjggJDMIICPzASBgNVHRMBAf8ECDAGAQH/AgEAMA4GA1UdDwEB/wQEAwIBBjAdBgNVHQ4EFgQUJ/baOwt/k/hZEtAVqkLPspaWPUUwHwYDVR0jBBgwFoAUwsQR8ipoRAwAKOxM1inbkvtevdYwegYIKwYBBQUHAQEEbjBsMD4GCCsGAQUFBzAChjJodHRwOi8vd3d3LmFjcmFpei5nb3YucHkvY3J0L2FjX3JhaXpfcHlfc2hhMjU2LmNydDAqBggrBgEFBQcwAYYeaHR0cDovL2NhMS5jb2RlMTAwLmNvbS5weS9vY3NwMIIBHQYDVR0gBIIBFDCCARAwggEMBgNVHSAwggEDMDYGCCsGAQUFBwIBFipodHRwOi8vd3d3LmFjcmFpei5nb3YucHkvY3BzL3BvbGl0aWNhcy5wZGYwZgYIKwYBBQUHAgIwWhpYQ2VydGlmaWNhZG9zIGVtaXRpZG9zIGRlbnRybyBkZWwgbWFyY28gZGUgbGEgUEtJIFBhcmFndWF5IGJham8gbGEgamVyYXJxdWlhIGRlIHN1IEFDUmFpejBhBggrBgEFBQcCAjBVGlNJc3N1ZWQgQ2VydGlmaWNhdGVzIGluIHRoZSBzY29wZSBvZiB0aGUgUEtJIFBhcmFndWF5IHVuZGVyIHRoZSBoaWVyYWNoeSBvZiBST09UIENBLjA8BgNVHR8ENTAzMDGgL6AthitodHRwOi8vd3d3LmFjcmFpei5nb3YucHkvYXJsL2FjX3JhaXpfcHkuY3JsMA0GCSqGSIb3DQEBCwUAA4ICAQCYwoeertzB7Um4In9wdg4uUvBU1DnivQWVaUJheeX5Bx81Mx60cu54IrwRC8o9AdgyV3aZiy+cWd8hBoX8ItgqJmxk4PwUT1802eP/ftLurBdCbAQv0lL81sDN00qtSo8LuqKv7ShZ5yYmrF6mEYJJYZ6AmCA5ji0nQ204rP7GKn3aA2wRy9DQ0WcAHB5YXVj4ihPMPWRf1y+zdDVEAJl2w2lmaBWPpg2Q/fIssSosmQozlHgb7HuVTLluHfZLdGiwq/pIk89qaoTpZs8s/ni2jMFvTx/3DHnY3Dz6s5kRDw2whrIjoV6xMDLJe3bm+rXKi2pGddUsqNrb6lCTUwN6bC0xIhwjRRxrBO9CMnj/8YT1GmR9kHKgP08tcyDSWk+woSoflKL/mlOkZf5o8TLTtSDeA87MMT0n18CWxzSLpkF97WXmJ8JGqTFDk1efqogYP6oanP9QvVUNGyEJw6DmGHEW3c29XaL1j/F4DTRCGEH2anQtpL6nV0l+mJ/hsDzPpPt92VilM4GdPZvk10JQ/yzj4+uNB9wozKLy427qbe6se/VaHa3iyutnxRP9sPEqHWfP/fm5u/e0PC9/JsjE89zti8rxEUK3hES0cSaLsCXpPKXPViaZI+1FeCtG9q2Deesy9diKtRnVZ1/ozb1rdfsug6BLWG4AsBnG3zduXA==</xd:EncapsulatedX509Certificate>
            <xd:EncapsulatedX509Certificate>MIIF+TCCA+GgAwIBAgIQDCG0OEbFG/VQINOr7TNcpTANBgkqhkiG9w0BAQsFADBvMQswCQYDVQQGEwJQWTErMCkGA1UECgwiTWluaXN0ZXJpbyBkZSBJbmR1c3RyaWEgeSBDb21lcmNpbzEzMDEGA1UEAwwqQXV0b3JpZGFkIENlcnRpZmljYWRvcmEgUmHDrXogZGVsIFBhcmFndWF5MB4XDTEyMDgwNzA4MzY1OVoXDTMyMDgwNzA4MzY1OVowbzELMAkGA1UEBhMCUFkxKzApBgNVBAoMIk1pbmlzdGVyaW8gZGUgSW5kdXN0cmlhIHkgQ29tZXJjaW8xMzAxBgNVBAMMKkF1dG9yaWRhZCBDZXJ0aWZpY2Fkb3JhIFJhw616IGRlbCBQYXJhZ3VheTCCAiIwDQYJKoZIhvcNAQEBBQADggIPADCCAgoCggIBAK6HfW/cm6CSmT+jjZqFSsUDVF/dhuVxBS93gNy7t8XCJBugnJ6t+HUiVeziPNNVoVn9tOhVFxeJrOlfJxmvl9TTax0QbTwJUmw3AiPNNd1rdJL1gsQCKV0h4f+5djd/ZbnOV8B9VYtXpU/E6csQHEkYodpkKUQswcftFPjcyhPDub8DoZfx1oBno0MJ0RhqDB6IxO5PHP5vbIggEDtezYneIyJsJyuC/KqeaJO30275dqN4rDZ8smOIOII/9L/z3agbfkiuc9vKgXi9N7UXm0Vcb/tjvBiey9U7cahNA+W5x+mcwC2bnkGLMVVMCrW9JbYvFCjyrg306IjoKQcVMoHcuxrYSME7ILqzglWgws26G45/khG2f9IpS6EDTqt5uaKU9ogocmmUMtHfGqDRvp1yOKRs9jPuYcju6hJlkD9c8McKxkr9NMBR0q/SswzRwNm8KhoPubjzCj0nYx6N2fnLBy6PhCpsmyf+z0LbT36voKNTSDKYYt03Ih2qL2uM0PeaSim5bsw+kwDcIPTX1CS/OxIBgLUHlxAs28VIVKA/OE/m9eHcn6N3lYOt3vEWkHr/wJqhk2JPw0G5apqj4nM74qX4YIONx/lGQSf47elkliPsGftfp4KsHB+9o1bNrRCTfk6EpELx23RPwArCiA1dyjQofa4YW9yqGraAHp5bAgMBAAGjgZAwgY0wDwYDVR0TAQH/BAUwAwEB/zAOBgNVHQ8BAf8EBAMCAQYwSwYDVR0gBEQwQjBABgRVHSAAMDgwNgYIKwYBBQUHAgEWKmh0dHA6Ly93d3cuYWNyYWl6Lmdvdi5weS9jcHMvcG9saXRpY2FzLnBkZjAdBgNVHQ4EFgQUwsQR8ipoRAwAKOxM1inbkvtevdYwDQYJKoZIhvcNAQELBQADggIBAJFz7SmvWakrRTF2RukHs5OMUMDEOyLq2U6qdmmI7G4RPfpwBFVvnCgHs9o6R4aNNUk6i6itTNNwnsaExxiYtAUdx1wwQudv62doKEuBKGAplfjwYuPN1zCEImEhSi2/e9OvgiJE3Hin++Gd2+j0gzIrKZ1xEO7KdvRPrOj9D7xl63oK+VFX6d/FvUISJdPvsRjsvwbEm71FYe7Y5bDRLV1Zsti4pSOJMGl1ZgkCKgLEBfTQpnGuOzRlD30ddt4aCQnj/nSSJBsKHJ5MDed5f09ufzS5g6gRudIeoa6kV0vA2KI+28Fafz1F/TRuE451nhb3M2vRBmcFj/nEZYt7adecYY98gXefxmwosPwOeKZq2EjGL7/Si3l2sOiOazOprbV4XJfeVajBZY7o39U5SoPSMNqrPVeZfELwRqgX/LCUPqFEePTYrHaOdu3A7AoJb7q1rj9SEtB10hfIsg+BKF7ukFcqkoeys9ug5X16A1//LmaNuku471ePVUzKw30WGTawFzOgxc1CsKqyVHxeGfmRdoqDwGl37S16NJSSPU9rloIe77LqiQR7NZfFW/9cWnsPLHS3pCWJEYNbc4UL8pIOOBKt1edM6wK+Wkd8J+/1EBu+LFCdjEgW07kZqe300S6TQYFxgD6KOCSM6ou33kR4rVF20lSWwwhDSf/DLn8e</xd:EncapsulatedX509Certificate>
          </xd:CertificateValues>
        </xd:UnsignedSignatureProperties>
      </xd:UnsignedProperties>
    </xd:QualifyingProperties>
  </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50</vt:i4>
      </vt:variant>
      <vt:variant>
        <vt:lpstr>Rangos con nombre</vt:lpstr>
      </vt:variant>
      <vt:variant>
        <vt:i4>9</vt:i4>
      </vt:variant>
    </vt:vector>
  </HeadingPairs>
  <TitlesOfParts>
    <vt:vector size="59" baseType="lpstr">
      <vt:lpstr>Balance (2)</vt:lpstr>
      <vt:lpstr>Resultado</vt:lpstr>
      <vt:lpstr>ACTIVO</vt:lpstr>
      <vt:lpstr>PASIVO</vt:lpstr>
      <vt:lpstr>EGRESOS</vt:lpstr>
      <vt:lpstr>INGRESOS</vt:lpstr>
      <vt:lpstr>IDENTIFICACION</vt:lpstr>
      <vt:lpstr>ANTECEDENTES</vt:lpstr>
      <vt:lpstr>ADMINISTRACION</vt:lpstr>
      <vt:lpstr>CAPITAL Y PROP</vt:lpstr>
      <vt:lpstr>AUDITOR EXT IND</vt:lpstr>
      <vt:lpstr>PERS VINCULADAS</vt:lpstr>
      <vt:lpstr>BALANCE</vt:lpstr>
      <vt:lpstr>RESULTAD</vt:lpstr>
      <vt:lpstr>FLUJO</vt:lpstr>
      <vt:lpstr>EVOL</vt:lpstr>
      <vt:lpstr>NOTAS</vt:lpstr>
      <vt:lpstr>Flujocaja</vt:lpstr>
      <vt:lpstr>VAL. M.E.</vt:lpstr>
      <vt:lpstr>AYPMEXT</vt:lpstr>
      <vt:lpstr>DIF CAMBIO ME</vt:lpstr>
      <vt:lpstr>DISPONIB</vt:lpstr>
      <vt:lpstr>INVERS</vt:lpstr>
      <vt:lpstr>OTRAINV</vt:lpstr>
      <vt:lpstr>CREDITOS</vt:lpstr>
      <vt:lpstr>BIENDEUSO</vt:lpstr>
      <vt:lpstr>CARGOS DIFERIDOS</vt:lpstr>
      <vt:lpstr>ACTIVOS INTANGIBLES</vt:lpstr>
      <vt:lpstr>OTROS ACTIVOS CTE Y NO CTE</vt:lpstr>
      <vt:lpstr>PTMOS. FINANCIEROS</vt:lpstr>
      <vt:lpstr>DOC. Y CTAS POR PAGAR</vt:lpstr>
      <vt:lpstr>ACREEDORES POR INTERM</vt:lpstr>
      <vt:lpstr>ADM DE CARTERA</vt:lpstr>
      <vt:lpstr>CTAS A PAGAR A PERS. RELAC</vt:lpstr>
      <vt:lpstr>OBLIG. POR CONTRATO UNDER</vt:lpstr>
      <vt:lpstr>OTROS PASIVOS CTE Y NO CTE</vt:lpstr>
      <vt:lpstr>SALDOS PERS RELAC</vt:lpstr>
      <vt:lpstr>RESULTADO PERS VINC</vt:lpstr>
      <vt:lpstr>PATRIMONIO</vt:lpstr>
      <vt:lpstr>PREVISIONES</vt:lpstr>
      <vt:lpstr>INGRESOS OPERATIVOS</vt:lpstr>
      <vt:lpstr>OTROS GASTOS OP, COM Y ADM</vt:lpstr>
      <vt:lpstr>OTROS INGRESOS Y EGRESOS</vt:lpstr>
      <vt:lpstr>RESULTADOS FIN</vt:lpstr>
      <vt:lpstr>RESULTADOS EXTRAORD</vt:lpstr>
      <vt:lpstr>NOTAS2</vt:lpstr>
      <vt:lpstr>ANEX A - PERS VINCULADAS</vt:lpstr>
      <vt:lpstr>BIENUSO</vt:lpstr>
      <vt:lpstr>CostosyGastos</vt:lpstr>
      <vt:lpstr>Anexo H F2</vt:lpstr>
      <vt:lpstr>'ANEX A - PERS VINCULADAS'!_GoBack</vt:lpstr>
      <vt:lpstr>ACTIVO!Área_de_impresión</vt:lpstr>
      <vt:lpstr>EGRESOS!Área_de_impresión</vt:lpstr>
      <vt:lpstr>Flujocaja!Área_de_impresión</vt:lpstr>
      <vt:lpstr>INGRESOS!Área_de_impresión</vt:lpstr>
      <vt:lpstr>PASIVO!Área_de_impresión</vt:lpstr>
      <vt:lpstr>Resultado!Área_de_impresión</vt:lpstr>
      <vt:lpstr>'Balance (2)'!Títulos_a_imprimir</vt:lpstr>
      <vt:lpstr>Resultado!Títulos_a_imprimir</vt:lpstr>
    </vt:vector>
  </TitlesOfParts>
  <Company>none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pedro</dc:creator>
  <cp:lastModifiedBy>Lujan</cp:lastModifiedBy>
  <cp:lastPrinted>2019-08-14T14:07:45Z</cp:lastPrinted>
  <dcterms:created xsi:type="dcterms:W3CDTF">2008-04-01T17:46:33Z</dcterms:created>
  <dcterms:modified xsi:type="dcterms:W3CDTF">2021-03-04T14:29:48Z</dcterms:modified>
</cp:coreProperties>
</file>