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Default Extension="sigs" ContentType="application/vnd.openxmlformats-package.digital-signature-origin"/>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_xmlsignatures/sig2.xml" ContentType="application/vnd.openxmlformats-package.digital-signature-xmlsignature+xml"/>
  <Override PartName="/_xmlsignatures/sig3.xml" ContentType="application/vnd.openxmlformats-package.digital-signature-xmlsignature+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https://cadiem-my.sharepoint.com/personal/jugarte_cadiem_com_py/Documents/Contabilidad/13 CNV/01 Informe/01 CASA DE BOLSA/2020/03 Marzo/"/>
    </mc:Choice>
  </mc:AlternateContent>
  <xr:revisionPtr revIDLastSave="408" documentId="13_ncr:1_{65723CBD-C2F8-4236-BE90-42C4ADC833A0}" xr6:coauthVersionLast="45" xr6:coauthVersionMax="45" xr10:uidLastSave="{D6EEB10B-E86A-44FF-9B0B-FE35438B724F}"/>
  <bookViews>
    <workbookView xWindow="-120" yWindow="-120" windowWidth="20730" windowHeight="11160" tabRatio="626" activeTab="10" xr2:uid="{00000000-000D-0000-FFFF-FFFF00000000}"/>
  </bookViews>
  <sheets>
    <sheet name="CARATULA" sheetId="1" r:id="rId1"/>
    <sheet name="ÍNDICE" sheetId="2" r:id="rId2"/>
    <sheet name="01" sheetId="3" r:id="rId3"/>
    <sheet name="02" sheetId="4" r:id="rId4"/>
    <sheet name="05" sheetId="7" r:id="rId5"/>
    <sheet name="06" sheetId="8" r:id="rId6"/>
    <sheet name="07" sheetId="14" r:id="rId7"/>
    <sheet name="08" sheetId="15" r:id="rId8"/>
    <sheet name="09" sheetId="16" r:id="rId9"/>
    <sheet name="10" sheetId="18" r:id="rId10"/>
    <sheet name="11" sheetId="17" r:id="rId11"/>
    <sheet name="12" sheetId="12" r:id="rId12"/>
    <sheet name="13" sheetId="9" r:id="rId13"/>
    <sheet name="14" sheetId="11" r:id="rId14"/>
  </sheets>
  <externalReferences>
    <externalReference r:id="rId15"/>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9" l="1"/>
  <c r="F79" i="16" l="1"/>
  <c r="I40" i="16" l="1"/>
  <c r="H40" i="16"/>
  <c r="D83" i="17" l="1"/>
  <c r="D87" i="17"/>
  <c r="G21" i="15"/>
  <c r="G19" i="15"/>
  <c r="D17" i="7"/>
  <c r="E114" i="12" l="1"/>
  <c r="D114" i="12"/>
  <c r="C114" i="12"/>
  <c r="F82" i="12"/>
  <c r="D82" i="12"/>
  <c r="C82" i="12"/>
  <c r="F56" i="12"/>
  <c r="E42" i="12"/>
  <c r="F42" i="12" s="1"/>
  <c r="E41" i="12"/>
  <c r="F41" i="12" s="1"/>
  <c r="E40" i="12"/>
  <c r="F40" i="12" s="1"/>
  <c r="E39" i="12"/>
  <c r="E38" i="12"/>
  <c r="E37" i="12"/>
  <c r="E36" i="12"/>
  <c r="F36" i="12" s="1"/>
  <c r="F46" i="12" s="1"/>
  <c r="F48" i="12" s="1"/>
  <c r="F49" i="12" s="1"/>
  <c r="F30" i="12"/>
  <c r="F28" i="12"/>
  <c r="D27" i="12"/>
  <c r="F25" i="12"/>
  <c r="D24" i="12"/>
  <c r="E23" i="12"/>
  <c r="E22" i="12"/>
  <c r="E21" i="12"/>
  <c r="E20" i="12"/>
  <c r="F19" i="12"/>
  <c r="D88" i="17" l="1"/>
  <c r="C78" i="17"/>
  <c r="C79" i="17"/>
  <c r="C76" i="17"/>
  <c r="C74" i="17"/>
  <c r="C77" i="17"/>
  <c r="C83" i="17" l="1"/>
  <c r="D17" i="9"/>
  <c r="C17" i="9"/>
  <c r="L18" i="9"/>
  <c r="G18" i="9"/>
  <c r="M18" i="9" s="1"/>
  <c r="M17" i="9"/>
  <c r="L17" i="9"/>
  <c r="K17" i="9"/>
  <c r="J17" i="9"/>
  <c r="I17" i="9"/>
  <c r="H17" i="9"/>
  <c r="G17" i="9"/>
  <c r="F17" i="9"/>
  <c r="E17" i="9"/>
  <c r="D146" i="16" l="1"/>
  <c r="C146" i="16"/>
  <c r="D136" i="16"/>
  <c r="C136" i="16"/>
  <c r="G79" i="16"/>
  <c r="D52" i="16"/>
  <c r="C52" i="16"/>
  <c r="F43" i="15"/>
  <c r="G39" i="15"/>
  <c r="G41" i="15" s="1"/>
  <c r="G43" i="15" s="1"/>
  <c r="G31" i="15"/>
  <c r="G17" i="15"/>
  <c r="G13" i="15"/>
  <c r="C132" i="14"/>
  <c r="C123" i="14"/>
  <c r="D117" i="14"/>
  <c r="C117" i="14"/>
  <c r="C82" i="14"/>
  <c r="C72" i="14"/>
  <c r="D64" i="14"/>
  <c r="C64" i="14"/>
  <c r="K18" i="7"/>
  <c r="G18" i="7"/>
  <c r="D18" i="7"/>
  <c r="B18" i="7"/>
  <c r="J17" i="7"/>
  <c r="I17" i="7"/>
  <c r="H17" i="7"/>
  <c r="G17" i="7"/>
  <c r="F17" i="7"/>
  <c r="E17" i="7"/>
  <c r="C17" i="7"/>
  <c r="B17" i="7"/>
  <c r="L15" i="7"/>
  <c r="L14" i="7"/>
  <c r="K13" i="7"/>
  <c r="L13" i="7" s="1"/>
  <c r="L12" i="7"/>
  <c r="L11" i="7"/>
  <c r="K10" i="7"/>
  <c r="L9" i="7"/>
  <c r="D9" i="7"/>
  <c r="M18" i="7" l="1"/>
  <c r="L433" i="11" l="1"/>
  <c r="L218" i="11"/>
  <c r="I71" i="4" l="1"/>
  <c r="H71" i="4"/>
  <c r="E113" i="12" l="1"/>
  <c r="D113" i="12"/>
  <c r="C113" i="12"/>
  <c r="D108" i="12"/>
  <c r="C108" i="12"/>
  <c r="F108" i="12"/>
  <c r="D98" i="16" l="1"/>
  <c r="D101" i="14" l="1"/>
  <c r="C101" i="14"/>
  <c r="E19" i="7" l="1"/>
  <c r="D98" i="17" l="1"/>
  <c r="C98" i="17" l="1"/>
  <c r="D47" i="16" l="1"/>
  <c r="G56" i="16" s="1"/>
  <c r="D117" i="16" s="1"/>
  <c r="D124" i="16" s="1"/>
  <c r="C47" i="16"/>
  <c r="F56" i="16" s="1"/>
  <c r="C117" i="16" s="1"/>
  <c r="C124" i="16" s="1"/>
  <c r="C131" i="16" l="1"/>
  <c r="C141" i="16" s="1"/>
  <c r="C149" i="16" s="1"/>
  <c r="D131" i="16"/>
  <c r="D141" i="16" s="1"/>
  <c r="D149" i="16" s="1"/>
  <c r="D20" i="16"/>
  <c r="C20" i="16"/>
  <c r="D14" i="16"/>
  <c r="C14" i="16"/>
  <c r="D139" i="14"/>
  <c r="C139" i="14"/>
  <c r="D132" i="14"/>
  <c r="D123" i="14"/>
  <c r="D90" i="14"/>
  <c r="C90" i="14"/>
  <c r="D82" i="14"/>
  <c r="D156" i="16" l="1"/>
  <c r="D166" i="16" s="1"/>
  <c r="D174" i="16" s="1"/>
  <c r="D101" i="17" s="1"/>
  <c r="D117" i="17" s="1"/>
  <c r="C156" i="16"/>
  <c r="C166" i="16" s="1"/>
  <c r="C174" i="16" s="1"/>
  <c r="C87" i="17" s="1"/>
  <c r="C101" i="17" s="1"/>
  <c r="C117" i="17" s="1"/>
  <c r="C11" i="16"/>
  <c r="C18" i="16" s="1"/>
  <c r="D11" i="16"/>
  <c r="D18" i="16" s="1"/>
  <c r="D69" i="4"/>
  <c r="H69" i="4" s="1"/>
  <c r="H70" i="4" l="1"/>
  <c r="C130" i="17" l="1"/>
  <c r="D130" i="17"/>
  <c r="D114" i="17"/>
  <c r="C114" i="17"/>
  <c r="D177" i="16" l="1"/>
  <c r="D171" i="16"/>
  <c r="C171" i="16"/>
  <c r="D161" i="16"/>
  <c r="C161" i="16"/>
  <c r="D153" i="16"/>
  <c r="C153" i="16"/>
  <c r="D121" i="16"/>
  <c r="C121" i="16"/>
  <c r="E110" i="16"/>
  <c r="C110" i="16"/>
  <c r="C98" i="16"/>
  <c r="D86" i="14"/>
  <c r="D129" i="14" s="1"/>
  <c r="D136" i="14" s="1"/>
  <c r="C86" i="14"/>
  <c r="C129" i="14" s="1"/>
  <c r="C136" i="14" s="1"/>
  <c r="D72" i="14"/>
  <c r="D110" i="16" l="1"/>
  <c r="F110" i="16"/>
  <c r="D51" i="3" l="1"/>
  <c r="H377" i="11"/>
  <c r="H378" i="11" s="1"/>
  <c r="H379" i="11" s="1"/>
  <c r="H355" i="11"/>
  <c r="H356" i="11" s="1"/>
  <c r="H357" i="11" s="1"/>
  <c r="H358" i="11" s="1"/>
  <c r="H359" i="11" s="1"/>
  <c r="H360" i="11" s="1"/>
  <c r="H361" i="11" s="1"/>
  <c r="H362" i="11" s="1"/>
  <c r="H363" i="11" s="1"/>
  <c r="H364" i="11" s="1"/>
  <c r="H365" i="11" s="1"/>
  <c r="H366" i="11" s="1"/>
  <c r="H367" i="11" s="1"/>
  <c r="H368" i="11" s="1"/>
  <c r="H369" i="11" s="1"/>
  <c r="H370" i="11" s="1"/>
  <c r="H371" i="11" s="1"/>
  <c r="H372" i="11" s="1"/>
  <c r="H373" i="11" s="1"/>
  <c r="H374" i="11" s="1"/>
  <c r="H318" i="11"/>
  <c r="H319" i="11" s="1"/>
  <c r="H320" i="11" s="1"/>
  <c r="H321" i="11" s="1"/>
  <c r="H322" i="11" s="1"/>
  <c r="H323" i="11" s="1"/>
  <c r="H324" i="11" s="1"/>
  <c r="H325" i="11" s="1"/>
  <c r="H326" i="11" s="1"/>
  <c r="H327" i="11" s="1"/>
  <c r="H328" i="11" s="1"/>
  <c r="H329" i="11" s="1"/>
  <c r="H330" i="11" s="1"/>
  <c r="H331" i="11" s="1"/>
  <c r="H332" i="11" s="1"/>
  <c r="H333" i="11" s="1"/>
  <c r="H334" i="11" s="1"/>
  <c r="H335" i="11" s="1"/>
  <c r="H336" i="11" s="1"/>
  <c r="H337" i="11" s="1"/>
  <c r="H338" i="11" s="1"/>
  <c r="H339" i="11" s="1"/>
  <c r="H340" i="11" s="1"/>
  <c r="H341" i="11" s="1"/>
  <c r="H342" i="11" s="1"/>
  <c r="H343" i="11" s="1"/>
  <c r="H344" i="11" s="1"/>
  <c r="H345" i="11" s="1"/>
  <c r="H346" i="11" s="1"/>
  <c r="H347" i="11" s="1"/>
  <c r="H348" i="11" s="1"/>
  <c r="H349" i="11" s="1"/>
  <c r="H350" i="11" s="1"/>
  <c r="H351" i="11" s="1"/>
  <c r="H352" i="11" s="1"/>
  <c r="H353" i="11" s="1"/>
  <c r="K279" i="11"/>
  <c r="K280" i="11" s="1"/>
  <c r="K281" i="11" s="1"/>
  <c r="K282" i="11" s="1"/>
  <c r="K283" i="11" s="1"/>
  <c r="K284" i="11" s="1"/>
  <c r="K285" i="11" s="1"/>
  <c r="K286" i="11" s="1"/>
  <c r="K287" i="11" s="1"/>
  <c r="K288" i="11" s="1"/>
  <c r="K289" i="11" s="1"/>
  <c r="K290" i="11" s="1"/>
  <c r="K291" i="11" s="1"/>
  <c r="K292" i="11" s="1"/>
  <c r="K293" i="11" s="1"/>
  <c r="K266" i="11"/>
  <c r="K267" i="11" s="1"/>
  <c r="K268" i="11" s="1"/>
  <c r="K269" i="11" s="1"/>
  <c r="K270" i="11" s="1"/>
  <c r="H237" i="11"/>
  <c r="H238" i="11" s="1"/>
  <c r="H239" i="11" s="1"/>
  <c r="H240" i="11" s="1"/>
  <c r="H241" i="11" s="1"/>
  <c r="H242" i="11" s="1"/>
  <c r="H243" i="11" s="1"/>
  <c r="H244" i="11" s="1"/>
  <c r="H245" i="11" s="1"/>
  <c r="H246" i="11" s="1"/>
  <c r="H247" i="11" s="1"/>
  <c r="H248" i="11" s="1"/>
  <c r="H249" i="11" s="1"/>
  <c r="H250" i="11" s="1"/>
  <c r="H251" i="11" s="1"/>
  <c r="H252" i="11" s="1"/>
  <c r="H253" i="11" s="1"/>
  <c r="H254" i="11" s="1"/>
  <c r="H255" i="11" s="1"/>
  <c r="H256" i="11" s="1"/>
  <c r="H257" i="11" s="1"/>
  <c r="H258" i="11" s="1"/>
  <c r="H259" i="11" s="1"/>
  <c r="H260" i="11" s="1"/>
  <c r="H261" i="11" s="1"/>
  <c r="H262" i="11" s="1"/>
  <c r="H263" i="11" s="1"/>
  <c r="H264" i="11" s="1"/>
  <c r="H265" i="11" s="1"/>
  <c r="H266" i="11" s="1"/>
  <c r="H267" i="11" s="1"/>
  <c r="H268" i="11" s="1"/>
  <c r="H269" i="11" s="1"/>
  <c r="H270" i="11" s="1"/>
  <c r="H271" i="11" s="1"/>
  <c r="H272" i="11" s="1"/>
  <c r="H273" i="11" s="1"/>
  <c r="H274" i="11" s="1"/>
  <c r="H275" i="11" s="1"/>
  <c r="H276" i="11" s="1"/>
  <c r="H277" i="11" s="1"/>
  <c r="H278" i="11" s="1"/>
  <c r="H279" i="11" s="1"/>
  <c r="H280" i="11" s="1"/>
  <c r="H281" i="11" s="1"/>
  <c r="H282" i="11" s="1"/>
  <c r="H283" i="11" s="1"/>
  <c r="H284" i="11" s="1"/>
  <c r="H285" i="11" s="1"/>
  <c r="H286" i="11" s="1"/>
  <c r="H287" i="11" s="1"/>
  <c r="H288" i="11" s="1"/>
  <c r="H289" i="11" s="1"/>
  <c r="H290" i="11" s="1"/>
  <c r="H291" i="11" s="1"/>
  <c r="H292" i="11" s="1"/>
  <c r="H293" i="11" s="1"/>
  <c r="K225" i="11"/>
  <c r="K226" i="11" s="1"/>
  <c r="K227" i="11" s="1"/>
  <c r="K228" i="11" s="1"/>
  <c r="F224" i="11"/>
  <c r="E225" i="11" s="1"/>
  <c r="F194" i="11"/>
  <c r="E195" i="11" s="1"/>
  <c r="F195" i="11" s="1"/>
  <c r="E196" i="11" s="1"/>
  <c r="F196" i="11" s="1"/>
  <c r="F193" i="11"/>
  <c r="G193" i="11" s="1"/>
  <c r="J193" i="11" s="1"/>
  <c r="F192" i="11"/>
  <c r="G192" i="11" s="1"/>
  <c r="J192" i="11" s="1"/>
  <c r="F191" i="11"/>
  <c r="G191" i="11" s="1"/>
  <c r="J191" i="11" s="1"/>
  <c r="F190" i="11"/>
  <c r="G190" i="11" s="1"/>
  <c r="J190" i="11" s="1"/>
  <c r="H161" i="11"/>
  <c r="H162" i="11" s="1"/>
  <c r="H163" i="11" s="1"/>
  <c r="H164" i="11" s="1"/>
  <c r="H165" i="11" s="1"/>
  <c r="H166" i="11" s="1"/>
  <c r="H167" i="11" s="1"/>
  <c r="H168" i="11" s="1"/>
  <c r="H169" i="11" s="1"/>
  <c r="H170" i="11" s="1"/>
  <c r="H171" i="11" s="1"/>
  <c r="H172" i="11" s="1"/>
  <c r="H173" i="11" s="1"/>
  <c r="H177" i="11" s="1"/>
  <c r="H178" i="11" s="1"/>
  <c r="H179" i="11" s="1"/>
  <c r="H180" i="11" s="1"/>
  <c r="H181" i="11" s="1"/>
  <c r="H182" i="11" s="1"/>
  <c r="H183" i="11" s="1"/>
  <c r="F160" i="11"/>
  <c r="H140" i="11"/>
  <c r="H141" i="11" s="1"/>
  <c r="H142" i="11" s="1"/>
  <c r="H143" i="11" s="1"/>
  <c r="H144" i="11" s="1"/>
  <c r="H145" i="11" s="1"/>
  <c r="H146" i="11" s="1"/>
  <c r="H147" i="11" s="1"/>
  <c r="H148" i="11" s="1"/>
  <c r="H150" i="11" s="1"/>
  <c r="H151" i="11" s="1"/>
  <c r="H152" i="11" s="1"/>
  <c r="H153" i="11" s="1"/>
  <c r="H154" i="11" s="1"/>
  <c r="H155" i="11" s="1"/>
  <c r="H156" i="11" s="1"/>
  <c r="H157" i="11" s="1"/>
  <c r="H158" i="11" s="1"/>
  <c r="H159" i="11" s="1"/>
  <c r="F139" i="11"/>
  <c r="G139" i="11" s="1"/>
  <c r="J139" i="11" s="1"/>
  <c r="H103" i="11"/>
  <c r="H104" i="11" s="1"/>
  <c r="H105" i="11" s="1"/>
  <c r="H106" i="11" s="1"/>
  <c r="H107" i="11" s="1"/>
  <c r="H108" i="11" s="1"/>
  <c r="H109" i="11" s="1"/>
  <c r="H110" i="11" s="1"/>
  <c r="H111" i="11" s="1"/>
  <c r="H112" i="11" s="1"/>
  <c r="H113" i="11" s="1"/>
  <c r="H114" i="11" s="1"/>
  <c r="H115" i="11" s="1"/>
  <c r="H116" i="11" s="1"/>
  <c r="H117" i="11" s="1"/>
  <c r="H118" i="11" s="1"/>
  <c r="H119" i="11" s="1"/>
  <c r="H120" i="11" s="1"/>
  <c r="H121" i="11" s="1"/>
  <c r="H122" i="11" s="1"/>
  <c r="H123" i="11" s="1"/>
  <c r="H124" i="11" s="1"/>
  <c r="H125" i="11" s="1"/>
  <c r="H126" i="11" s="1"/>
  <c r="H127" i="11" s="1"/>
  <c r="H128" i="11" s="1"/>
  <c r="H129" i="11" s="1"/>
  <c r="H130" i="11" s="1"/>
  <c r="H131" i="11" s="1"/>
  <c r="H132" i="11" s="1"/>
  <c r="H133" i="11" s="1"/>
  <c r="H134" i="11" s="1"/>
  <c r="H135" i="11" s="1"/>
  <c r="H136" i="11" s="1"/>
  <c r="H137" i="11" s="1"/>
  <c r="H138" i="11" s="1"/>
  <c r="F102" i="11"/>
  <c r="E103" i="11" s="1"/>
  <c r="F103" i="11" s="1"/>
  <c r="E104" i="11" s="1"/>
  <c r="F104" i="11" s="1"/>
  <c r="G104" i="11" s="1"/>
  <c r="J104" i="11" s="1"/>
  <c r="F37" i="11"/>
  <c r="G37" i="11" s="1"/>
  <c r="J37" i="11" s="1"/>
  <c r="H22" i="11"/>
  <c r="H23" i="11" s="1"/>
  <c r="H24" i="11" s="1"/>
  <c r="H25" i="11" s="1"/>
  <c r="H26" i="11" s="1"/>
  <c r="H27" i="11" s="1"/>
  <c r="H28" i="11" s="1"/>
  <c r="H29" i="11" s="1"/>
  <c r="H30" i="11" s="1"/>
  <c r="H31" i="11" s="1"/>
  <c r="H32" i="11" s="1"/>
  <c r="H33" i="11" s="1"/>
  <c r="H34" i="11" s="1"/>
  <c r="H35" i="11" s="1"/>
  <c r="H36" i="11" s="1"/>
  <c r="H37" i="11" s="1"/>
  <c r="H38" i="11" s="1"/>
  <c r="H39" i="11" s="1"/>
  <c r="H40" i="11" s="1"/>
  <c r="H41" i="11" s="1"/>
  <c r="H42" i="11" s="1"/>
  <c r="H43" i="11" s="1"/>
  <c r="H44" i="11" s="1"/>
  <c r="H45" i="11" s="1"/>
  <c r="H46" i="11" s="1"/>
  <c r="H47" i="11" s="1"/>
  <c r="H48" i="11" s="1"/>
  <c r="H49" i="11" s="1"/>
  <c r="H50" i="11" s="1"/>
  <c r="H51" i="11" s="1"/>
  <c r="H52" i="11" s="1"/>
  <c r="H53" i="11" s="1"/>
  <c r="H54" i="11" s="1"/>
  <c r="H55" i="11" s="1"/>
  <c r="H56" i="11" s="1"/>
  <c r="H57" i="11" s="1"/>
  <c r="H58" i="11" s="1"/>
  <c r="H59" i="11" s="1"/>
  <c r="H60" i="11" s="1"/>
  <c r="H61" i="11" s="1"/>
  <c r="H62" i="11" s="1"/>
  <c r="H63" i="11" s="1"/>
  <c r="H64" i="11" s="1"/>
  <c r="H65" i="11" s="1"/>
  <c r="H66" i="11" s="1"/>
  <c r="H67" i="11" s="1"/>
  <c r="H68" i="11" s="1"/>
  <c r="H69" i="11" s="1"/>
  <c r="H70" i="11" s="1"/>
  <c r="H71" i="11" s="1"/>
  <c r="H72" i="11" s="1"/>
  <c r="H73" i="11" s="1"/>
  <c r="H74" i="11" s="1"/>
  <c r="H75" i="11" s="1"/>
  <c r="H76" i="11" s="1"/>
  <c r="H77" i="11" s="1"/>
  <c r="H78" i="11" s="1"/>
  <c r="H79" i="11" s="1"/>
  <c r="H80" i="11" s="1"/>
  <c r="H81" i="11" s="1"/>
  <c r="H82" i="11" s="1"/>
  <c r="H83" i="11" s="1"/>
  <c r="H84" i="11" s="1"/>
  <c r="H85" i="11" s="1"/>
  <c r="H86" i="11" s="1"/>
  <c r="H87" i="11" s="1"/>
  <c r="H88" i="11" s="1"/>
  <c r="H89" i="11" s="1"/>
  <c r="H90" i="11" s="1"/>
  <c r="H91" i="11" s="1"/>
  <c r="H92" i="11" s="1"/>
  <c r="H93" i="11" s="1"/>
  <c r="H94" i="11" s="1"/>
  <c r="H95" i="11" s="1"/>
  <c r="F21" i="11"/>
  <c r="E22" i="11" s="1"/>
  <c r="F22" i="11" s="1"/>
  <c r="F13" i="11"/>
  <c r="E14" i="11" s="1"/>
  <c r="F14" i="11" s="1"/>
  <c r="F9" i="11"/>
  <c r="E10" i="11" s="1"/>
  <c r="F10" i="11" s="1"/>
  <c r="M344" i="11" l="1"/>
  <c r="M431" i="11"/>
  <c r="M236" i="11"/>
  <c r="M269" i="11"/>
  <c r="M246" i="11"/>
  <c r="M316" i="11"/>
  <c r="M225" i="11"/>
  <c r="M252" i="11"/>
  <c r="M229" i="11"/>
  <c r="M239" i="11"/>
  <c r="M261" i="11"/>
  <c r="M289" i="11"/>
  <c r="M328" i="11"/>
  <c r="M232" i="11"/>
  <c r="M241" i="11"/>
  <c r="M301" i="11"/>
  <c r="M347" i="11"/>
  <c r="M256" i="11"/>
  <c r="M275" i="11"/>
  <c r="M281" i="11"/>
  <c r="M296" i="11"/>
  <c r="M308" i="11"/>
  <c r="M339" i="11"/>
  <c r="M371" i="11"/>
  <c r="M226" i="11"/>
  <c r="M234" i="11"/>
  <c r="M240" i="11"/>
  <c r="M249" i="11"/>
  <c r="M260" i="11"/>
  <c r="M267" i="11"/>
  <c r="M276" i="11"/>
  <c r="M286" i="11"/>
  <c r="M297" i="11"/>
  <c r="M310" i="11"/>
  <c r="M324" i="11"/>
  <c r="M418" i="11"/>
  <c r="M430" i="11"/>
  <c r="M230" i="11"/>
  <c r="M245" i="11"/>
  <c r="M254" i="11"/>
  <c r="M262" i="11"/>
  <c r="M272" i="11"/>
  <c r="M280" i="11"/>
  <c r="M290" i="11"/>
  <c r="M305" i="11"/>
  <c r="M317" i="11"/>
  <c r="M332" i="11"/>
  <c r="M359" i="11"/>
  <c r="M402" i="11"/>
  <c r="M228" i="11"/>
  <c r="M233" i="11"/>
  <c r="M237" i="11"/>
  <c r="M244" i="11"/>
  <c r="M250" i="11"/>
  <c r="M257" i="11"/>
  <c r="M265" i="11"/>
  <c r="M271" i="11"/>
  <c r="M277" i="11"/>
  <c r="M284" i="11"/>
  <c r="M294" i="11"/>
  <c r="M302" i="11"/>
  <c r="M312" i="11"/>
  <c r="M323" i="11"/>
  <c r="M336" i="11"/>
  <c r="M348" i="11"/>
  <c r="M366" i="11"/>
  <c r="M427" i="11"/>
  <c r="M404" i="11"/>
  <c r="M355" i="11"/>
  <c r="M216" i="11"/>
  <c r="M189" i="11"/>
  <c r="M77" i="11"/>
  <c r="M215" i="11"/>
  <c r="M14" i="11"/>
  <c r="M35" i="11"/>
  <c r="M27" i="11"/>
  <c r="M55" i="11"/>
  <c r="M47" i="11"/>
  <c r="G195" i="11"/>
  <c r="J195" i="11" s="1"/>
  <c r="M376" i="11"/>
  <c r="M21" i="11"/>
  <c r="M63" i="11"/>
  <c r="M120" i="11"/>
  <c r="M39" i="11"/>
  <c r="M224" i="11"/>
  <c r="M227" i="11"/>
  <c r="M231" i="11"/>
  <c r="M235" i="11"/>
  <c r="M238" i="11"/>
  <c r="M242" i="11"/>
  <c r="M248" i="11"/>
  <c r="M253" i="11"/>
  <c r="M258" i="11"/>
  <c r="M264" i="11"/>
  <c r="M268" i="11"/>
  <c r="M273" i="11"/>
  <c r="M285" i="11"/>
  <c r="M292" i="11"/>
  <c r="M300" i="11"/>
  <c r="M306" i="11"/>
  <c r="M313" i="11"/>
  <c r="M320" i="11"/>
  <c r="M331" i="11"/>
  <c r="M340" i="11"/>
  <c r="M352" i="11"/>
  <c r="M363" i="11"/>
  <c r="M193" i="11"/>
  <c r="M13" i="11"/>
  <c r="M28" i="11"/>
  <c r="M36" i="11"/>
  <c r="M42" i="11"/>
  <c r="M50" i="11"/>
  <c r="M58" i="11"/>
  <c r="M66" i="11"/>
  <c r="M83" i="11"/>
  <c r="M18" i="11"/>
  <c r="M23" i="11"/>
  <c r="M31" i="11"/>
  <c r="M43" i="11"/>
  <c r="M91" i="11"/>
  <c r="M152" i="11"/>
  <c r="M206" i="11"/>
  <c r="M178" i="11"/>
  <c r="M10" i="11"/>
  <c r="M17" i="11"/>
  <c r="M128" i="11"/>
  <c r="M146" i="11"/>
  <c r="M200" i="11"/>
  <c r="M11" i="11"/>
  <c r="M51" i="11"/>
  <c r="M59" i="11"/>
  <c r="M68" i="11"/>
  <c r="M107" i="11"/>
  <c r="M135" i="11"/>
  <c r="M164" i="11"/>
  <c r="M24" i="11"/>
  <c r="M32" i="11"/>
  <c r="M38" i="11"/>
  <c r="M46" i="11"/>
  <c r="M54" i="11"/>
  <c r="M62" i="11"/>
  <c r="M72" i="11"/>
  <c r="M98" i="11"/>
  <c r="M114" i="11"/>
  <c r="M159" i="11"/>
  <c r="M171" i="11"/>
  <c r="M194" i="11"/>
  <c r="M214" i="11"/>
  <c r="M243" i="11"/>
  <c r="M247" i="11"/>
  <c r="M251" i="11"/>
  <c r="M255" i="11"/>
  <c r="M259" i="11"/>
  <c r="M263" i="11"/>
  <c r="M266" i="11"/>
  <c r="M270" i="11"/>
  <c r="M274" i="11"/>
  <c r="M278" i="11"/>
  <c r="M282" i="11"/>
  <c r="M288" i="11"/>
  <c r="M293" i="11"/>
  <c r="M298" i="11"/>
  <c r="M304" i="11"/>
  <c r="M309" i="11"/>
  <c r="M314" i="11"/>
  <c r="M319" i="11"/>
  <c r="M327" i="11"/>
  <c r="M335" i="11"/>
  <c r="M343" i="11"/>
  <c r="M351" i="11"/>
  <c r="M358" i="11"/>
  <c r="M367" i="11"/>
  <c r="M390" i="11"/>
  <c r="M73" i="11"/>
  <c r="M78" i="11"/>
  <c r="M86" i="11"/>
  <c r="M92" i="11"/>
  <c r="M99" i="11"/>
  <c r="M103" i="11"/>
  <c r="M108" i="11"/>
  <c r="M115" i="11"/>
  <c r="M123" i="11"/>
  <c r="M130" i="11"/>
  <c r="M136" i="11"/>
  <c r="M147" i="11"/>
  <c r="M154" i="11"/>
  <c r="M165" i="11"/>
  <c r="M172" i="11"/>
  <c r="M180" i="11"/>
  <c r="M190" i="11"/>
  <c r="M192" i="11"/>
  <c r="M201" i="11"/>
  <c r="M209" i="11"/>
  <c r="M12" i="11"/>
  <c r="M15" i="11"/>
  <c r="M19" i="11"/>
  <c r="M25" i="11"/>
  <c r="M29" i="11"/>
  <c r="M33" i="11"/>
  <c r="M40" i="11"/>
  <c r="M44" i="11"/>
  <c r="M48" i="11"/>
  <c r="M52" i="11"/>
  <c r="M56" i="11"/>
  <c r="M60" i="11"/>
  <c r="M64" i="11"/>
  <c r="M69" i="11"/>
  <c r="M74" i="11"/>
  <c r="M80" i="11"/>
  <c r="M87" i="11"/>
  <c r="M94" i="11"/>
  <c r="M110" i="11"/>
  <c r="M118" i="11"/>
  <c r="M124" i="11"/>
  <c r="M131" i="11"/>
  <c r="M141" i="11"/>
  <c r="M148" i="11"/>
  <c r="M156" i="11"/>
  <c r="M167" i="11"/>
  <c r="M175" i="11"/>
  <c r="M182" i="11"/>
  <c r="M196" i="11"/>
  <c r="M204" i="11"/>
  <c r="M210" i="11"/>
  <c r="M9" i="11"/>
  <c r="M16" i="11"/>
  <c r="M20" i="11"/>
  <c r="M22" i="11"/>
  <c r="M26" i="11"/>
  <c r="M30" i="11"/>
  <c r="M34" i="11"/>
  <c r="M37" i="11"/>
  <c r="M41" i="11"/>
  <c r="M45" i="11"/>
  <c r="M49" i="11"/>
  <c r="M53" i="11"/>
  <c r="M57" i="11"/>
  <c r="M61" i="11"/>
  <c r="M65" i="11"/>
  <c r="M70" i="11"/>
  <c r="M76" i="11"/>
  <c r="M82" i="11"/>
  <c r="M88" i="11"/>
  <c r="M96" i="11"/>
  <c r="M102" i="11"/>
  <c r="M104" i="11"/>
  <c r="M112" i="11"/>
  <c r="M119" i="11"/>
  <c r="M126" i="11"/>
  <c r="M134" i="11"/>
  <c r="M139" i="11"/>
  <c r="M143" i="11"/>
  <c r="M151" i="11"/>
  <c r="M158" i="11"/>
  <c r="M161" i="11"/>
  <c r="M169" i="11"/>
  <c r="M176" i="11"/>
  <c r="M183" i="11"/>
  <c r="M198" i="11"/>
  <c r="M205" i="11"/>
  <c r="M212" i="11"/>
  <c r="F225" i="11"/>
  <c r="E226" i="11" s="1"/>
  <c r="F226" i="11" s="1"/>
  <c r="M403" i="11"/>
  <c r="G103" i="11"/>
  <c r="J103" i="11" s="1"/>
  <c r="M67" i="11"/>
  <c r="M71" i="11"/>
  <c r="M75" i="11"/>
  <c r="M79" i="11"/>
  <c r="M84" i="11"/>
  <c r="M90" i="11"/>
  <c r="M95" i="11"/>
  <c r="M100" i="11"/>
  <c r="M106" i="11"/>
  <c r="M111" i="11"/>
  <c r="M116" i="11"/>
  <c r="M122" i="11"/>
  <c r="M127" i="11"/>
  <c r="M132" i="11"/>
  <c r="M138" i="11"/>
  <c r="M140" i="11"/>
  <c r="M144" i="11"/>
  <c r="M150" i="11"/>
  <c r="M155" i="11"/>
  <c r="M163" i="11"/>
  <c r="M168" i="11"/>
  <c r="M173" i="11"/>
  <c r="M179" i="11"/>
  <c r="M185" i="11"/>
  <c r="M197" i="11"/>
  <c r="M202" i="11"/>
  <c r="M208" i="11"/>
  <c r="M213" i="11"/>
  <c r="M362" i="11"/>
  <c r="M370" i="11"/>
  <c r="M386" i="11"/>
  <c r="M415" i="11"/>
  <c r="M321" i="11"/>
  <c r="M325" i="11"/>
  <c r="M329" i="11"/>
  <c r="M333" i="11"/>
  <c r="M337" i="11"/>
  <c r="M341" i="11"/>
  <c r="M345" i="11"/>
  <c r="M349" i="11"/>
  <c r="M353" i="11"/>
  <c r="M356" i="11"/>
  <c r="M360" i="11"/>
  <c r="M364" i="11"/>
  <c r="M368" i="11"/>
  <c r="M372" i="11"/>
  <c r="M377" i="11"/>
  <c r="M394" i="11"/>
  <c r="M408" i="11"/>
  <c r="M423" i="11"/>
  <c r="E38" i="11"/>
  <c r="F38" i="11" s="1"/>
  <c r="G38" i="11" s="1"/>
  <c r="J38" i="11" s="1"/>
  <c r="M81" i="11"/>
  <c r="M85" i="11"/>
  <c r="M89" i="11"/>
  <c r="M93" i="11"/>
  <c r="M97" i="11"/>
  <c r="M101" i="11"/>
  <c r="M105" i="11"/>
  <c r="M109" i="11"/>
  <c r="M113" i="11"/>
  <c r="M117" i="11"/>
  <c r="M121" i="11"/>
  <c r="M125" i="11"/>
  <c r="M129" i="11"/>
  <c r="M133" i="11"/>
  <c r="M137" i="11"/>
  <c r="M142" i="11"/>
  <c r="M145" i="11"/>
  <c r="M149" i="11"/>
  <c r="M153" i="11"/>
  <c r="M157" i="11"/>
  <c r="M160" i="11"/>
  <c r="M162" i="11"/>
  <c r="M166" i="11"/>
  <c r="M170" i="11"/>
  <c r="M174" i="11"/>
  <c r="M177" i="11"/>
  <c r="M181" i="11"/>
  <c r="M187" i="11"/>
  <c r="M191" i="11"/>
  <c r="M195" i="11"/>
  <c r="M199" i="11"/>
  <c r="M203" i="11"/>
  <c r="M207" i="11"/>
  <c r="M211" i="11"/>
  <c r="M279" i="11"/>
  <c r="M283" i="11"/>
  <c r="M287" i="11"/>
  <c r="M291" i="11"/>
  <c r="M295" i="11"/>
  <c r="M299" i="11"/>
  <c r="M303" i="11"/>
  <c r="M307" i="11"/>
  <c r="M311" i="11"/>
  <c r="M315" i="11"/>
  <c r="M318" i="11"/>
  <c r="M322" i="11"/>
  <c r="M326" i="11"/>
  <c r="M330" i="11"/>
  <c r="M334" i="11"/>
  <c r="M338" i="11"/>
  <c r="M342" i="11"/>
  <c r="M346" i="11"/>
  <c r="M350" i="11"/>
  <c r="M354" i="11"/>
  <c r="M357" i="11"/>
  <c r="M361" i="11"/>
  <c r="M365" i="11"/>
  <c r="M369" i="11"/>
  <c r="M375" i="11"/>
  <c r="M382" i="11"/>
  <c r="M398" i="11"/>
  <c r="M410" i="11"/>
  <c r="M426" i="11"/>
  <c r="G13" i="11"/>
  <c r="J13" i="11" s="1"/>
  <c r="E15" i="11"/>
  <c r="F15" i="11" s="1"/>
  <c r="G14" i="11"/>
  <c r="J14" i="11" s="1"/>
  <c r="H96" i="11"/>
  <c r="H98" i="11" s="1"/>
  <c r="H100" i="11" s="1"/>
  <c r="H97" i="11"/>
  <c r="H99" i="11" s="1"/>
  <c r="H101" i="11" s="1"/>
  <c r="G22" i="11"/>
  <c r="J22" i="11" s="1"/>
  <c r="E23" i="11"/>
  <c r="F23" i="11" s="1"/>
  <c r="E11" i="11"/>
  <c r="F11" i="11" s="1"/>
  <c r="G10" i="11"/>
  <c r="J10" i="11" s="1"/>
  <c r="H184" i="11"/>
  <c r="H186" i="11" s="1"/>
  <c r="H188" i="11" s="1"/>
  <c r="H185" i="11"/>
  <c r="H187" i="11" s="1"/>
  <c r="H189" i="11" s="1"/>
  <c r="G21" i="11"/>
  <c r="J21" i="11" s="1"/>
  <c r="E197" i="11"/>
  <c r="F197" i="11" s="1"/>
  <c r="G196" i="11"/>
  <c r="J196" i="11" s="1"/>
  <c r="E105" i="11"/>
  <c r="F105" i="11" s="1"/>
  <c r="E161" i="11"/>
  <c r="F161" i="11" s="1"/>
  <c r="G160" i="11"/>
  <c r="H297" i="11"/>
  <c r="H298" i="11" s="1"/>
  <c r="H299" i="11" s="1"/>
  <c r="H300" i="11" s="1"/>
  <c r="H301" i="11" s="1"/>
  <c r="H302" i="11" s="1"/>
  <c r="H303" i="11" s="1"/>
  <c r="H304" i="11" s="1"/>
  <c r="H305" i="11" s="1"/>
  <c r="H306" i="11" s="1"/>
  <c r="H307" i="11" s="1"/>
  <c r="H308" i="11" s="1"/>
  <c r="H309" i="11" s="1"/>
  <c r="H310" i="11" s="1"/>
  <c r="H311" i="11" s="1"/>
  <c r="H312" i="11" s="1"/>
  <c r="H313" i="11" s="1"/>
  <c r="H314" i="11" s="1"/>
  <c r="H315" i="11" s="1"/>
  <c r="H316" i="11" s="1"/>
  <c r="H294" i="11"/>
  <c r="H295" i="11" s="1"/>
  <c r="H296" i="11" s="1"/>
  <c r="G9" i="11"/>
  <c r="E140" i="11"/>
  <c r="F140" i="11" s="1"/>
  <c r="G102" i="11"/>
  <c r="J102" i="11" s="1"/>
  <c r="F228" i="11"/>
  <c r="K229" i="11"/>
  <c r="K230" i="11" s="1"/>
  <c r="K231" i="11" s="1"/>
  <c r="K232" i="11" s="1"/>
  <c r="K233" i="11" s="1"/>
  <c r="K234" i="11" s="1"/>
  <c r="K235" i="11" s="1"/>
  <c r="K236" i="11" s="1"/>
  <c r="G194" i="11"/>
  <c r="J194" i="11" s="1"/>
  <c r="G224" i="11"/>
  <c r="K297" i="11"/>
  <c r="K298" i="11" s="1"/>
  <c r="K299" i="11" s="1"/>
  <c r="K300" i="11" s="1"/>
  <c r="K301" i="11" s="1"/>
  <c r="K302" i="11" s="1"/>
  <c r="K303" i="11" s="1"/>
  <c r="K304" i="11" s="1"/>
  <c r="K305" i="11" s="1"/>
  <c r="K306" i="11" s="1"/>
  <c r="K307" i="11" s="1"/>
  <c r="K308" i="11" s="1"/>
  <c r="K309" i="11" s="1"/>
  <c r="K310" i="11" s="1"/>
  <c r="K311" i="11" s="1"/>
  <c r="K312" i="11" s="1"/>
  <c r="K313" i="11" s="1"/>
  <c r="K314" i="11" s="1"/>
  <c r="K315" i="11" s="1"/>
  <c r="K316" i="11" s="1"/>
  <c r="K317" i="11" s="1"/>
  <c r="K294" i="11"/>
  <c r="K295" i="11" s="1"/>
  <c r="K296" i="11" s="1"/>
  <c r="M184" i="11"/>
  <c r="M186" i="11"/>
  <c r="M188" i="11"/>
  <c r="M407" i="11"/>
  <c r="M414" i="11"/>
  <c r="M422" i="11"/>
  <c r="M373" i="11"/>
  <c r="M374" i="11"/>
  <c r="M380" i="11"/>
  <c r="M384" i="11"/>
  <c r="M388" i="11"/>
  <c r="M392" i="11"/>
  <c r="M396" i="11"/>
  <c r="M400" i="11"/>
  <c r="M411" i="11"/>
  <c r="M419" i="11"/>
  <c r="M428" i="11"/>
  <c r="M424" i="11"/>
  <c r="M420" i="11"/>
  <c r="M416" i="11"/>
  <c r="M412" i="11"/>
  <c r="M405" i="11"/>
  <c r="M429" i="11"/>
  <c r="M425" i="11"/>
  <c r="M421" i="11"/>
  <c r="M417" i="11"/>
  <c r="M413" i="11"/>
  <c r="M409" i="11"/>
  <c r="M406" i="11"/>
  <c r="M401" i="11"/>
  <c r="M399" i="11"/>
  <c r="M397" i="11"/>
  <c r="M395" i="11"/>
  <c r="M393" i="11"/>
  <c r="M391" i="11"/>
  <c r="M389" i="11"/>
  <c r="M387" i="11"/>
  <c r="M385" i="11"/>
  <c r="M383" i="11"/>
  <c r="M381" i="11"/>
  <c r="M379" i="11"/>
  <c r="M378" i="11"/>
  <c r="E39" i="11" l="1"/>
  <c r="F39" i="11" s="1"/>
  <c r="G225" i="11"/>
  <c r="J225" i="11" s="1"/>
  <c r="M433" i="11"/>
  <c r="M218" i="11"/>
  <c r="F317" i="11"/>
  <c r="K318" i="11"/>
  <c r="K319" i="11" s="1"/>
  <c r="K320" i="11" s="1"/>
  <c r="K321" i="11" s="1"/>
  <c r="K322" i="11" s="1"/>
  <c r="K323" i="11" s="1"/>
  <c r="K324" i="11" s="1"/>
  <c r="K325" i="11" s="1"/>
  <c r="K326" i="11" s="1"/>
  <c r="K327" i="11" s="1"/>
  <c r="K328" i="11" s="1"/>
  <c r="K329" i="11" s="1"/>
  <c r="K330" i="11" s="1"/>
  <c r="K331" i="11" s="1"/>
  <c r="K332" i="11" s="1"/>
  <c r="K333" i="11" s="1"/>
  <c r="K334" i="11" s="1"/>
  <c r="K335" i="11" s="1"/>
  <c r="K336" i="11" s="1"/>
  <c r="K337" i="11" s="1"/>
  <c r="K338" i="11" s="1"/>
  <c r="K339" i="11" s="1"/>
  <c r="K340" i="11" s="1"/>
  <c r="K341" i="11" s="1"/>
  <c r="K342" i="11" s="1"/>
  <c r="K343" i="11" s="1"/>
  <c r="K344" i="11" s="1"/>
  <c r="K345" i="11" s="1"/>
  <c r="K346" i="11" s="1"/>
  <c r="K347" i="11" s="1"/>
  <c r="K348" i="11" s="1"/>
  <c r="K349" i="11" s="1"/>
  <c r="K350" i="11" s="1"/>
  <c r="K351" i="11" s="1"/>
  <c r="K352" i="11" s="1"/>
  <c r="K353" i="11" s="1"/>
  <c r="K354" i="11" s="1"/>
  <c r="E12" i="11"/>
  <c r="F12" i="11" s="1"/>
  <c r="G12" i="11" s="1"/>
  <c r="J12" i="11" s="1"/>
  <c r="G11" i="11"/>
  <c r="J11" i="11" s="1"/>
  <c r="J224" i="11"/>
  <c r="F236" i="11"/>
  <c r="K237" i="11"/>
  <c r="K238" i="11" s="1"/>
  <c r="K239" i="11" s="1"/>
  <c r="K240" i="11" s="1"/>
  <c r="K241" i="11" s="1"/>
  <c r="K242" i="11" s="1"/>
  <c r="K243" i="11" s="1"/>
  <c r="K244" i="11" s="1"/>
  <c r="K245" i="11" s="1"/>
  <c r="K246" i="11" s="1"/>
  <c r="K247" i="11" s="1"/>
  <c r="K248" i="11" s="1"/>
  <c r="K249" i="11" s="1"/>
  <c r="K250" i="11" s="1"/>
  <c r="K251" i="11" s="1"/>
  <c r="E229" i="11"/>
  <c r="F229" i="11" s="1"/>
  <c r="G228" i="11"/>
  <c r="J228" i="11" s="1"/>
  <c r="E141" i="11"/>
  <c r="F141" i="11" s="1"/>
  <c r="G140" i="11"/>
  <c r="J140" i="11" s="1"/>
  <c r="E162" i="11"/>
  <c r="F162" i="11" s="1"/>
  <c r="G161" i="11"/>
  <c r="G197" i="11"/>
  <c r="J197" i="11" s="1"/>
  <c r="E198" i="11"/>
  <c r="F198" i="11" s="1"/>
  <c r="E40" i="11"/>
  <c r="F40" i="11" s="1"/>
  <c r="G39" i="11"/>
  <c r="J39" i="11" s="1"/>
  <c r="J9" i="11"/>
  <c r="G226" i="11"/>
  <c r="J226" i="11" s="1"/>
  <c r="E227" i="11"/>
  <c r="F227" i="11" s="1"/>
  <c r="G227" i="11" s="1"/>
  <c r="J227" i="11" s="1"/>
  <c r="E106" i="11"/>
  <c r="F106" i="11" s="1"/>
  <c r="G105" i="11"/>
  <c r="J105" i="11" s="1"/>
  <c r="E24" i="11"/>
  <c r="F24" i="11" s="1"/>
  <c r="G23" i="11"/>
  <c r="J23" i="11" s="1"/>
  <c r="E16" i="11"/>
  <c r="F16" i="11" s="1"/>
  <c r="G15" i="11"/>
  <c r="J15" i="11" s="1"/>
  <c r="E17" i="11" l="1"/>
  <c r="F17" i="11" s="1"/>
  <c r="G16" i="11"/>
  <c r="J16" i="11" s="1"/>
  <c r="G40" i="11"/>
  <c r="J40" i="11" s="1"/>
  <c r="E41" i="11"/>
  <c r="F41" i="11" s="1"/>
  <c r="E163" i="11"/>
  <c r="F163" i="11" s="1"/>
  <c r="G162" i="11"/>
  <c r="G236" i="11"/>
  <c r="J236" i="11" s="1"/>
  <c r="E237" i="11"/>
  <c r="F237" i="11" s="1"/>
  <c r="E199" i="11"/>
  <c r="F199" i="11" s="1"/>
  <c r="G198" i="11"/>
  <c r="J198" i="11" s="1"/>
  <c r="G229" i="11"/>
  <c r="J229" i="11" s="1"/>
  <c r="E230" i="11"/>
  <c r="F230" i="11" s="1"/>
  <c r="E107" i="11"/>
  <c r="F107" i="11" s="1"/>
  <c r="G106" i="11"/>
  <c r="J106" i="11" s="1"/>
  <c r="F354" i="11"/>
  <c r="K355" i="11"/>
  <c r="K356" i="11" s="1"/>
  <c r="K357" i="11" s="1"/>
  <c r="K358" i="11" s="1"/>
  <c r="K359" i="11" s="1"/>
  <c r="K360" i="11" s="1"/>
  <c r="K361" i="11" s="1"/>
  <c r="K362" i="11" s="1"/>
  <c r="K363" i="11" s="1"/>
  <c r="K364" i="11" s="1"/>
  <c r="K365" i="11" s="1"/>
  <c r="K366" i="11" s="1"/>
  <c r="K367" i="11" s="1"/>
  <c r="K368" i="11" s="1"/>
  <c r="K369" i="11" s="1"/>
  <c r="K370" i="11" s="1"/>
  <c r="K371" i="11" s="1"/>
  <c r="K372" i="11" s="1"/>
  <c r="K373" i="11" s="1"/>
  <c r="K374" i="11" s="1"/>
  <c r="E25" i="11"/>
  <c r="F25" i="11" s="1"/>
  <c r="G24" i="11"/>
  <c r="J24" i="11" s="1"/>
  <c r="G141" i="11"/>
  <c r="J141" i="11" s="1"/>
  <c r="E142" i="11"/>
  <c r="F142" i="11" s="1"/>
  <c r="K264" i="11"/>
  <c r="K252" i="11"/>
  <c r="G317" i="11"/>
  <c r="J317" i="11" s="1"/>
  <c r="E318" i="11"/>
  <c r="F318" i="11" s="1"/>
  <c r="E108" i="11" l="1"/>
  <c r="F108" i="11" s="1"/>
  <c r="G107" i="11"/>
  <c r="J107" i="11" s="1"/>
  <c r="G237" i="11"/>
  <c r="J237" i="11" s="1"/>
  <c r="E238" i="11"/>
  <c r="F238" i="11" s="1"/>
  <c r="K253" i="11"/>
  <c r="K254" i="11" s="1"/>
  <c r="K255" i="11" s="1"/>
  <c r="K256" i="11" s="1"/>
  <c r="K257" i="11" s="1"/>
  <c r="K258" i="11" s="1"/>
  <c r="K259" i="11" s="1"/>
  <c r="K260" i="11" s="1"/>
  <c r="K261" i="11" s="1"/>
  <c r="K262" i="11" s="1"/>
  <c r="K263" i="11" s="1"/>
  <c r="F252" i="11"/>
  <c r="G25" i="11"/>
  <c r="J25" i="11" s="1"/>
  <c r="E26" i="11"/>
  <c r="F26" i="11" s="1"/>
  <c r="K405" i="11"/>
  <c r="K375" i="11"/>
  <c r="G354" i="11"/>
  <c r="J354" i="11" s="1"/>
  <c r="E355" i="11"/>
  <c r="F355" i="11" s="1"/>
  <c r="G199" i="11"/>
  <c r="J199" i="11" s="1"/>
  <c r="E200" i="11"/>
  <c r="F200" i="11" s="1"/>
  <c r="G41" i="11"/>
  <c r="J41" i="11" s="1"/>
  <c r="E42" i="11"/>
  <c r="F42" i="11" s="1"/>
  <c r="G318" i="11"/>
  <c r="J318" i="11" s="1"/>
  <c r="E319" i="11"/>
  <c r="F319" i="11" s="1"/>
  <c r="E143" i="11"/>
  <c r="F143" i="11" s="1"/>
  <c r="G142" i="11"/>
  <c r="J142" i="11" s="1"/>
  <c r="E231" i="11"/>
  <c r="F231" i="11" s="1"/>
  <c r="G230" i="11"/>
  <c r="J230" i="11" s="1"/>
  <c r="E164" i="11"/>
  <c r="F164" i="11" s="1"/>
  <c r="G163" i="11"/>
  <c r="G17" i="11"/>
  <c r="E18" i="11"/>
  <c r="F18" i="11" s="1"/>
  <c r="E232" i="11" l="1"/>
  <c r="F232" i="11" s="1"/>
  <c r="G231" i="11"/>
  <c r="J231" i="11" s="1"/>
  <c r="G319" i="11"/>
  <c r="J319" i="11" s="1"/>
  <c r="E320" i="11"/>
  <c r="F320" i="11" s="1"/>
  <c r="G26" i="11"/>
  <c r="J26" i="11" s="1"/>
  <c r="E27" i="11"/>
  <c r="F27" i="11" s="1"/>
  <c r="G238" i="11"/>
  <c r="J238" i="11" s="1"/>
  <c r="E239" i="11"/>
  <c r="F239" i="11" s="1"/>
  <c r="J17" i="11"/>
  <c r="G108" i="11"/>
  <c r="J108" i="11" s="1"/>
  <c r="E109" i="11"/>
  <c r="F109" i="11" s="1"/>
  <c r="E165" i="11"/>
  <c r="F165" i="11" s="1"/>
  <c r="G164" i="11"/>
  <c r="G355" i="11"/>
  <c r="J355" i="11" s="1"/>
  <c r="E356" i="11"/>
  <c r="F356" i="11" s="1"/>
  <c r="E144" i="11"/>
  <c r="F144" i="11" s="1"/>
  <c r="G143" i="11"/>
  <c r="J143" i="11" s="1"/>
  <c r="E201" i="11"/>
  <c r="F201" i="11" s="1"/>
  <c r="G200" i="11"/>
  <c r="J200" i="11" s="1"/>
  <c r="F405" i="11"/>
  <c r="K406" i="11"/>
  <c r="K407" i="11" s="1"/>
  <c r="K408" i="11" s="1"/>
  <c r="K409" i="11" s="1"/>
  <c r="G18" i="11"/>
  <c r="J18" i="11" s="1"/>
  <c r="E19" i="11"/>
  <c r="F19" i="11" s="1"/>
  <c r="E43" i="11"/>
  <c r="F43" i="11" s="1"/>
  <c r="G42" i="11"/>
  <c r="J42" i="11" s="1"/>
  <c r="K376" i="11"/>
  <c r="K377" i="11" s="1"/>
  <c r="K378" i="11" s="1"/>
  <c r="K379" i="11" s="1"/>
  <c r="F375" i="11"/>
  <c r="E253" i="11"/>
  <c r="F253" i="11" s="1"/>
  <c r="G252" i="11"/>
  <c r="J252" i="11" s="1"/>
  <c r="E44" i="11" l="1"/>
  <c r="F44" i="11" s="1"/>
  <c r="G43" i="11"/>
  <c r="J43" i="11" s="1"/>
  <c r="G201" i="11"/>
  <c r="J201" i="11" s="1"/>
  <c r="E202" i="11"/>
  <c r="F202" i="11" s="1"/>
  <c r="F409" i="11"/>
  <c r="K410" i="11"/>
  <c r="K411" i="11" s="1"/>
  <c r="K412" i="11" s="1"/>
  <c r="K413" i="11" s="1"/>
  <c r="K414" i="11" s="1"/>
  <c r="K415" i="11" s="1"/>
  <c r="K416" i="11" s="1"/>
  <c r="K417" i="11" s="1"/>
  <c r="K418" i="11" s="1"/>
  <c r="K419" i="11" s="1"/>
  <c r="K420" i="11" s="1"/>
  <c r="K421" i="11" s="1"/>
  <c r="K422" i="11" s="1"/>
  <c r="K423" i="11" s="1"/>
  <c r="K424" i="11" s="1"/>
  <c r="K425" i="11" s="1"/>
  <c r="K426" i="11" s="1"/>
  <c r="K427" i="11" s="1"/>
  <c r="K428" i="11" s="1"/>
  <c r="K429" i="11" s="1"/>
  <c r="G356" i="11"/>
  <c r="J356" i="11" s="1"/>
  <c r="E357" i="11"/>
  <c r="F357" i="11" s="1"/>
  <c r="E406" i="11"/>
  <c r="F406" i="11" s="1"/>
  <c r="G405" i="11"/>
  <c r="J405" i="11" s="1"/>
  <c r="E145" i="11"/>
  <c r="F145" i="11" s="1"/>
  <c r="G144" i="11"/>
  <c r="J144" i="11" s="1"/>
  <c r="E166" i="11"/>
  <c r="F166" i="11" s="1"/>
  <c r="G165" i="11"/>
  <c r="E28" i="11"/>
  <c r="F28" i="11" s="1"/>
  <c r="G27" i="11"/>
  <c r="J27" i="11" s="1"/>
  <c r="E376" i="11"/>
  <c r="F376" i="11" s="1"/>
  <c r="G375" i="11"/>
  <c r="J375" i="11" s="1"/>
  <c r="G320" i="11"/>
  <c r="J320" i="11" s="1"/>
  <c r="E321" i="11"/>
  <c r="F321" i="11" s="1"/>
  <c r="E254" i="11"/>
  <c r="F254" i="11" s="1"/>
  <c r="G253" i="11"/>
  <c r="J253" i="11" s="1"/>
  <c r="G19" i="11"/>
  <c r="J19" i="11" s="1"/>
  <c r="E20" i="11"/>
  <c r="F20" i="11" s="1"/>
  <c r="G20" i="11" s="1"/>
  <c r="J20" i="11" s="1"/>
  <c r="E110" i="11"/>
  <c r="F110" i="11" s="1"/>
  <c r="G109" i="11"/>
  <c r="J109" i="11" s="1"/>
  <c r="G239" i="11"/>
  <c r="J239" i="11" s="1"/>
  <c r="E240" i="11"/>
  <c r="F240" i="11" s="1"/>
  <c r="E233" i="11"/>
  <c r="F233" i="11" s="1"/>
  <c r="G232" i="11"/>
  <c r="G233" i="11" l="1"/>
  <c r="J233" i="11" s="1"/>
  <c r="E234" i="11"/>
  <c r="F234" i="11" s="1"/>
  <c r="G321" i="11"/>
  <c r="J321" i="11" s="1"/>
  <c r="E322" i="11"/>
  <c r="F322" i="11" s="1"/>
  <c r="E29" i="11"/>
  <c r="F29" i="11" s="1"/>
  <c r="G28" i="11"/>
  <c r="J28" i="11" s="1"/>
  <c r="G406" i="11"/>
  <c r="J406" i="11" s="1"/>
  <c r="E407" i="11"/>
  <c r="F407" i="11" s="1"/>
  <c r="J232" i="11"/>
  <c r="E255" i="11"/>
  <c r="F255" i="11" s="1"/>
  <c r="G254" i="11"/>
  <c r="J254" i="11" s="1"/>
  <c r="E167" i="11"/>
  <c r="F167" i="11" s="1"/>
  <c r="G166" i="11"/>
  <c r="E203" i="11"/>
  <c r="F203" i="11" s="1"/>
  <c r="G202" i="11"/>
  <c r="J202" i="11" s="1"/>
  <c r="G240" i="11"/>
  <c r="J240" i="11" s="1"/>
  <c r="E241" i="11"/>
  <c r="F241" i="11" s="1"/>
  <c r="E111" i="11"/>
  <c r="F111" i="11" s="1"/>
  <c r="G110" i="11"/>
  <c r="J110" i="11" s="1"/>
  <c r="E377" i="11"/>
  <c r="F377" i="11" s="1"/>
  <c r="G376" i="11"/>
  <c r="J376" i="11" s="1"/>
  <c r="E358" i="11"/>
  <c r="F358" i="11" s="1"/>
  <c r="G357" i="11"/>
  <c r="J357" i="11" s="1"/>
  <c r="G145" i="11"/>
  <c r="J145" i="11" s="1"/>
  <c r="E146" i="11"/>
  <c r="F146" i="11" s="1"/>
  <c r="G409" i="11"/>
  <c r="J409" i="11" s="1"/>
  <c r="E410" i="11"/>
  <c r="F410" i="11" s="1"/>
  <c r="E45" i="11"/>
  <c r="F45" i="11" s="1"/>
  <c r="G44" i="11"/>
  <c r="J44" i="11" s="1"/>
  <c r="E147" i="11" l="1"/>
  <c r="F147" i="11" s="1"/>
  <c r="G146" i="11"/>
  <c r="J146" i="11" s="1"/>
  <c r="E378" i="11"/>
  <c r="F378" i="11" s="1"/>
  <c r="G377" i="11"/>
  <c r="J377" i="11" s="1"/>
  <c r="G241" i="11"/>
  <c r="J241" i="11" s="1"/>
  <c r="E242" i="11"/>
  <c r="F242" i="11" s="1"/>
  <c r="G45" i="11"/>
  <c r="J45" i="11" s="1"/>
  <c r="E46" i="11"/>
  <c r="F46" i="11" s="1"/>
  <c r="E168" i="11"/>
  <c r="F168" i="11" s="1"/>
  <c r="G167" i="11"/>
  <c r="E323" i="11"/>
  <c r="F323" i="11" s="1"/>
  <c r="G322" i="11"/>
  <c r="J322" i="11" s="1"/>
  <c r="E235" i="11"/>
  <c r="F235" i="11" s="1"/>
  <c r="G235" i="11" s="1"/>
  <c r="J235" i="11" s="1"/>
  <c r="G234" i="11"/>
  <c r="J234" i="11" s="1"/>
  <c r="E411" i="11"/>
  <c r="F411" i="11" s="1"/>
  <c r="G410" i="11"/>
  <c r="J410" i="11" s="1"/>
  <c r="G358" i="11"/>
  <c r="J358" i="11" s="1"/>
  <c r="E359" i="11"/>
  <c r="F359" i="11" s="1"/>
  <c r="E112" i="11"/>
  <c r="F112" i="11" s="1"/>
  <c r="G111" i="11"/>
  <c r="J111" i="11" s="1"/>
  <c r="G203" i="11"/>
  <c r="J203" i="11" s="1"/>
  <c r="E204" i="11"/>
  <c r="F204" i="11" s="1"/>
  <c r="E256" i="11"/>
  <c r="F256" i="11" s="1"/>
  <c r="G255" i="11"/>
  <c r="J255" i="11" s="1"/>
  <c r="G29" i="11"/>
  <c r="J29" i="11" s="1"/>
  <c r="E30" i="11"/>
  <c r="F30" i="11" s="1"/>
  <c r="E408" i="11"/>
  <c r="F408" i="11" s="1"/>
  <c r="G408" i="11" s="1"/>
  <c r="J408" i="11" s="1"/>
  <c r="G407" i="11"/>
  <c r="J407" i="11" s="1"/>
  <c r="E324" i="11" l="1"/>
  <c r="F324" i="11" s="1"/>
  <c r="G323" i="11"/>
  <c r="J323" i="11" s="1"/>
  <c r="E360" i="11"/>
  <c r="F360" i="11" s="1"/>
  <c r="G359" i="11"/>
  <c r="J359" i="11" s="1"/>
  <c r="E169" i="11"/>
  <c r="F169" i="11" s="1"/>
  <c r="G168" i="11"/>
  <c r="E257" i="11"/>
  <c r="F257" i="11" s="1"/>
  <c r="G256" i="11"/>
  <c r="J256" i="11" s="1"/>
  <c r="G378" i="11"/>
  <c r="J378" i="11" s="1"/>
  <c r="E379" i="11"/>
  <c r="F379" i="11" s="1"/>
  <c r="E412" i="11"/>
  <c r="F412" i="11" s="1"/>
  <c r="G411" i="11"/>
  <c r="J411" i="11" s="1"/>
  <c r="E148" i="11"/>
  <c r="F148" i="11" s="1"/>
  <c r="G147" i="11"/>
  <c r="J147" i="11" s="1"/>
  <c r="E47" i="11"/>
  <c r="F47" i="11" s="1"/>
  <c r="G46" i="11"/>
  <c r="J46" i="11" s="1"/>
  <c r="G112" i="11"/>
  <c r="J112" i="11" s="1"/>
  <c r="E113" i="11"/>
  <c r="F113" i="11" s="1"/>
  <c r="G30" i="11"/>
  <c r="J30" i="11" s="1"/>
  <c r="E31" i="11"/>
  <c r="F31" i="11" s="1"/>
  <c r="E205" i="11"/>
  <c r="F205" i="11" s="1"/>
  <c r="G204" i="11"/>
  <c r="J204" i="11" s="1"/>
  <c r="G242" i="11"/>
  <c r="J242" i="11" s="1"/>
  <c r="E243" i="11"/>
  <c r="F243" i="11" s="1"/>
  <c r="G379" i="11" l="1"/>
  <c r="J379" i="11" s="1"/>
  <c r="E380" i="11"/>
  <c r="F380" i="11" s="1"/>
  <c r="E170" i="11"/>
  <c r="F170" i="11" s="1"/>
  <c r="G169" i="11"/>
  <c r="E413" i="11"/>
  <c r="F413" i="11" s="1"/>
  <c r="G412" i="11"/>
  <c r="J412" i="11" s="1"/>
  <c r="E258" i="11"/>
  <c r="F258" i="11" s="1"/>
  <c r="G257" i="11"/>
  <c r="J257" i="11" s="1"/>
  <c r="E114" i="11"/>
  <c r="F114" i="11" s="1"/>
  <c r="G113" i="11"/>
  <c r="J113" i="11" s="1"/>
  <c r="G360" i="11"/>
  <c r="J360" i="11" s="1"/>
  <c r="E361" i="11"/>
  <c r="F361" i="11" s="1"/>
  <c r="E325" i="11"/>
  <c r="F325" i="11" s="1"/>
  <c r="G324" i="11"/>
  <c r="J324" i="11" s="1"/>
  <c r="G243" i="11"/>
  <c r="J243" i="11" s="1"/>
  <c r="E244" i="11"/>
  <c r="F244" i="11" s="1"/>
  <c r="G205" i="11"/>
  <c r="J205" i="11" s="1"/>
  <c r="E206" i="11"/>
  <c r="F206" i="11" s="1"/>
  <c r="E48" i="11"/>
  <c r="F48" i="11" s="1"/>
  <c r="G47" i="11"/>
  <c r="J47" i="11" s="1"/>
  <c r="E32" i="11"/>
  <c r="F32" i="11" s="1"/>
  <c r="G31" i="11"/>
  <c r="J31" i="11" s="1"/>
  <c r="E149" i="11"/>
  <c r="F149" i="11" s="1"/>
  <c r="G148" i="11"/>
  <c r="J148" i="11" s="1"/>
  <c r="E33" i="11" l="1"/>
  <c r="F33" i="11" s="1"/>
  <c r="G32" i="11"/>
  <c r="J32" i="11" s="1"/>
  <c r="E207" i="11"/>
  <c r="F207" i="11" s="1"/>
  <c r="G206" i="11"/>
  <c r="J206" i="11" s="1"/>
  <c r="E362" i="11"/>
  <c r="F362" i="11" s="1"/>
  <c r="G361" i="11"/>
  <c r="J361" i="11" s="1"/>
  <c r="E115" i="11"/>
  <c r="F115" i="11" s="1"/>
  <c r="G114" i="11"/>
  <c r="J114" i="11" s="1"/>
  <c r="E171" i="11"/>
  <c r="F171" i="11" s="1"/>
  <c r="G170" i="11"/>
  <c r="G149" i="11"/>
  <c r="E150" i="11"/>
  <c r="F150" i="11" s="1"/>
  <c r="G413" i="11"/>
  <c r="J413" i="11" s="1"/>
  <c r="E414" i="11"/>
  <c r="F414" i="11" s="1"/>
  <c r="E381" i="11"/>
  <c r="F381" i="11" s="1"/>
  <c r="G380" i="11"/>
  <c r="J380" i="11" s="1"/>
  <c r="E245" i="11"/>
  <c r="F245" i="11" s="1"/>
  <c r="G244" i="11"/>
  <c r="J244" i="11" s="1"/>
  <c r="E49" i="11"/>
  <c r="F49" i="11" s="1"/>
  <c r="G48" i="11"/>
  <c r="J48" i="11" s="1"/>
  <c r="E326" i="11"/>
  <c r="F326" i="11" s="1"/>
  <c r="G325" i="11"/>
  <c r="J325" i="11" s="1"/>
  <c r="E259" i="11"/>
  <c r="F259" i="11" s="1"/>
  <c r="G258" i="11"/>
  <c r="J258" i="11" s="1"/>
  <c r="G49" i="11" l="1"/>
  <c r="J49" i="11" s="1"/>
  <c r="E50" i="11"/>
  <c r="F50" i="11" s="1"/>
  <c r="E415" i="11"/>
  <c r="F415" i="11" s="1"/>
  <c r="G414" i="11"/>
  <c r="J414" i="11" s="1"/>
  <c r="E116" i="11"/>
  <c r="F116" i="11" s="1"/>
  <c r="G115" i="11"/>
  <c r="J115" i="11" s="1"/>
  <c r="E260" i="11"/>
  <c r="F260" i="11" s="1"/>
  <c r="G259" i="11"/>
  <c r="J259" i="11" s="1"/>
  <c r="G362" i="11"/>
  <c r="J362" i="11" s="1"/>
  <c r="E363" i="11"/>
  <c r="F363" i="11" s="1"/>
  <c r="E34" i="11"/>
  <c r="F34" i="11" s="1"/>
  <c r="G33" i="11"/>
  <c r="J33" i="11" s="1"/>
  <c r="E246" i="11"/>
  <c r="F246" i="11" s="1"/>
  <c r="G245" i="11"/>
  <c r="J245" i="11" s="1"/>
  <c r="G207" i="11"/>
  <c r="J207" i="11" s="1"/>
  <c r="E208" i="11"/>
  <c r="F208" i="11" s="1"/>
  <c r="E327" i="11"/>
  <c r="F327" i="11" s="1"/>
  <c r="G326" i="11"/>
  <c r="J326" i="11" s="1"/>
  <c r="E172" i="11"/>
  <c r="F172" i="11" s="1"/>
  <c r="G171" i="11"/>
  <c r="E151" i="11"/>
  <c r="F151" i="11" s="1"/>
  <c r="G150" i="11"/>
  <c r="J150" i="11" s="1"/>
  <c r="E382" i="11"/>
  <c r="F382" i="11" s="1"/>
  <c r="G381" i="11"/>
  <c r="J381" i="11" s="1"/>
  <c r="E209" i="11" l="1"/>
  <c r="F209" i="11" s="1"/>
  <c r="G208" i="11"/>
  <c r="J208" i="11" s="1"/>
  <c r="G151" i="11"/>
  <c r="J151" i="11" s="1"/>
  <c r="E152" i="11"/>
  <c r="F152" i="11" s="1"/>
  <c r="G34" i="11"/>
  <c r="J34" i="11" s="1"/>
  <c r="E35" i="11"/>
  <c r="F35" i="11" s="1"/>
  <c r="E261" i="11"/>
  <c r="F261" i="11" s="1"/>
  <c r="G260" i="11"/>
  <c r="J260" i="11" s="1"/>
  <c r="E51" i="11"/>
  <c r="F51" i="11" s="1"/>
  <c r="G50" i="11"/>
  <c r="J50" i="11" s="1"/>
  <c r="E383" i="11"/>
  <c r="F383" i="11" s="1"/>
  <c r="G382" i="11"/>
  <c r="J382" i="11" s="1"/>
  <c r="E173" i="11"/>
  <c r="F173" i="11" s="1"/>
  <c r="G172" i="11"/>
  <c r="E416" i="11"/>
  <c r="F416" i="11" s="1"/>
  <c r="G415" i="11"/>
  <c r="J415" i="11" s="1"/>
  <c r="E328" i="11"/>
  <c r="F328" i="11" s="1"/>
  <c r="G327" i="11"/>
  <c r="J327" i="11" s="1"/>
  <c r="E247" i="11"/>
  <c r="F247" i="11" s="1"/>
  <c r="G246" i="11"/>
  <c r="J246" i="11" s="1"/>
  <c r="G363" i="11"/>
  <c r="J363" i="11" s="1"/>
  <c r="E364" i="11"/>
  <c r="F364" i="11" s="1"/>
  <c r="G116" i="11"/>
  <c r="J116" i="11" s="1"/>
  <c r="E117" i="11"/>
  <c r="F117" i="11" s="1"/>
  <c r="G364" i="11" l="1"/>
  <c r="J364" i="11" s="1"/>
  <c r="E365" i="11"/>
  <c r="F365" i="11" s="1"/>
  <c r="G416" i="11"/>
  <c r="J416" i="11" s="1"/>
  <c r="E417" i="11"/>
  <c r="F417" i="11" s="1"/>
  <c r="E262" i="11"/>
  <c r="F262" i="11" s="1"/>
  <c r="G261" i="11"/>
  <c r="J261" i="11" s="1"/>
  <c r="G383" i="11"/>
  <c r="J383" i="11" s="1"/>
  <c r="E384" i="11"/>
  <c r="F384" i="11" s="1"/>
  <c r="E36" i="11"/>
  <c r="F36" i="11" s="1"/>
  <c r="G36" i="11" s="1"/>
  <c r="J36" i="11" s="1"/>
  <c r="G35" i="11"/>
  <c r="J35" i="11" s="1"/>
  <c r="E118" i="11"/>
  <c r="F118" i="11" s="1"/>
  <c r="G117" i="11"/>
  <c r="J117" i="11" s="1"/>
  <c r="E153" i="11"/>
  <c r="F153" i="11" s="1"/>
  <c r="G152" i="11"/>
  <c r="J152" i="11" s="1"/>
  <c r="G209" i="11"/>
  <c r="J209" i="11" s="1"/>
  <c r="E210" i="11"/>
  <c r="F210" i="11" s="1"/>
  <c r="E329" i="11"/>
  <c r="F329" i="11" s="1"/>
  <c r="G328" i="11"/>
  <c r="J328" i="11" s="1"/>
  <c r="E52" i="11"/>
  <c r="F52" i="11" s="1"/>
  <c r="G51" i="11"/>
  <c r="J51" i="11" s="1"/>
  <c r="E248" i="11"/>
  <c r="F248" i="11" s="1"/>
  <c r="G247" i="11"/>
  <c r="J247" i="11" s="1"/>
  <c r="E174" i="11"/>
  <c r="F174" i="11" s="1"/>
  <c r="G173" i="11"/>
  <c r="E53" i="11" l="1"/>
  <c r="F53" i="11" s="1"/>
  <c r="G52" i="11"/>
  <c r="J52" i="11" s="1"/>
  <c r="E211" i="11"/>
  <c r="F211" i="11" s="1"/>
  <c r="G210" i="11"/>
  <c r="J210" i="11" s="1"/>
  <c r="G365" i="11"/>
  <c r="J365" i="11" s="1"/>
  <c r="E366" i="11"/>
  <c r="F366" i="11" s="1"/>
  <c r="E175" i="11"/>
  <c r="F175" i="11" s="1"/>
  <c r="G174" i="11"/>
  <c r="E119" i="11"/>
  <c r="F119" i="11" s="1"/>
  <c r="G118" i="11"/>
  <c r="J118" i="11" s="1"/>
  <c r="G417" i="11"/>
  <c r="J417" i="11" s="1"/>
  <c r="E418" i="11"/>
  <c r="F418" i="11" s="1"/>
  <c r="E154" i="11"/>
  <c r="F154" i="11" s="1"/>
  <c r="G153" i="11"/>
  <c r="J153" i="11" s="1"/>
  <c r="E330" i="11"/>
  <c r="F330" i="11" s="1"/>
  <c r="G329" i="11"/>
  <c r="J329" i="11" s="1"/>
  <c r="E249" i="11"/>
  <c r="F249" i="11" s="1"/>
  <c r="G248" i="11"/>
  <c r="J248" i="11" s="1"/>
  <c r="E385" i="11"/>
  <c r="F385" i="11" s="1"/>
  <c r="G384" i="11"/>
  <c r="J384" i="11" s="1"/>
  <c r="E263" i="11"/>
  <c r="F263" i="11" s="1"/>
  <c r="G262" i="11"/>
  <c r="J262" i="11" s="1"/>
  <c r="E120" i="11" l="1"/>
  <c r="F120" i="11" s="1"/>
  <c r="G119" i="11"/>
  <c r="J119" i="11" s="1"/>
  <c r="G211" i="11"/>
  <c r="J211" i="11" s="1"/>
  <c r="E212" i="11"/>
  <c r="F212" i="11" s="1"/>
  <c r="E331" i="11"/>
  <c r="F331" i="11" s="1"/>
  <c r="G330" i="11"/>
  <c r="J330" i="11" s="1"/>
  <c r="E386" i="11"/>
  <c r="F386" i="11" s="1"/>
  <c r="G385" i="11"/>
  <c r="J385" i="11" s="1"/>
  <c r="G175" i="11"/>
  <c r="E176" i="11"/>
  <c r="F176" i="11" s="1"/>
  <c r="E264" i="11"/>
  <c r="F264" i="11" s="1"/>
  <c r="G263" i="11"/>
  <c r="J263" i="11" s="1"/>
  <c r="G154" i="11"/>
  <c r="J154" i="11" s="1"/>
  <c r="E155" i="11"/>
  <c r="F155" i="11" s="1"/>
  <c r="E419" i="11"/>
  <c r="F419" i="11" s="1"/>
  <c r="G418" i="11"/>
  <c r="J418" i="11" s="1"/>
  <c r="G249" i="11"/>
  <c r="J249" i="11" s="1"/>
  <c r="E250" i="11"/>
  <c r="F250" i="11" s="1"/>
  <c r="G366" i="11"/>
  <c r="J366" i="11" s="1"/>
  <c r="E367" i="11"/>
  <c r="F367" i="11" s="1"/>
  <c r="G53" i="11"/>
  <c r="J53" i="11" s="1"/>
  <c r="E54" i="11"/>
  <c r="F54" i="11" s="1"/>
  <c r="E265" i="11" l="1"/>
  <c r="F265" i="11" s="1"/>
  <c r="G264" i="11"/>
  <c r="J264" i="11" s="1"/>
  <c r="G155" i="11"/>
  <c r="J155" i="11" s="1"/>
  <c r="E156" i="11"/>
  <c r="F156" i="11" s="1"/>
  <c r="E332" i="11"/>
  <c r="F332" i="11" s="1"/>
  <c r="G331" i="11"/>
  <c r="J331" i="11" s="1"/>
  <c r="G120" i="11"/>
  <c r="J120" i="11" s="1"/>
  <c r="E121" i="11"/>
  <c r="F121" i="11" s="1"/>
  <c r="E55" i="11"/>
  <c r="F55" i="11" s="1"/>
  <c r="G54" i="11"/>
  <c r="J54" i="11" s="1"/>
  <c r="E387" i="11"/>
  <c r="F387" i="11" s="1"/>
  <c r="G386" i="11"/>
  <c r="J386" i="11" s="1"/>
  <c r="G367" i="11"/>
  <c r="J367" i="11" s="1"/>
  <c r="E368" i="11"/>
  <c r="F368" i="11" s="1"/>
  <c r="G250" i="11"/>
  <c r="J250" i="11" s="1"/>
  <c r="E251" i="11"/>
  <c r="F251" i="11" s="1"/>
  <c r="G251" i="11" s="1"/>
  <c r="J251" i="11" s="1"/>
  <c r="E420" i="11"/>
  <c r="F420" i="11" s="1"/>
  <c r="G419" i="11"/>
  <c r="J419" i="11" s="1"/>
  <c r="G176" i="11"/>
  <c r="E177" i="11"/>
  <c r="F177" i="11" s="1"/>
  <c r="E213" i="11"/>
  <c r="F213" i="11" s="1"/>
  <c r="G212" i="11"/>
  <c r="J212" i="11" s="1"/>
  <c r="G213" i="11" l="1"/>
  <c r="J213" i="11" s="1"/>
  <c r="E214" i="11"/>
  <c r="F214" i="11" s="1"/>
  <c r="E215" i="11" s="1"/>
  <c r="F215" i="11" s="1"/>
  <c r="G368" i="11"/>
  <c r="J368" i="11" s="1"/>
  <c r="E369" i="11"/>
  <c r="F369" i="11" s="1"/>
  <c r="E56" i="11"/>
  <c r="F56" i="11" s="1"/>
  <c r="G55" i="11"/>
  <c r="J55" i="11" s="1"/>
  <c r="E333" i="11"/>
  <c r="F333" i="11" s="1"/>
  <c r="G332" i="11"/>
  <c r="J332" i="11" s="1"/>
  <c r="E266" i="11"/>
  <c r="F266" i="11" s="1"/>
  <c r="G265" i="11"/>
  <c r="J265" i="11" s="1"/>
  <c r="E178" i="11"/>
  <c r="F178" i="11" s="1"/>
  <c r="G177" i="11"/>
  <c r="E421" i="11"/>
  <c r="F421" i="11" s="1"/>
  <c r="G420" i="11"/>
  <c r="J420" i="11" s="1"/>
  <c r="G387" i="11"/>
  <c r="J387" i="11" s="1"/>
  <c r="E388" i="11"/>
  <c r="F388" i="11" s="1"/>
  <c r="E122" i="11"/>
  <c r="F122" i="11" s="1"/>
  <c r="G121" i="11"/>
  <c r="J121" i="11" s="1"/>
  <c r="E157" i="11"/>
  <c r="F157" i="11" s="1"/>
  <c r="G156" i="11"/>
  <c r="J156" i="11" s="1"/>
  <c r="G215" i="11" l="1"/>
  <c r="J215" i="11" s="1"/>
  <c r="E216" i="11"/>
  <c r="F216" i="11" s="1"/>
  <c r="G216" i="11" s="1"/>
  <c r="J216" i="11" s="1"/>
  <c r="E267" i="11"/>
  <c r="F267" i="11" s="1"/>
  <c r="G266" i="11"/>
  <c r="J266" i="11" s="1"/>
  <c r="E57" i="11"/>
  <c r="F57" i="11" s="1"/>
  <c r="G56" i="11"/>
  <c r="J56" i="11" s="1"/>
  <c r="E389" i="11"/>
  <c r="F389" i="11" s="1"/>
  <c r="G388" i="11"/>
  <c r="J388" i="11" s="1"/>
  <c r="G421" i="11"/>
  <c r="J421" i="11" s="1"/>
  <c r="E422" i="11"/>
  <c r="F422" i="11" s="1"/>
  <c r="E179" i="11"/>
  <c r="F179" i="11" s="1"/>
  <c r="G178" i="11"/>
  <c r="E123" i="11"/>
  <c r="F123" i="11" s="1"/>
  <c r="G122" i="11"/>
  <c r="J122" i="11" s="1"/>
  <c r="E158" i="11"/>
  <c r="F158" i="11" s="1"/>
  <c r="G157" i="11"/>
  <c r="J157" i="11" s="1"/>
  <c r="E334" i="11"/>
  <c r="F334" i="11" s="1"/>
  <c r="G333" i="11"/>
  <c r="J333" i="11" s="1"/>
  <c r="G369" i="11"/>
  <c r="J369" i="11" s="1"/>
  <c r="E370" i="11"/>
  <c r="F370" i="11" s="1"/>
  <c r="G214" i="11"/>
  <c r="J214" i="11" s="1"/>
  <c r="G158" i="11" l="1"/>
  <c r="J158" i="11" s="1"/>
  <c r="E159" i="11"/>
  <c r="F159" i="11" s="1"/>
  <c r="G159" i="11" s="1"/>
  <c r="J159" i="11" s="1"/>
  <c r="G370" i="11"/>
  <c r="J370" i="11" s="1"/>
  <c r="E371" i="11"/>
  <c r="F371" i="11" s="1"/>
  <c r="E180" i="11"/>
  <c r="F180" i="11" s="1"/>
  <c r="G179" i="11"/>
  <c r="E124" i="11"/>
  <c r="F124" i="11" s="1"/>
  <c r="G123" i="11"/>
  <c r="J123" i="11" s="1"/>
  <c r="G57" i="11"/>
  <c r="J57" i="11" s="1"/>
  <c r="E58" i="11"/>
  <c r="F58" i="11" s="1"/>
  <c r="E335" i="11"/>
  <c r="F335" i="11" s="1"/>
  <c r="G334" i="11"/>
  <c r="J334" i="11" s="1"/>
  <c r="E423" i="11"/>
  <c r="F423" i="11" s="1"/>
  <c r="G422" i="11"/>
  <c r="J422" i="11" s="1"/>
  <c r="E390" i="11"/>
  <c r="F390" i="11" s="1"/>
  <c r="G389" i="11"/>
  <c r="J389" i="11" s="1"/>
  <c r="E268" i="11"/>
  <c r="F268" i="11" s="1"/>
  <c r="G267" i="11"/>
  <c r="J267" i="11" s="1"/>
  <c r="E269" i="11" l="1"/>
  <c r="F269" i="11" s="1"/>
  <c r="G268" i="11"/>
  <c r="J268" i="11" s="1"/>
  <c r="E424" i="11"/>
  <c r="F424" i="11" s="1"/>
  <c r="G423" i="11"/>
  <c r="J423" i="11" s="1"/>
  <c r="G58" i="11"/>
  <c r="J58" i="11" s="1"/>
  <c r="E59" i="11"/>
  <c r="F59" i="11" s="1"/>
  <c r="G124" i="11"/>
  <c r="J124" i="11" s="1"/>
  <c r="E125" i="11"/>
  <c r="F125" i="11" s="1"/>
  <c r="E181" i="11"/>
  <c r="F181" i="11" s="1"/>
  <c r="G180" i="11"/>
  <c r="E391" i="11"/>
  <c r="F391" i="11" s="1"/>
  <c r="G390" i="11"/>
  <c r="J390" i="11" s="1"/>
  <c r="G371" i="11"/>
  <c r="J371" i="11" s="1"/>
  <c r="E372" i="11"/>
  <c r="F372" i="11" s="1"/>
  <c r="E336" i="11"/>
  <c r="F336" i="11" s="1"/>
  <c r="G335" i="11"/>
  <c r="J335" i="11" s="1"/>
  <c r="E337" i="11" l="1"/>
  <c r="F337" i="11" s="1"/>
  <c r="G336" i="11"/>
  <c r="J336" i="11" s="1"/>
  <c r="G372" i="11"/>
  <c r="J372" i="11" s="1"/>
  <c r="E373" i="11"/>
  <c r="F373" i="11" s="1"/>
  <c r="E182" i="11"/>
  <c r="F182" i="11" s="1"/>
  <c r="G181" i="11"/>
  <c r="G424" i="11"/>
  <c r="J424" i="11" s="1"/>
  <c r="E425" i="11"/>
  <c r="F425" i="11" s="1"/>
  <c r="G59" i="11"/>
  <c r="E60" i="11"/>
  <c r="F60" i="11" s="1"/>
  <c r="G391" i="11"/>
  <c r="J391" i="11" s="1"/>
  <c r="E392" i="11"/>
  <c r="F392" i="11" s="1"/>
  <c r="E126" i="11"/>
  <c r="F126" i="11" s="1"/>
  <c r="G125" i="11"/>
  <c r="J125" i="11" s="1"/>
  <c r="E270" i="11"/>
  <c r="F270" i="11" s="1"/>
  <c r="G269" i="11"/>
  <c r="J269" i="11" s="1"/>
  <c r="G425" i="11" l="1"/>
  <c r="J425" i="11" s="1"/>
  <c r="E426" i="11"/>
  <c r="F426" i="11" s="1"/>
  <c r="E127" i="11"/>
  <c r="F127" i="11" s="1"/>
  <c r="G126" i="11"/>
  <c r="J126" i="11" s="1"/>
  <c r="E183" i="11"/>
  <c r="F183" i="11" s="1"/>
  <c r="G182" i="11"/>
  <c r="E271" i="11"/>
  <c r="F271" i="11" s="1"/>
  <c r="G270" i="11"/>
  <c r="J270" i="11" s="1"/>
  <c r="E393" i="11"/>
  <c r="F393" i="11" s="1"/>
  <c r="G392" i="11"/>
  <c r="J392" i="11" s="1"/>
  <c r="E61" i="11"/>
  <c r="F61" i="11" s="1"/>
  <c r="G60" i="11"/>
  <c r="J60" i="11" s="1"/>
  <c r="J59" i="11"/>
  <c r="G373" i="11"/>
  <c r="J373" i="11" s="1"/>
  <c r="E374" i="11"/>
  <c r="F374" i="11" s="1"/>
  <c r="G374" i="11" s="1"/>
  <c r="J374" i="11" s="1"/>
  <c r="E338" i="11"/>
  <c r="F338" i="11" s="1"/>
  <c r="G337" i="11"/>
  <c r="J337" i="11" s="1"/>
  <c r="E128" i="11" l="1"/>
  <c r="F128" i="11" s="1"/>
  <c r="G127" i="11"/>
  <c r="J127" i="11" s="1"/>
  <c r="E272" i="11"/>
  <c r="F272" i="11" s="1"/>
  <c r="G271" i="11"/>
  <c r="J271" i="11" s="1"/>
  <c r="E427" i="11"/>
  <c r="F427" i="11" s="1"/>
  <c r="G426" i="11"/>
  <c r="J426" i="11" s="1"/>
  <c r="E339" i="11"/>
  <c r="F339" i="11" s="1"/>
  <c r="G338" i="11"/>
  <c r="J338" i="11" s="1"/>
  <c r="E62" i="11"/>
  <c r="F62" i="11" s="1"/>
  <c r="G61" i="11"/>
  <c r="E184" i="11"/>
  <c r="F184" i="11" s="1"/>
  <c r="G183" i="11"/>
  <c r="E394" i="11"/>
  <c r="F394" i="11" s="1"/>
  <c r="G393" i="11"/>
  <c r="J393" i="11" s="1"/>
  <c r="E185" i="11" l="1"/>
  <c r="F185" i="11" s="1"/>
  <c r="G184" i="11"/>
  <c r="E340" i="11"/>
  <c r="F340" i="11" s="1"/>
  <c r="G339" i="11"/>
  <c r="J339" i="11" s="1"/>
  <c r="E428" i="11"/>
  <c r="F428" i="11" s="1"/>
  <c r="G427" i="11"/>
  <c r="J427" i="11" s="1"/>
  <c r="G272" i="11"/>
  <c r="J272" i="11" s="1"/>
  <c r="E273" i="11"/>
  <c r="F273" i="11" s="1"/>
  <c r="G128" i="11"/>
  <c r="J128" i="11" s="1"/>
  <c r="E129" i="11"/>
  <c r="F129" i="11" s="1"/>
  <c r="E63" i="11"/>
  <c r="F63" i="11" s="1"/>
  <c r="G62" i="11"/>
  <c r="J62" i="11" s="1"/>
  <c r="E395" i="11"/>
  <c r="F395" i="11" s="1"/>
  <c r="G394" i="11"/>
  <c r="J394" i="11" s="1"/>
  <c r="J61" i="11"/>
  <c r="E130" i="11" l="1"/>
  <c r="F130" i="11" s="1"/>
  <c r="G129" i="11"/>
  <c r="J129" i="11" s="1"/>
  <c r="E429" i="11"/>
  <c r="F429" i="11" s="1"/>
  <c r="E430" i="11" s="1"/>
  <c r="F430" i="11" s="1"/>
  <c r="G428" i="11"/>
  <c r="J428" i="11" s="1"/>
  <c r="G395" i="11"/>
  <c r="J395" i="11" s="1"/>
  <c r="E396" i="11"/>
  <c r="F396" i="11" s="1"/>
  <c r="E274" i="11"/>
  <c r="F274" i="11" s="1"/>
  <c r="G273" i="11"/>
  <c r="J273" i="11" s="1"/>
  <c r="E186" i="11"/>
  <c r="F186" i="11" s="1"/>
  <c r="G185" i="11"/>
  <c r="G63" i="11"/>
  <c r="E64" i="11"/>
  <c r="F64" i="11" s="1"/>
  <c r="E341" i="11"/>
  <c r="F341" i="11" s="1"/>
  <c r="G340" i="11"/>
  <c r="J340" i="11" s="1"/>
  <c r="G430" i="11" l="1"/>
  <c r="J430" i="11" s="1"/>
  <c r="E431" i="11"/>
  <c r="F431" i="11" s="1"/>
  <c r="G431" i="11" s="1"/>
  <c r="J431" i="11" s="1"/>
  <c r="E187" i="11"/>
  <c r="F187" i="11" s="1"/>
  <c r="G186" i="11"/>
  <c r="G429" i="11"/>
  <c r="J429" i="11" s="1"/>
  <c r="E65" i="11"/>
  <c r="F65" i="11" s="1"/>
  <c r="G64" i="11"/>
  <c r="J64" i="11" s="1"/>
  <c r="J63" i="11"/>
  <c r="E397" i="11"/>
  <c r="F397" i="11" s="1"/>
  <c r="G396" i="11"/>
  <c r="J396" i="11" s="1"/>
  <c r="E342" i="11"/>
  <c r="F342" i="11" s="1"/>
  <c r="G341" i="11"/>
  <c r="J341" i="11" s="1"/>
  <c r="E275" i="11"/>
  <c r="F275" i="11" s="1"/>
  <c r="G274" i="11"/>
  <c r="J274" i="11" s="1"/>
  <c r="E131" i="11"/>
  <c r="F131" i="11" s="1"/>
  <c r="G130" i="11"/>
  <c r="J130" i="11" s="1"/>
  <c r="E276" i="11" l="1"/>
  <c r="F276" i="11" s="1"/>
  <c r="G275" i="11"/>
  <c r="J275" i="11" s="1"/>
  <c r="E398" i="11"/>
  <c r="F398" i="11" s="1"/>
  <c r="G397" i="11"/>
  <c r="J397" i="11" s="1"/>
  <c r="E132" i="11"/>
  <c r="F132" i="11" s="1"/>
  <c r="G131" i="11"/>
  <c r="J131" i="11" s="1"/>
  <c r="E343" i="11"/>
  <c r="F343" i="11" s="1"/>
  <c r="G342" i="11"/>
  <c r="J342" i="11" s="1"/>
  <c r="E66" i="11"/>
  <c r="F66" i="11" s="1"/>
  <c r="G65" i="11"/>
  <c r="J65" i="11" s="1"/>
  <c r="E188" i="11"/>
  <c r="F188" i="11" s="1"/>
  <c r="G187" i="11"/>
  <c r="G188" i="11" l="1"/>
  <c r="E189" i="11"/>
  <c r="F189" i="11" s="1"/>
  <c r="G189" i="11" s="1"/>
  <c r="G66" i="11"/>
  <c r="J66" i="11" s="1"/>
  <c r="E67" i="11"/>
  <c r="F67" i="11" s="1"/>
  <c r="E133" i="11"/>
  <c r="F133" i="11" s="1"/>
  <c r="G132" i="11"/>
  <c r="J132" i="11" s="1"/>
  <c r="G276" i="11"/>
  <c r="E277" i="11"/>
  <c r="F277" i="11" s="1"/>
  <c r="E399" i="11"/>
  <c r="F399" i="11" s="1"/>
  <c r="G398" i="11"/>
  <c r="J398" i="11" s="1"/>
  <c r="E344" i="11"/>
  <c r="F344" i="11" s="1"/>
  <c r="G343" i="11"/>
  <c r="J343" i="11" s="1"/>
  <c r="E345" i="11" l="1"/>
  <c r="F345" i="11" s="1"/>
  <c r="G344" i="11"/>
  <c r="J344" i="11" s="1"/>
  <c r="G399" i="11"/>
  <c r="J399" i="11" s="1"/>
  <c r="E400" i="11"/>
  <c r="F400" i="11" s="1"/>
  <c r="E134" i="11"/>
  <c r="F134" i="11" s="1"/>
  <c r="G133" i="11"/>
  <c r="J133" i="11" s="1"/>
  <c r="E278" i="11"/>
  <c r="F278" i="11" s="1"/>
  <c r="G277" i="11"/>
  <c r="J277" i="11" s="1"/>
  <c r="G67" i="11"/>
  <c r="E68" i="11"/>
  <c r="F68" i="11" s="1"/>
  <c r="J276" i="11"/>
  <c r="E69" i="11" l="1"/>
  <c r="F69" i="11" s="1"/>
  <c r="G68" i="11"/>
  <c r="J68" i="11" s="1"/>
  <c r="J67" i="11"/>
  <c r="E135" i="11"/>
  <c r="F135" i="11" s="1"/>
  <c r="G134" i="11"/>
  <c r="J134" i="11" s="1"/>
  <c r="E279" i="11"/>
  <c r="F279" i="11" s="1"/>
  <c r="G278" i="11"/>
  <c r="E401" i="11"/>
  <c r="F401" i="11" s="1"/>
  <c r="G400" i="11"/>
  <c r="J400" i="11" s="1"/>
  <c r="E346" i="11"/>
  <c r="F346" i="11" s="1"/>
  <c r="G345" i="11"/>
  <c r="J345" i="11" s="1"/>
  <c r="E347" i="11" l="1"/>
  <c r="F347" i="11" s="1"/>
  <c r="G346" i="11"/>
  <c r="J346" i="11" s="1"/>
  <c r="E402" i="11"/>
  <c r="F402" i="11" s="1"/>
  <c r="G401" i="11"/>
  <c r="J401" i="11" s="1"/>
  <c r="J278" i="11"/>
  <c r="G135" i="11"/>
  <c r="J135" i="11" s="1"/>
  <c r="E136" i="11"/>
  <c r="F136" i="11" s="1"/>
  <c r="E280" i="11"/>
  <c r="F280" i="11" s="1"/>
  <c r="G279" i="11"/>
  <c r="J279" i="11" s="1"/>
  <c r="G69" i="11"/>
  <c r="E70" i="11"/>
  <c r="F70" i="11" s="1"/>
  <c r="J69" i="11" l="1"/>
  <c r="E403" i="11"/>
  <c r="F403" i="11" s="1"/>
  <c r="G402" i="11"/>
  <c r="J402" i="11" s="1"/>
  <c r="E281" i="11"/>
  <c r="F281" i="11" s="1"/>
  <c r="G280" i="11"/>
  <c r="E71" i="11"/>
  <c r="F71" i="11" s="1"/>
  <c r="G70" i="11"/>
  <c r="J70" i="11" s="1"/>
  <c r="E137" i="11"/>
  <c r="F137" i="11" s="1"/>
  <c r="G136" i="11"/>
  <c r="J136" i="11" s="1"/>
  <c r="E348" i="11"/>
  <c r="F348" i="11" s="1"/>
  <c r="G347" i="11"/>
  <c r="J347" i="11" s="1"/>
  <c r="G403" i="11" l="1"/>
  <c r="E404" i="11"/>
  <c r="F404" i="11" s="1"/>
  <c r="G404" i="11" s="1"/>
  <c r="J280" i="11"/>
  <c r="E138" i="11"/>
  <c r="F138" i="11" s="1"/>
  <c r="G138" i="11" s="1"/>
  <c r="J138" i="11" s="1"/>
  <c r="G137" i="11"/>
  <c r="J137" i="11" s="1"/>
  <c r="E282" i="11"/>
  <c r="F282" i="11" s="1"/>
  <c r="G281" i="11"/>
  <c r="J281" i="11" s="1"/>
  <c r="E349" i="11"/>
  <c r="F349" i="11" s="1"/>
  <c r="G348" i="11"/>
  <c r="J348" i="11" s="1"/>
  <c r="G71" i="11"/>
  <c r="J71" i="11" s="1"/>
  <c r="E72" i="11"/>
  <c r="F72" i="11" s="1"/>
  <c r="E73" i="11" l="1"/>
  <c r="F73" i="11" s="1"/>
  <c r="G72" i="11"/>
  <c r="J72" i="11" s="1"/>
  <c r="E283" i="11"/>
  <c r="F283" i="11" s="1"/>
  <c r="G282" i="11"/>
  <c r="J282" i="11" s="1"/>
  <c r="E350" i="11"/>
  <c r="F350" i="11" s="1"/>
  <c r="G349" i="11"/>
  <c r="J349" i="11" s="1"/>
  <c r="E351" i="11" l="1"/>
  <c r="F351" i="11" s="1"/>
  <c r="G350" i="11"/>
  <c r="J350" i="11" s="1"/>
  <c r="E284" i="11"/>
  <c r="F284" i="11" s="1"/>
  <c r="G283" i="11"/>
  <c r="J283" i="11" s="1"/>
  <c r="E74" i="11"/>
  <c r="F74" i="11" s="1"/>
  <c r="G73" i="11"/>
  <c r="J73" i="11" s="1"/>
  <c r="G74" i="11" l="1"/>
  <c r="J74" i="11" s="1"/>
  <c r="E75" i="11"/>
  <c r="F75" i="11" s="1"/>
  <c r="E285" i="11"/>
  <c r="F285" i="11" s="1"/>
  <c r="G284" i="11"/>
  <c r="J284" i="11" s="1"/>
  <c r="E352" i="11"/>
  <c r="F352" i="11" s="1"/>
  <c r="G351" i="11"/>
  <c r="J351" i="11" s="1"/>
  <c r="E353" i="11" l="1"/>
  <c r="F353" i="11" s="1"/>
  <c r="G353" i="11" s="1"/>
  <c r="G352" i="11"/>
  <c r="J352" i="11" s="1"/>
  <c r="G75" i="11"/>
  <c r="J75" i="11" s="1"/>
  <c r="E76" i="11"/>
  <c r="F76" i="11" s="1"/>
  <c r="E286" i="11"/>
  <c r="F286" i="11" s="1"/>
  <c r="G285" i="11"/>
  <c r="J285" i="11" s="1"/>
  <c r="E287" i="11" l="1"/>
  <c r="F287" i="11" s="1"/>
  <c r="G286" i="11"/>
  <c r="J286" i="11" s="1"/>
  <c r="E77" i="11"/>
  <c r="F77" i="11" s="1"/>
  <c r="G76" i="11"/>
  <c r="J76" i="11" s="1"/>
  <c r="J353" i="11"/>
  <c r="E288" i="11" l="1"/>
  <c r="F288" i="11" s="1"/>
  <c r="G287" i="11"/>
  <c r="E78" i="11"/>
  <c r="F78" i="11" s="1"/>
  <c r="G77" i="11"/>
  <c r="J77" i="11" s="1"/>
  <c r="J287" i="11" l="1"/>
  <c r="E79" i="11"/>
  <c r="F79" i="11" s="1"/>
  <c r="G78" i="11"/>
  <c r="J78" i="11" s="1"/>
  <c r="E289" i="11"/>
  <c r="F289" i="11" s="1"/>
  <c r="G288" i="11"/>
  <c r="J288" i="11" s="1"/>
  <c r="E290" i="11" l="1"/>
  <c r="F290" i="11" s="1"/>
  <c r="G289" i="11"/>
  <c r="J289" i="11" s="1"/>
  <c r="G79" i="11"/>
  <c r="J79" i="11" s="1"/>
  <c r="E80" i="11"/>
  <c r="F80" i="11" s="1"/>
  <c r="E291" i="11" l="1"/>
  <c r="F291" i="11" s="1"/>
  <c r="G290" i="11"/>
  <c r="J290" i="11" s="1"/>
  <c r="E81" i="11"/>
  <c r="F81" i="11" s="1"/>
  <c r="G80" i="11"/>
  <c r="J80" i="11" s="1"/>
  <c r="E82" i="11" l="1"/>
  <c r="F82" i="11" s="1"/>
  <c r="G81" i="11"/>
  <c r="J81" i="11" s="1"/>
  <c r="E292" i="11"/>
  <c r="F292" i="11" s="1"/>
  <c r="G291" i="11"/>
  <c r="J291" i="11" l="1"/>
  <c r="E293" i="11"/>
  <c r="F293" i="11" s="1"/>
  <c r="G292" i="11"/>
  <c r="J292" i="11" s="1"/>
  <c r="G82" i="11"/>
  <c r="J82" i="11" s="1"/>
  <c r="E83" i="11"/>
  <c r="F83" i="11" s="1"/>
  <c r="E294" i="11" l="1"/>
  <c r="F294" i="11" s="1"/>
  <c r="G293" i="11"/>
  <c r="J293" i="11" s="1"/>
  <c r="E84" i="11"/>
  <c r="F84" i="11" s="1"/>
  <c r="G83" i="11"/>
  <c r="J83" i="11" s="1"/>
  <c r="E85" i="11" l="1"/>
  <c r="F85" i="11" s="1"/>
  <c r="G84" i="11"/>
  <c r="J84" i="11" s="1"/>
  <c r="E295" i="11"/>
  <c r="F295" i="11" s="1"/>
  <c r="G294" i="11"/>
  <c r="J294" i="11" s="1"/>
  <c r="E296" i="11" l="1"/>
  <c r="F296" i="11" s="1"/>
  <c r="G295" i="11"/>
  <c r="J295" i="11" s="1"/>
  <c r="E86" i="11"/>
  <c r="F86" i="11" s="1"/>
  <c r="G85" i="11"/>
  <c r="J85" i="11" s="1"/>
  <c r="E297" i="11" l="1"/>
  <c r="F297" i="11" s="1"/>
  <c r="G296" i="11"/>
  <c r="J296" i="11" s="1"/>
  <c r="G86" i="11"/>
  <c r="J86" i="11" s="1"/>
  <c r="E87" i="11"/>
  <c r="F87" i="11" s="1"/>
  <c r="E298" i="11" l="1"/>
  <c r="F298" i="11" s="1"/>
  <c r="G297" i="11"/>
  <c r="J297" i="11" s="1"/>
  <c r="E88" i="11"/>
  <c r="F88" i="11" s="1"/>
  <c r="G87" i="11"/>
  <c r="J87" i="11" s="1"/>
  <c r="E89" i="11" l="1"/>
  <c r="F89" i="11" s="1"/>
  <c r="G88" i="11"/>
  <c r="J88" i="11" s="1"/>
  <c r="E299" i="11"/>
  <c r="F299" i="11" s="1"/>
  <c r="G298" i="11"/>
  <c r="J298" i="11" s="1"/>
  <c r="E300" i="11" l="1"/>
  <c r="F300" i="11" s="1"/>
  <c r="G299" i="11"/>
  <c r="J299" i="11" s="1"/>
  <c r="E90" i="11"/>
  <c r="F90" i="11" s="1"/>
  <c r="G89" i="11"/>
  <c r="J89" i="11" s="1"/>
  <c r="E301" i="11" l="1"/>
  <c r="F301" i="11" s="1"/>
  <c r="G300" i="11"/>
  <c r="J300" i="11" s="1"/>
  <c r="G90" i="11"/>
  <c r="J90" i="11" s="1"/>
  <c r="E91" i="11"/>
  <c r="F91" i="11" s="1"/>
  <c r="E92" i="11" l="1"/>
  <c r="F92" i="11" s="1"/>
  <c r="G91" i="11"/>
  <c r="J91" i="11" s="1"/>
  <c r="E302" i="11"/>
  <c r="F302" i="11" s="1"/>
  <c r="G301" i="11"/>
  <c r="J301" i="11" s="1"/>
  <c r="E93" i="11" l="1"/>
  <c r="F93" i="11" s="1"/>
  <c r="G92" i="11"/>
  <c r="J92" i="11" s="1"/>
  <c r="E303" i="11"/>
  <c r="F303" i="11" s="1"/>
  <c r="G302" i="11"/>
  <c r="J302" i="11" s="1"/>
  <c r="E304" i="11" l="1"/>
  <c r="F304" i="11" s="1"/>
  <c r="G303" i="11"/>
  <c r="J303" i="11" s="1"/>
  <c r="E94" i="11"/>
  <c r="F94" i="11" s="1"/>
  <c r="G93" i="11"/>
  <c r="J93" i="11" s="1"/>
  <c r="G94" i="11" l="1"/>
  <c r="J94" i="11" s="1"/>
  <c r="E95" i="11"/>
  <c r="F95" i="11" s="1"/>
  <c r="E305" i="11"/>
  <c r="F305" i="11" s="1"/>
  <c r="G304" i="11"/>
  <c r="J304" i="11" s="1"/>
  <c r="E96" i="11" l="1"/>
  <c r="F96" i="11" s="1"/>
  <c r="G95" i="11"/>
  <c r="J95" i="11" s="1"/>
  <c r="E306" i="11"/>
  <c r="F306" i="11" s="1"/>
  <c r="G305" i="11"/>
  <c r="J305" i="11" s="1"/>
  <c r="E97" i="11" l="1"/>
  <c r="F97" i="11" s="1"/>
  <c r="G96" i="11"/>
  <c r="J96" i="11" s="1"/>
  <c r="E307" i="11"/>
  <c r="F307" i="11" s="1"/>
  <c r="G306" i="11"/>
  <c r="J306" i="11" s="1"/>
  <c r="E308" i="11" l="1"/>
  <c r="F308" i="11" s="1"/>
  <c r="G307" i="11"/>
  <c r="J307" i="11" s="1"/>
  <c r="E98" i="11"/>
  <c r="F98" i="11" s="1"/>
  <c r="G97" i="11"/>
  <c r="J97" i="11" s="1"/>
  <c r="E309" i="11" l="1"/>
  <c r="F309" i="11" s="1"/>
  <c r="G308" i="11"/>
  <c r="J308" i="11" s="1"/>
  <c r="G98" i="11"/>
  <c r="J98" i="11" s="1"/>
  <c r="E99" i="11"/>
  <c r="F99" i="11" s="1"/>
  <c r="E100" i="11" l="1"/>
  <c r="F100" i="11" s="1"/>
  <c r="G99" i="11"/>
  <c r="J99" i="11" s="1"/>
  <c r="E310" i="11"/>
  <c r="F310" i="11" s="1"/>
  <c r="G309" i="11"/>
  <c r="J309" i="11" s="1"/>
  <c r="E311" i="11" l="1"/>
  <c r="F311" i="11" s="1"/>
  <c r="G310" i="11"/>
  <c r="J310" i="11" s="1"/>
  <c r="E101" i="11"/>
  <c r="F101" i="11" s="1"/>
  <c r="G101" i="11" s="1"/>
  <c r="G100" i="11"/>
  <c r="J100" i="11" s="1"/>
  <c r="E312" i="11" l="1"/>
  <c r="F312" i="11" s="1"/>
  <c r="G311" i="11"/>
  <c r="J311" i="11" s="1"/>
  <c r="J101" i="11"/>
  <c r="J218" i="11" s="1"/>
  <c r="G218" i="11"/>
  <c r="E313" i="11" l="1"/>
  <c r="F313" i="11" s="1"/>
  <c r="G312" i="11"/>
  <c r="J312" i="11" s="1"/>
  <c r="N216" i="11" l="1"/>
  <c r="N189" i="11"/>
  <c r="N101" i="11"/>
  <c r="N215" i="11"/>
  <c r="E314" i="11"/>
  <c r="F314" i="11" s="1"/>
  <c r="G313" i="11"/>
  <c r="J313" i="11" s="1"/>
  <c r="N175" i="11"/>
  <c r="N172" i="11"/>
  <c r="N170" i="11"/>
  <c r="N168" i="11"/>
  <c r="N166" i="11"/>
  <c r="N164" i="11"/>
  <c r="N162" i="11"/>
  <c r="N160" i="11"/>
  <c r="N187" i="11"/>
  <c r="N185" i="11"/>
  <c r="N183" i="11"/>
  <c r="N181" i="11"/>
  <c r="N179" i="11"/>
  <c r="N177" i="11"/>
  <c r="N174" i="11"/>
  <c r="N173" i="11"/>
  <c r="N171" i="11"/>
  <c r="N169" i="11"/>
  <c r="N167" i="11"/>
  <c r="N165" i="11"/>
  <c r="N163" i="11"/>
  <c r="N176" i="11"/>
  <c r="N161" i="11"/>
  <c r="N188" i="11"/>
  <c r="N186" i="11"/>
  <c r="N184" i="11"/>
  <c r="N182" i="11"/>
  <c r="N149" i="11"/>
  <c r="N180" i="11"/>
  <c r="N178" i="11"/>
  <c r="N193" i="11"/>
  <c r="N139" i="11"/>
  <c r="N195" i="11"/>
  <c r="N103" i="11"/>
  <c r="N104" i="11"/>
  <c r="N191" i="11"/>
  <c r="N37" i="11"/>
  <c r="N13" i="11"/>
  <c r="N192" i="11"/>
  <c r="N190" i="11"/>
  <c r="N22" i="11"/>
  <c r="N102" i="11"/>
  <c r="N10" i="11"/>
  <c r="N196" i="11"/>
  <c r="N38" i="11"/>
  <c r="N194" i="11"/>
  <c r="N14" i="11"/>
  <c r="N21" i="11"/>
  <c r="N23" i="11"/>
  <c r="N9" i="11"/>
  <c r="N15" i="11"/>
  <c r="N39" i="11"/>
  <c r="N140" i="11"/>
  <c r="N11" i="11"/>
  <c r="N12" i="11"/>
  <c r="N197" i="11"/>
  <c r="N105" i="11"/>
  <c r="N16" i="11"/>
  <c r="N40" i="11"/>
  <c r="N198" i="11"/>
  <c r="N141" i="11"/>
  <c r="N24" i="11"/>
  <c r="N106" i="11"/>
  <c r="N199" i="11"/>
  <c r="N142" i="11"/>
  <c r="N25" i="11"/>
  <c r="N41" i="11"/>
  <c r="N107" i="11"/>
  <c r="N143" i="11"/>
  <c r="N200" i="11"/>
  <c r="N17" i="11"/>
  <c r="N108" i="11"/>
  <c r="N42" i="11"/>
  <c r="N26" i="11"/>
  <c r="N18" i="11"/>
  <c r="N20" i="11"/>
  <c r="N109" i="11"/>
  <c r="N19" i="11"/>
  <c r="N27" i="11"/>
  <c r="N144" i="11"/>
  <c r="N43" i="11"/>
  <c r="N201" i="11"/>
  <c r="N110" i="11"/>
  <c r="N202" i="11"/>
  <c r="N44" i="11"/>
  <c r="N28" i="11"/>
  <c r="N145" i="11"/>
  <c r="N203" i="11"/>
  <c r="N29" i="11"/>
  <c r="N146" i="11"/>
  <c r="N45" i="11"/>
  <c r="N111" i="11"/>
  <c r="N30" i="11"/>
  <c r="N112" i="11"/>
  <c r="N46" i="11"/>
  <c r="N204" i="11"/>
  <c r="N147" i="11"/>
  <c r="N148" i="11"/>
  <c r="N113" i="11"/>
  <c r="N205" i="11"/>
  <c r="N47" i="11"/>
  <c r="N31" i="11"/>
  <c r="N32" i="11"/>
  <c r="N48" i="11"/>
  <c r="N114" i="11"/>
  <c r="N206" i="11"/>
  <c r="N150" i="11"/>
  <c r="N33" i="11"/>
  <c r="N49" i="11"/>
  <c r="N115" i="11"/>
  <c r="N207" i="11"/>
  <c r="N50" i="11"/>
  <c r="N151" i="11"/>
  <c r="N116" i="11"/>
  <c r="N34" i="11"/>
  <c r="N208" i="11"/>
  <c r="N117" i="11"/>
  <c r="N152" i="11"/>
  <c r="N51" i="11"/>
  <c r="N209" i="11"/>
  <c r="N35" i="11"/>
  <c r="N36" i="11"/>
  <c r="N118" i="11"/>
  <c r="N52" i="11"/>
  <c r="N153" i="11"/>
  <c r="N210" i="11"/>
  <c r="N53" i="11"/>
  <c r="N211" i="11"/>
  <c r="N154" i="11"/>
  <c r="N119" i="11"/>
  <c r="N212" i="11"/>
  <c r="N120" i="11"/>
  <c r="N54" i="11"/>
  <c r="N155" i="11"/>
  <c r="N213" i="11"/>
  <c r="N156" i="11"/>
  <c r="N121" i="11"/>
  <c r="N55" i="11"/>
  <c r="N122" i="11"/>
  <c r="N157" i="11"/>
  <c r="N214" i="11"/>
  <c r="N56" i="11"/>
  <c r="N123" i="11"/>
  <c r="N57" i="11"/>
  <c r="N159" i="11"/>
  <c r="N158" i="11"/>
  <c r="N58" i="11"/>
  <c r="N124" i="11"/>
  <c r="N125" i="11"/>
  <c r="N60" i="11"/>
  <c r="N126" i="11"/>
  <c r="N59" i="11"/>
  <c r="N127" i="11"/>
  <c r="N128" i="11"/>
  <c r="N62" i="11"/>
  <c r="N61" i="11"/>
  <c r="N129" i="11"/>
  <c r="N130" i="11"/>
  <c r="N63" i="11"/>
  <c r="N64" i="11"/>
  <c r="N131" i="11"/>
  <c r="N65" i="11"/>
  <c r="N132" i="11"/>
  <c r="N66" i="11"/>
  <c r="N133" i="11"/>
  <c r="N134" i="11"/>
  <c r="N67" i="11"/>
  <c r="N68" i="11"/>
  <c r="N135" i="11"/>
  <c r="N136" i="11"/>
  <c r="N69" i="11"/>
  <c r="N70" i="11"/>
  <c r="N137" i="11"/>
  <c r="N138"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E315" i="11" l="1"/>
  <c r="F315" i="11" s="1"/>
  <c r="G314" i="11"/>
  <c r="J314" i="11" s="1"/>
  <c r="N218" i="11"/>
  <c r="E316" i="11" l="1"/>
  <c r="F316" i="11" s="1"/>
  <c r="G316" i="11" s="1"/>
  <c r="G315" i="11"/>
  <c r="J315" i="11" s="1"/>
  <c r="J316" i="11" l="1"/>
  <c r="G433" i="11"/>
  <c r="J433" i="11" l="1"/>
  <c r="N431" i="11" s="1"/>
  <c r="N404" i="11" l="1"/>
  <c r="N430" i="11"/>
  <c r="N403" i="11"/>
  <c r="N225" i="11"/>
  <c r="N228" i="11"/>
  <c r="N227" i="11"/>
  <c r="N224" i="11"/>
  <c r="N226" i="11"/>
  <c r="N317" i="11"/>
  <c r="N236" i="11"/>
  <c r="N229" i="11"/>
  <c r="N318" i="11"/>
  <c r="N237" i="11"/>
  <c r="N230" i="11"/>
  <c r="N354" i="11"/>
  <c r="N238" i="11"/>
  <c r="N319" i="11"/>
  <c r="N252" i="11"/>
  <c r="N355" i="11"/>
  <c r="N231" i="11"/>
  <c r="N375" i="11"/>
  <c r="N405" i="11"/>
  <c r="N356" i="11"/>
  <c r="N253" i="11"/>
  <c r="N320" i="11"/>
  <c r="N239" i="11"/>
  <c r="N321" i="11"/>
  <c r="N357" i="11"/>
  <c r="N232" i="11"/>
  <c r="N376" i="11"/>
  <c r="N406" i="11"/>
  <c r="N409" i="11"/>
  <c r="N233" i="11"/>
  <c r="N240" i="11"/>
  <c r="N254" i="11"/>
  <c r="N255" i="11"/>
  <c r="N235" i="11"/>
  <c r="N234" i="11"/>
  <c r="N322" i="11"/>
  <c r="N407" i="11"/>
  <c r="N408" i="11"/>
  <c r="N410" i="11"/>
  <c r="N377" i="11"/>
  <c r="N358" i="11"/>
  <c r="N241" i="11"/>
  <c r="N359" i="11"/>
  <c r="N242" i="11"/>
  <c r="N323" i="11"/>
  <c r="N411" i="11"/>
  <c r="N256" i="11"/>
  <c r="N378" i="11"/>
  <c r="N379" i="11"/>
  <c r="N412" i="11"/>
  <c r="N360" i="11"/>
  <c r="N324" i="11"/>
  <c r="N243" i="11"/>
  <c r="N257" i="11"/>
  <c r="N361" i="11"/>
  <c r="N380" i="11"/>
  <c r="N244" i="11"/>
  <c r="N413" i="11"/>
  <c r="N258" i="11"/>
  <c r="N325" i="11"/>
  <c r="N326" i="11"/>
  <c r="N381" i="11"/>
  <c r="N259" i="11"/>
  <c r="N362" i="11"/>
  <c r="N245" i="11"/>
  <c r="N414" i="11"/>
  <c r="N260" i="11"/>
  <c r="N246" i="11"/>
  <c r="N415" i="11"/>
  <c r="N382" i="11"/>
  <c r="N363" i="11"/>
  <c r="N327" i="11"/>
  <c r="N328" i="11"/>
  <c r="N364" i="11"/>
  <c r="N261" i="11"/>
  <c r="N416" i="11"/>
  <c r="N247" i="11"/>
  <c r="N383" i="11"/>
  <c r="N329" i="11"/>
  <c r="N417" i="11"/>
  <c r="N365" i="11"/>
  <c r="N262" i="11"/>
  <c r="N384" i="11"/>
  <c r="N248" i="11"/>
  <c r="N366" i="11"/>
  <c r="N249" i="11"/>
  <c r="N263" i="11"/>
  <c r="N330" i="11"/>
  <c r="N385" i="11"/>
  <c r="N418" i="11"/>
  <c r="N367" i="11"/>
  <c r="N386" i="11"/>
  <c r="N250" i="11"/>
  <c r="N419" i="11"/>
  <c r="N251" i="11"/>
  <c r="N331" i="11"/>
  <c r="N264" i="11"/>
  <c r="N420" i="11"/>
  <c r="N332" i="11"/>
  <c r="N368" i="11"/>
  <c r="N387" i="11"/>
  <c r="N265" i="11"/>
  <c r="N421" i="11"/>
  <c r="N388" i="11"/>
  <c r="N266" i="11"/>
  <c r="N369" i="11"/>
  <c r="N333" i="11"/>
  <c r="N267" i="11"/>
  <c r="N389" i="11"/>
  <c r="N370" i="11"/>
  <c r="N334" i="11"/>
  <c r="N422" i="11"/>
  <c r="N423" i="11"/>
  <c r="N390" i="11"/>
  <c r="N268" i="11"/>
  <c r="N371" i="11"/>
  <c r="N335" i="11"/>
  <c r="N336" i="11"/>
  <c r="N424" i="11"/>
  <c r="N372" i="11"/>
  <c r="N391" i="11"/>
  <c r="N269" i="11"/>
  <c r="N270" i="11"/>
  <c r="N392" i="11"/>
  <c r="N374" i="11"/>
  <c r="N337" i="11"/>
  <c r="N373" i="11"/>
  <c r="N425" i="11"/>
  <c r="N271" i="11"/>
  <c r="N426" i="11"/>
  <c r="N393" i="11"/>
  <c r="N338" i="11"/>
  <c r="N272" i="11"/>
  <c r="N427" i="11"/>
  <c r="N394" i="11"/>
  <c r="N339" i="11"/>
  <c r="N273" i="11"/>
  <c r="N340" i="11"/>
  <c r="N395" i="11"/>
  <c r="N428" i="11"/>
  <c r="N396" i="11"/>
  <c r="N429" i="11"/>
  <c r="N274" i="11"/>
  <c r="N341" i="11"/>
  <c r="N275" i="11"/>
  <c r="N342" i="11"/>
  <c r="N397" i="11"/>
  <c r="N398" i="11"/>
  <c r="N343" i="11"/>
  <c r="N344" i="11"/>
  <c r="N399" i="11"/>
  <c r="N276" i="11"/>
  <c r="N277" i="11"/>
  <c r="N400" i="11"/>
  <c r="N345" i="11"/>
  <c r="N278" i="11"/>
  <c r="N279" i="11"/>
  <c r="N401" i="11"/>
  <c r="N346" i="11"/>
  <c r="N347" i="11"/>
  <c r="N402" i="11"/>
  <c r="N348" i="11"/>
  <c r="N280" i="11"/>
  <c r="N281" i="11"/>
  <c r="N349" i="11"/>
  <c r="N282" i="11"/>
  <c r="N350" i="11"/>
  <c r="N283" i="11"/>
  <c r="N351" i="11"/>
  <c r="N284" i="11"/>
  <c r="N285" i="11"/>
  <c r="N352" i="11"/>
  <c r="N353" i="11"/>
  <c r="N286" i="11"/>
  <c r="N288" i="11"/>
  <c r="N287" i="11"/>
  <c r="N289" i="11"/>
  <c r="N290" i="11"/>
  <c r="N292" i="11"/>
  <c r="N291" i="11"/>
  <c r="N293" i="11"/>
  <c r="N294" i="11"/>
  <c r="N295" i="11"/>
  <c r="N296" i="11"/>
  <c r="N297" i="11"/>
  <c r="N298" i="11"/>
  <c r="N299" i="11"/>
  <c r="N300" i="11"/>
  <c r="N301" i="11"/>
  <c r="N302" i="11"/>
  <c r="N303" i="11"/>
  <c r="N304" i="11"/>
  <c r="N305" i="11"/>
  <c r="N306" i="11"/>
  <c r="N307" i="11"/>
  <c r="N308" i="11"/>
  <c r="N309" i="11"/>
  <c r="N310" i="11"/>
  <c r="N311" i="11"/>
  <c r="N312" i="11"/>
  <c r="N313" i="11"/>
  <c r="N314" i="11"/>
  <c r="N315" i="11"/>
  <c r="N316" i="11"/>
  <c r="N433" i="11" l="1"/>
  <c r="G65" i="3" l="1"/>
  <c r="H64" i="3" s="1"/>
  <c r="D64" i="3"/>
  <c r="D63" i="3"/>
  <c r="D62" i="3"/>
  <c r="D61" i="3"/>
  <c r="F61" i="3" s="1"/>
  <c r="D60" i="3"/>
  <c r="F60" i="3" s="1"/>
  <c r="G56" i="3"/>
  <c r="H55" i="3" s="1"/>
  <c r="D55" i="3"/>
  <c r="D54" i="3"/>
  <c r="D53" i="3"/>
  <c r="D52" i="3"/>
  <c r="F51" i="3"/>
  <c r="F56" i="3" s="1"/>
  <c r="H61" i="3" l="1"/>
  <c r="H62" i="3"/>
  <c r="H63" i="3"/>
  <c r="H60" i="3"/>
  <c r="H52" i="3"/>
  <c r="H53" i="3"/>
  <c r="D56" i="3"/>
  <c r="H54" i="3"/>
  <c r="F65" i="3"/>
  <c r="H51" i="3"/>
  <c r="D65" i="3"/>
  <c r="H65" i="3" l="1"/>
  <c r="H56" i="3"/>
  <c r="K16" i="7" l="1"/>
  <c r="L16" i="7" l="1"/>
  <c r="K17" i="7"/>
  <c r="L17" i="7" s="1"/>
</calcChain>
</file>

<file path=xl/sharedStrings.xml><?xml version="1.0" encoding="utf-8"?>
<sst xmlns="http://schemas.openxmlformats.org/spreadsheetml/2006/main" count="1728" uniqueCount="708">
  <si>
    <t>INDICE</t>
  </si>
  <si>
    <t>INFORMACIÓN GENERAL DE LA ENTIDAD</t>
  </si>
  <si>
    <t>01</t>
  </si>
  <si>
    <t>BALANCE GENERAL</t>
  </si>
  <si>
    <t>02</t>
  </si>
  <si>
    <t>ESTADO DE RESULTADO</t>
  </si>
  <si>
    <t>03</t>
  </si>
  <si>
    <t>FLUJO DE CAJA</t>
  </si>
  <si>
    <t>04</t>
  </si>
  <si>
    <t>EVOLUCIÓN DEL PATRIMONIO NETO</t>
  </si>
  <si>
    <t>05</t>
  </si>
  <si>
    <t>06</t>
  </si>
  <si>
    <t>07</t>
  </si>
  <si>
    <t>NOTAS A LOS ESTADOS CONTABLES NOTA 5 (INCISO J)</t>
  </si>
  <si>
    <t>08</t>
  </si>
  <si>
    <t>09</t>
  </si>
  <si>
    <t>10</t>
  </si>
  <si>
    <t>11</t>
  </si>
  <si>
    <t>12</t>
  </si>
  <si>
    <t>13</t>
  </si>
  <si>
    <t>Indice</t>
  </si>
  <si>
    <t>1.            IDENTIFICACIÓN</t>
  </si>
  <si>
    <t>Razón Social:</t>
  </si>
  <si>
    <t>Registro CNV:</t>
  </si>
  <si>
    <t>N° 017 según Res. N° 754/04</t>
  </si>
  <si>
    <t>Código Bolsa:</t>
  </si>
  <si>
    <t>N° 017 según Res N° 524/04</t>
  </si>
  <si>
    <t>Dirección Oficina Principal:</t>
  </si>
  <si>
    <t>Quesada N° 4926 Edif. Atlas Center Piso 6i</t>
  </si>
  <si>
    <t>Teléfono:</t>
  </si>
  <si>
    <t>(021) 610-720</t>
  </si>
  <si>
    <t>E-mail:</t>
  </si>
  <si>
    <t>cadiem@cadiem.com.py</t>
  </si>
  <si>
    <t>Sitio Página Web:</t>
  </si>
  <si>
    <t>www.cadiem.com.py</t>
  </si>
  <si>
    <t>Domicilio Legal:</t>
  </si>
  <si>
    <t>2.            ANTECEDENTES DE CONSTITUCIÓN DE LA SOCIEDAD</t>
  </si>
  <si>
    <t>Escritura N°: 334 Fecha: 12/11/2003 Inscripción en Registro Público: N° 03, Serie C, Folio 28 y sgtes. Sección Contratos Fecha: 07/01/2004; Escritura N°: 001 Fecha: 02/01/2007 Inscripción en Registro Público: N° 291, Serie E, Folio 2581 y sgtes. Sección Contratos Fecha: 17/04/2007; Escritura N°: 878 Fecha: 24/10/211 Inscripción en Registro Público: N° 28, Serie F, Folio 220 y sgtes. Fecha: 06/04/2012; Escritura N°: 1486 Fecha: 28/11/2014 Inscripción en Registro Público: N° 164. Serie I, Folio 2153 Fecha: 16/02/2015; Escritura N°: 455 Fecha: 02/06/2017 Inscripción en Registro Público: N° 1. Serie Comercial, Folio 1/15 Fecha: 17/08/2017, reingreso 19/09/2017.</t>
  </si>
  <si>
    <t>3.            Administración</t>
  </si>
  <si>
    <t>CARGO</t>
  </si>
  <si>
    <t>NOMBRE Y APELLIDO</t>
  </si>
  <si>
    <t>Representantes Legales</t>
  </si>
  <si>
    <t>Presidente</t>
  </si>
  <si>
    <t>Elías Miguel Gelay</t>
  </si>
  <si>
    <t>Vice-presidente</t>
  </si>
  <si>
    <t>César Paredes Franco</t>
  </si>
  <si>
    <t>Director</t>
  </si>
  <si>
    <t>Gloria Ayala Person</t>
  </si>
  <si>
    <t>Plana Ejecutiva</t>
  </si>
  <si>
    <t>Gerente Administrativo</t>
  </si>
  <si>
    <t>Myriam Celeste Silva</t>
  </si>
  <si>
    <t>Gerente Comercial</t>
  </si>
  <si>
    <t>Natalia Trinidad</t>
  </si>
  <si>
    <t>Viviana Cabrera</t>
  </si>
  <si>
    <t>Gerente de Tecnología de la Información</t>
  </si>
  <si>
    <t>Roberto Acosta</t>
  </si>
  <si>
    <t>Gerente de Operaciones</t>
  </si>
  <si>
    <t>Contador</t>
  </si>
  <si>
    <t>Jorge Ugarte</t>
  </si>
  <si>
    <t>4.            CAPITAL Y PROPIEDAD</t>
  </si>
  <si>
    <t>El capital social se fija en Gs. 20.000.000.000 según Art. 5° de la Escritura Pública N° 455 de fecha 02/06/2017, distribuido en 20.000 acciones nominativas con Valor Nominal Gs. 1.000.000, de Clase Ordinaria Voto Múltiple (OVM) Ordinaria Simple (OS) Preferidas.</t>
  </si>
  <si>
    <t>Capital Emitido</t>
  </si>
  <si>
    <t>Gs. 18.000.000.000</t>
  </si>
  <si>
    <t>Capital Suscripto</t>
  </si>
  <si>
    <t>Capital Integrado</t>
  </si>
  <si>
    <t>Valor Nominal de las Acciones</t>
  </si>
  <si>
    <t>Gs. 1.000.000</t>
  </si>
  <si>
    <t>Cuadro de Capital Integrado</t>
  </si>
  <si>
    <t>N°</t>
  </si>
  <si>
    <t>Accionista</t>
  </si>
  <si>
    <t>Cantidad de Acciones</t>
  </si>
  <si>
    <t xml:space="preserve">Clase </t>
  </si>
  <si>
    <t>Voto</t>
  </si>
  <si>
    <t>Monto</t>
  </si>
  <si>
    <t>% de participación en capital integrado</t>
  </si>
  <si>
    <t>Nominativa</t>
  </si>
  <si>
    <t>OVM</t>
  </si>
  <si>
    <t>OS</t>
  </si>
  <si>
    <t>Preferida A</t>
  </si>
  <si>
    <t>Preferida B</t>
  </si>
  <si>
    <t>Preferida C</t>
  </si>
  <si>
    <t>TOTAL</t>
  </si>
  <si>
    <t>Cuadro de Capital Suscripto</t>
  </si>
  <si>
    <t>% de participación en capital suscripto</t>
  </si>
  <si>
    <t>5.            AUDITOR EXTERNO INDEPENDIENTE</t>
  </si>
  <si>
    <t>Nombre:</t>
  </si>
  <si>
    <t>Amaral &amp; Asociados</t>
  </si>
  <si>
    <t>AE 023</t>
  </si>
  <si>
    <t>Dirección:</t>
  </si>
  <si>
    <t>25 de Mayo N° 1894 esq. Gral. Aquino</t>
  </si>
  <si>
    <t>202-760</t>
  </si>
  <si>
    <t>6.            PERSONAS Y EMPRESAS VINCULADAS</t>
  </si>
  <si>
    <t>Denominación:</t>
  </si>
  <si>
    <t>Cadiem A.F.P.I.S.A.</t>
  </si>
  <si>
    <t>Actividad Principal:</t>
  </si>
  <si>
    <t>Administradora de Fondos de Inversión</t>
  </si>
  <si>
    <t>Participación dentro del Capital:</t>
  </si>
  <si>
    <t>Votos:</t>
  </si>
  <si>
    <t>Elías Miguel Gelay:</t>
  </si>
  <si>
    <t>César Paredes Franco:</t>
  </si>
  <si>
    <t>Gloria Ayala Person:</t>
  </si>
  <si>
    <t>Liliana Meza:</t>
  </si>
  <si>
    <t>Juana Pabla Galeano:</t>
  </si>
  <si>
    <t>Síndico</t>
  </si>
  <si>
    <t>Myriam Celeste Silva:</t>
  </si>
  <si>
    <t>Gte. Administrativo</t>
  </si>
  <si>
    <t>Natalia Trinidad:</t>
  </si>
  <si>
    <t>Gte. Comercial</t>
  </si>
  <si>
    <t>Roberto Acosta:</t>
  </si>
  <si>
    <t>Gte. Tecnología de la Información</t>
  </si>
  <si>
    <t>Viviana Cabrera:</t>
  </si>
  <si>
    <t>Gte. Estructuraciones</t>
  </si>
  <si>
    <t>Jessica Pamela Díaz:</t>
  </si>
  <si>
    <t>Auditor Interno</t>
  </si>
  <si>
    <t>CADIEM CASA DE BOLSA S.A.</t>
  </si>
  <si>
    <t>EN GUARANIES</t>
  </si>
  <si>
    <t>ACTIVO</t>
  </si>
  <si>
    <t>Nota</t>
  </si>
  <si>
    <t>PASIVO</t>
  </si>
  <si>
    <t>Activo Corriente</t>
  </si>
  <si>
    <t>Pasivo Corriente</t>
  </si>
  <si>
    <t>Disponibilidades</t>
  </si>
  <si>
    <t>5.D</t>
  </si>
  <si>
    <t>Documentos y Cuentas por Pagar</t>
  </si>
  <si>
    <t>Caja</t>
  </si>
  <si>
    <t>Acreedores por Intermediación</t>
  </si>
  <si>
    <t>5.L</t>
  </si>
  <si>
    <t>Recaudaciones a Depositar</t>
  </si>
  <si>
    <t>Acreedores Varios</t>
  </si>
  <si>
    <t>5.K</t>
  </si>
  <si>
    <t>Bancos</t>
  </si>
  <si>
    <t>Cuenta a Pagar a Personas y Empresas Relacionadas</t>
  </si>
  <si>
    <t>5.N</t>
  </si>
  <si>
    <t>Obligaciones por Contrato de Underwriting</t>
  </si>
  <si>
    <t>5.O</t>
  </si>
  <si>
    <t>Inversiones Temporarias</t>
  </si>
  <si>
    <t>Obligaciones por Administración de Cartera</t>
  </si>
  <si>
    <t>Títulos de Renta Variable</t>
  </si>
  <si>
    <t>Títulos de Renta Fija</t>
  </si>
  <si>
    <t>Préstamos Financieros</t>
  </si>
  <si>
    <t>Menos: Previsión por menor Valor</t>
  </si>
  <si>
    <t>Sobregiro en Cuenta Corriente</t>
  </si>
  <si>
    <t>Títulos de Renta Fija en Reporto</t>
  </si>
  <si>
    <t>Préstamos en Bancos</t>
  </si>
  <si>
    <t>Porción Circulante en Préstamo a Largo Plazo</t>
  </si>
  <si>
    <t>Créditos</t>
  </si>
  <si>
    <t>Intereses a Devengar</t>
  </si>
  <si>
    <t>Deudores por Intermediación</t>
  </si>
  <si>
    <t>5.E</t>
  </si>
  <si>
    <t>Operaciones en Reporto</t>
  </si>
  <si>
    <t>5.J</t>
  </si>
  <si>
    <t>Documentos y Cuentas por Cobrar</t>
  </si>
  <si>
    <t>Deudores Varios</t>
  </si>
  <si>
    <t>Provisiones</t>
  </si>
  <si>
    <t>Menos: Previsión para Incobrables</t>
  </si>
  <si>
    <t>Impuesto a la Renta a Pagar</t>
  </si>
  <si>
    <t>Cuentas por Cobrar a Personas y Empresas Relacionadas</t>
  </si>
  <si>
    <t>IVA a Pagar</t>
  </si>
  <si>
    <t>Menos: Previsión por Cuenta a Cobrar a Personas y Empresas Relacionadas</t>
  </si>
  <si>
    <t>Retenciones de Impuestos</t>
  </si>
  <si>
    <t>Derechos sobre Títulos por Contrato de Underwriting</t>
  </si>
  <si>
    <t>Aporte y Retenciones a Pagar</t>
  </si>
  <si>
    <t>Otros Pasivos</t>
  </si>
  <si>
    <t>Otros Activos</t>
  </si>
  <si>
    <t>Préstamos de Terceros</t>
  </si>
  <si>
    <t>Otros Activos Corrientes</t>
  </si>
  <si>
    <t>5.H</t>
  </si>
  <si>
    <t>Dividendos a Pagar en Efectivo</t>
  </si>
  <si>
    <t>Otros Pasivos Corrientes</t>
  </si>
  <si>
    <t>5.P</t>
  </si>
  <si>
    <t>TOTAL ACTIVO CORRIENTE</t>
  </si>
  <si>
    <t>TOTAL PASIVO CORRIENTE</t>
  </si>
  <si>
    <t>ACTIVO NO CORRIENTE</t>
  </si>
  <si>
    <t>PASIVO NO CORRIENTE</t>
  </si>
  <si>
    <t>Inversiones Permanentes</t>
  </si>
  <si>
    <t>Cuentas a Pagar</t>
  </si>
  <si>
    <t>Títulos Renta Variable</t>
  </si>
  <si>
    <t>Títulos Renta Fija</t>
  </si>
  <si>
    <t>Acreedores por Intermediación.</t>
  </si>
  <si>
    <t>Acción de la Bolsa de Valores</t>
  </si>
  <si>
    <t>Cuentas a Pagar a Personas y Empresas Relacionadas.</t>
  </si>
  <si>
    <t>Acreedores Varios.</t>
  </si>
  <si>
    <t>Deudores por Intermediación.</t>
  </si>
  <si>
    <t>Deudores Varios.</t>
  </si>
  <si>
    <t>Préstamos en Bancos.</t>
  </si>
  <si>
    <t>Créditos en Gestión de Cobro</t>
  </si>
  <si>
    <t>Intereses a Devengar.</t>
  </si>
  <si>
    <t>Cuentas a Cobrar a Personas y Empresas Relacionadas.</t>
  </si>
  <si>
    <t>Previsiones</t>
  </si>
  <si>
    <t>5.T</t>
  </si>
  <si>
    <t>Previsiones para Indemnización</t>
  </si>
  <si>
    <t>Otras Contingencias</t>
  </si>
  <si>
    <t>Otros Pasivos no Corriente</t>
  </si>
  <si>
    <t>Bienes de Uso</t>
  </si>
  <si>
    <t>(Depreciación Acumulada)</t>
  </si>
  <si>
    <t>TOTAL PASIVO NO CORRIENTE</t>
  </si>
  <si>
    <t>TOTAL PASIVO</t>
  </si>
  <si>
    <t>Activos Intangibles y Cargos Diferidos</t>
  </si>
  <si>
    <t>Licencia</t>
  </si>
  <si>
    <t>PATRIMONIO NETO</t>
  </si>
  <si>
    <t>Marcas</t>
  </si>
  <si>
    <t>Capital</t>
  </si>
  <si>
    <t>Gastos de Desarrollo</t>
  </si>
  <si>
    <t>Valuación Acción BVPASA</t>
  </si>
  <si>
    <t>(Amortización Acumulada)</t>
  </si>
  <si>
    <t>Reserva Legal</t>
  </si>
  <si>
    <t>Reserva de Revalúo</t>
  </si>
  <si>
    <t>Otros Activos No Corrientes</t>
  </si>
  <si>
    <t>Resultado Acumulado</t>
  </si>
  <si>
    <t>Gastos no Devengados</t>
  </si>
  <si>
    <t>Resultado del Ejercicio</t>
  </si>
  <si>
    <t>TOTAL ACTIVO NO CORRIENTE</t>
  </si>
  <si>
    <t>Total Patrimonio Neto</t>
  </si>
  <si>
    <t>TOTAL ACTIVO</t>
  </si>
  <si>
    <t>TOTAL PASIVO Y PATRIMONIO NETO</t>
  </si>
  <si>
    <t>CONCEPTO</t>
  </si>
  <si>
    <t>Ingresos por Operaciones y Servicios a Personas Relacionadas</t>
  </si>
  <si>
    <t>Otros Ingresos Operativos</t>
  </si>
  <si>
    <t>Otros Gastos Operativos</t>
  </si>
  <si>
    <t>Otros Gastos de Comercialización</t>
  </si>
  <si>
    <t>Otros Gastos de Administración</t>
  </si>
  <si>
    <t>Otros Ingresos</t>
  </si>
  <si>
    <t>Otros Egresos</t>
  </si>
  <si>
    <t>Intereses Cobrados</t>
  </si>
  <si>
    <t>ESTADO DE VARIACIÓN DEL PATRIMONIO NETO</t>
  </si>
  <si>
    <t>Movimientos</t>
  </si>
  <si>
    <t>CAPITAL</t>
  </si>
  <si>
    <t>RESERVAS</t>
  </si>
  <si>
    <t>RESULTADOS</t>
  </si>
  <si>
    <t>Suscripto</t>
  </si>
  <si>
    <t>A Integrar</t>
  </si>
  <si>
    <t>Integrado</t>
  </si>
  <si>
    <t>Revaluación de Acciones</t>
  </si>
  <si>
    <t>Legal</t>
  </si>
  <si>
    <t>Facultativa</t>
  </si>
  <si>
    <t>Revalúo</t>
  </si>
  <si>
    <t>Acumulados</t>
  </si>
  <si>
    <t>Del Ejercicio</t>
  </si>
  <si>
    <t>Saldo al Inicio</t>
  </si>
  <si>
    <t>Movimientos Subsecuentes</t>
  </si>
  <si>
    <t>A Capitalizar</t>
  </si>
  <si>
    <t>Dividendos a Pagar</t>
  </si>
  <si>
    <t>Valuación Acc BVPASA</t>
  </si>
  <si>
    <t>Nota 1 – Consideración de los Estados Contables.</t>
  </si>
  <si>
    <t>Nota 2 - Información básica de la empresa</t>
  </si>
  <si>
    <t>2.1 Naturaleza Jurídica de las actividades de la sociedad</t>
  </si>
  <si>
    <t>2.2. Participación en otras empresas</t>
  </si>
  <si>
    <t>Nombre</t>
  </si>
  <si>
    <t>Monto de Participación</t>
  </si>
  <si>
    <t>% Participación en Capital de la Otra Empresa</t>
  </si>
  <si>
    <t>Factor de Vinculación</t>
  </si>
  <si>
    <t>Cadiem Administradora de Fondos Patrimoniales de Inversión S.A.</t>
  </si>
  <si>
    <t>Controlante</t>
  </si>
  <si>
    <t>Nota 3 - Principales políticas y prácticas contables aplicadas</t>
  </si>
  <si>
    <t>3.1 Base de Preparación de los Estados Contables</t>
  </si>
  <si>
    <t>Los estados financieros se han preparado de acuerdo con normas contables y criterios de valuación dictados por la Comisión Nacional de Valores y con normas de información financiera vigentes en el Paraguay.
La moneda funcional y de presentación de los estados financieros de la entidad es el Guaraní, la moneda local de Paraguay.
Dado que la inflación acumulada en los últimos tres años, calculada a base del Índice de Precios al Consumidor emitido por el Banco Central del Paraguay, ha sido inferior al 100%, los estados financieros se presentan en unidad de medida heterogénea. Consecuentemente los estados financieros no fueron expresados en moneda homogénea de poder adquisitivo constante.</t>
  </si>
  <si>
    <t>3.2 Criterio de Valuación</t>
  </si>
  <si>
    <t>Los estados financieros fueron preparados utilizando como principal criterio de valuación el costo histórico, con las excepciones que se mencionan en los siguientes numerales de esta nota.</t>
  </si>
  <si>
    <t>3.3 Política de Constitución de Previsiones</t>
  </si>
  <si>
    <t>La entidad aplica el principio de lo devengado para el reconocimiento de los ingresos y la imputación de costos y gastos.
Los ingresos operativos representan el importe de los bienes y servicios suministrados a terceros y son reconocidos en el Estado de Resultados cuando los riesgos y beneficios significativos asociados a la propiedad de estos han sido transferidos al comprador.
La amortización de los bienes de uso es calculada según los criterios indicados en la Nota 3.4</t>
  </si>
  <si>
    <t>3.6 Definición de Fondos Adoptada para la Preparación del Estado de Flujo de Efectivo</t>
  </si>
  <si>
    <t>Para la preparación del Estado de Flujos de Efectivo se definió como fondos a las disponibilidades.</t>
  </si>
  <si>
    <t>Nota 4 – Cambios de Políticas y Procedimientos de Contabilidad</t>
  </si>
  <si>
    <t>Nota 5 – Criterios específicos de valuación</t>
  </si>
  <si>
    <t>A) Valuación en Moneda Extranjera</t>
  </si>
  <si>
    <t>Concepto</t>
  </si>
  <si>
    <t>Tipo de Cambio Comprador</t>
  </si>
  <si>
    <t>Tipo de Cambio Vendedor</t>
  </si>
  <si>
    <t>DETALLE</t>
  </si>
  <si>
    <t>Moneda Extranjera Clase</t>
  </si>
  <si>
    <t>Moneda Extranjera Monto</t>
  </si>
  <si>
    <t>USD</t>
  </si>
  <si>
    <t>Inversiones</t>
  </si>
  <si>
    <t>Activo No Corriente</t>
  </si>
  <si>
    <t>N/A</t>
  </si>
  <si>
    <t>Deudas Diversas</t>
  </si>
  <si>
    <t>Deudas Financieras</t>
  </si>
  <si>
    <t>Pasivo No Corriente</t>
  </si>
  <si>
    <t>C) Diferencia de Cambio en Moneda Extranjera</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</si>
  <si>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</si>
  <si>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</si>
  <si>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</si>
  <si>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</si>
  <si>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Cuenta Propia</t>
  </si>
  <si>
    <t>Caja Chica</t>
  </si>
  <si>
    <t>Banco Itaú Gs.</t>
  </si>
  <si>
    <t>Banco Regional Gs.</t>
  </si>
  <si>
    <t>Banco Continental Gs.</t>
  </si>
  <si>
    <t>Bancos Varios Gs.</t>
  </si>
  <si>
    <t>Banco Itaú USD</t>
  </si>
  <si>
    <t>Banco Regional USD</t>
  </si>
  <si>
    <t>Banco Continental USD</t>
  </si>
  <si>
    <t>Bancos Varios USD</t>
  </si>
  <si>
    <t>Sub-Total Cuenta Propia</t>
  </si>
  <si>
    <t>Cuenta Compensadora</t>
  </si>
  <si>
    <t>Banco Itaú Operativo Gs.</t>
  </si>
  <si>
    <t>Banco Itaú Vto. Gs.</t>
  </si>
  <si>
    <t>Banco Itaú Operativo USD</t>
  </si>
  <si>
    <t>Banco Itaú Vto. USD</t>
  </si>
  <si>
    <t>Sub-Total Cuenta Compesadora</t>
  </si>
  <si>
    <t>TOTAL DISPONIBILIDADES</t>
  </si>
  <si>
    <t>E) Créditos</t>
  </si>
  <si>
    <t>Intermediación Negociación de Títulos.</t>
  </si>
  <si>
    <t xml:space="preserve">TOTAL  </t>
  </si>
  <si>
    <t>Comisión Colocación de Títulos</t>
  </si>
  <si>
    <t>Gestión Adm. y Reestructuración</t>
  </si>
  <si>
    <t>Mantenimiento Bursátil</t>
  </si>
  <si>
    <t>Representación Obligacionista</t>
  </si>
  <si>
    <t>Servicios Financieros</t>
  </si>
  <si>
    <t>Otras Deudas</t>
  </si>
  <si>
    <t>Adelanto de Vto.</t>
  </si>
  <si>
    <t>Préstamo</t>
  </si>
  <si>
    <t>Agente Colocador</t>
  </si>
  <si>
    <t>OTROS ACTIVOS CORRIENTES</t>
  </si>
  <si>
    <t>Préstamos al Personal</t>
  </si>
  <si>
    <t>Anticipo Impuesto a la Renta</t>
  </si>
  <si>
    <t>Anticipo Proveedores</t>
  </si>
  <si>
    <t>Capacitación al Personal</t>
  </si>
  <si>
    <t>Gastos a Rendir</t>
  </si>
  <si>
    <t>OTROS ACTIVOS NO CORRIENTES</t>
  </si>
  <si>
    <t>Gastos a Devengar</t>
  </si>
  <si>
    <t>I) Préstamos Financieros (corto y largo plazo)</t>
  </si>
  <si>
    <t>Tipo de Moneda</t>
  </si>
  <si>
    <t>Moneda Nacional</t>
  </si>
  <si>
    <t>Moneda Nacional.</t>
  </si>
  <si>
    <t>Fecha Op.</t>
  </si>
  <si>
    <t>Comitente Reportado</t>
  </si>
  <si>
    <t>Comitente Reportador</t>
  </si>
  <si>
    <t>Cod. Negociación</t>
  </si>
  <si>
    <t>Moneda</t>
  </si>
  <si>
    <t>Monto Inicial</t>
  </si>
  <si>
    <t>Plazo</t>
  </si>
  <si>
    <t>Fecha de Vencimiento</t>
  </si>
  <si>
    <t>PYTNA01F8541</t>
  </si>
  <si>
    <t>Guaraníes</t>
  </si>
  <si>
    <t>PYTAU01F8740</t>
  </si>
  <si>
    <t>TOTAL OPERACIÓN EN REPORTO</t>
  </si>
  <si>
    <t>Dólares</t>
  </si>
  <si>
    <t>PYBAM01F8484</t>
  </si>
  <si>
    <t>TC. SET</t>
  </si>
  <si>
    <t>K) Documentos y Cuentas por Pagar (corto y largo plazo)</t>
  </si>
  <si>
    <t>Servicios a Pagar Gs.</t>
  </si>
  <si>
    <t>Servicios a Pagar USD</t>
  </si>
  <si>
    <t>Intermediación Negociación de Títulos</t>
  </si>
  <si>
    <t>N) Cuentas por Pagar a Personas y Empresas Relacionadas (corto y largo plazo)</t>
  </si>
  <si>
    <t xml:space="preserve">NOMBRE </t>
  </si>
  <si>
    <t>RELACIÓN</t>
  </si>
  <si>
    <t>TIPO DE OPERACIÓN</t>
  </si>
  <si>
    <t>ANTIGUED DE LA DEUDA</t>
  </si>
  <si>
    <t>VENCIMIENTO</t>
  </si>
  <si>
    <t>Dominada</t>
  </si>
  <si>
    <t>Operación</t>
  </si>
  <si>
    <t>Servicio</t>
  </si>
  <si>
    <t>Myriam Silva</t>
  </si>
  <si>
    <t>Jéssica Díaz</t>
  </si>
  <si>
    <t>Auditora Interna</t>
  </si>
  <si>
    <t>TOTALES</t>
  </si>
  <si>
    <t>Tarjeta de Crédito</t>
  </si>
  <si>
    <t>Anticipo de Cliente</t>
  </si>
  <si>
    <t>Q) Saldos y Transacciones con Personas y Empresas Relacionadas (Corriente y No Corriente)</t>
  </si>
  <si>
    <t>NOMBRE</t>
  </si>
  <si>
    <t>Dividendo</t>
  </si>
  <si>
    <t>Crédito</t>
  </si>
  <si>
    <t>R) Resultado con Personas y Empresas Vinculadas</t>
  </si>
  <si>
    <t>INGRESOS</t>
  </si>
  <si>
    <t>EGRESOS</t>
  </si>
  <si>
    <t xml:space="preserve">César Paredes </t>
  </si>
  <si>
    <t>Liliana Meza</t>
  </si>
  <si>
    <t>Jessica Díaz</t>
  </si>
  <si>
    <t>Juana Pabla Galeano</t>
  </si>
  <si>
    <t>Lucia Emilia Ayala Person</t>
  </si>
  <si>
    <t>S) Patrimonio</t>
  </si>
  <si>
    <t>SALDO AL INICIO</t>
  </si>
  <si>
    <t>AUMENTOS</t>
  </si>
  <si>
    <t>DISMINUCIÓN</t>
  </si>
  <si>
    <t>SALDO AL CIERRE</t>
  </si>
  <si>
    <t>Aporte no Capitalizado</t>
  </si>
  <si>
    <t>Reservas</t>
  </si>
  <si>
    <t>Revaluó de Acciones</t>
  </si>
  <si>
    <t>U) Ingresos Operativos</t>
  </si>
  <si>
    <t>Por Operaciones</t>
  </si>
  <si>
    <t>Por Servicios</t>
  </si>
  <si>
    <t>Ingresos por Operaciones y Servicios Extrabursátil</t>
  </si>
  <si>
    <t>Ingresos Varios por Asesoría.</t>
  </si>
  <si>
    <t>Servicios de Representación</t>
  </si>
  <si>
    <t>Ingresos Operativos Varios</t>
  </si>
  <si>
    <t>V) Otros Gastos Operativos, de Comercialización y de Administración</t>
  </si>
  <si>
    <t>Intereses y Gastos de Financiación</t>
  </si>
  <si>
    <t>Gastos Bursátiles</t>
  </si>
  <si>
    <t>Aranceles CNV-SEPRELAD</t>
  </si>
  <si>
    <t>Fidelización</t>
  </si>
  <si>
    <t>Gastos Varios de Comercialización</t>
  </si>
  <si>
    <t>Gastos de Consumición</t>
  </si>
  <si>
    <t>Manejo de Archivos</t>
  </si>
  <si>
    <t>Gastos Varios de Administración</t>
  </si>
  <si>
    <t>Gastos Varios</t>
  </si>
  <si>
    <t>Gastos al Personal</t>
  </si>
  <si>
    <t>W) Otros Ingresos y Egresos</t>
  </si>
  <si>
    <t>Ingresos Varios</t>
  </si>
  <si>
    <t>Ingresos Varios Administrativos</t>
  </si>
  <si>
    <t>Dividendos Cobrados</t>
  </si>
  <si>
    <t>Nota 6 – Información Referente a Contingencias y Compromisos</t>
  </si>
  <si>
    <t>Nota 7 – Hechos posteriores al Cierre del Ejercicio:</t>
  </si>
  <si>
    <t>Nota 8 – Limitación a la libre disponibilidad de los activos o del patrimonio y cualquier restricción al derecho de propiedad.</t>
  </si>
  <si>
    <t>La empresa no cuenta con ningún tipo de limitación a libre disposición de los activos o de patrimonio, tampoco existe restricciones al derecho de la propiedad.</t>
  </si>
  <si>
    <t>Nota 9 – Cambios Contables</t>
  </si>
  <si>
    <t>No se incurrió en ningún cambio de procedimientos en la aplicación contables y/o estimación contable en referencia a los Estados Contables anteriores al presente.</t>
  </si>
  <si>
    <t>Nota 10 – Restricciones para distribución de Utilidades</t>
  </si>
  <si>
    <t>La empresa, una vez aprobada por asamblea, distribuye sin ninguna restricción las utilidades disponibles al cierre de cada periodo.</t>
  </si>
  <si>
    <t>Nota 11 – Sanciones</t>
  </si>
  <si>
    <t>La empresa no cuenta con ningún tipo de sanciones a la fecha del presente informe.</t>
  </si>
  <si>
    <t>Nota 12 – Cuentas de Orden</t>
  </si>
  <si>
    <t>NO APLICA</t>
  </si>
  <si>
    <t>DIRECTORIO</t>
  </si>
  <si>
    <t>SÍNDICO</t>
  </si>
  <si>
    <t>Juana Galeano</t>
  </si>
  <si>
    <t>ADMINISTRACIÓN</t>
  </si>
  <si>
    <t>Natalia Raquel Trinidad</t>
  </si>
  <si>
    <t>Nombre de la Empresa</t>
  </si>
  <si>
    <t>Monto de la Inversión</t>
  </si>
  <si>
    <t>Tipo de Valor</t>
  </si>
  <si>
    <t>Participación</t>
  </si>
  <si>
    <t>Acciones</t>
  </si>
  <si>
    <t>Valor de los bienes gravados</t>
  </si>
  <si>
    <t>Tipo de bien o Valor</t>
  </si>
  <si>
    <t>Monto de la deuda garantizada</t>
  </si>
  <si>
    <t>Cuentas a Cobrar</t>
  </si>
  <si>
    <t>Cuentas por Pagar</t>
  </si>
  <si>
    <t>TOTAL INGRESOS</t>
  </si>
  <si>
    <t>GASTOS</t>
  </si>
  <si>
    <t>TOTAL GASTOS</t>
  </si>
  <si>
    <t>INFIRMACIÓN SOBRE EL DOCUMENTO Y EMISOR</t>
  </si>
  <si>
    <t>EMISOR</t>
  </si>
  <si>
    <t>TIPO DE TÍTULO</t>
  </si>
  <si>
    <t>CANTIDAD DE TÍTULOS</t>
  </si>
  <si>
    <t>VALOR NOMINAL UNITARIO</t>
  </si>
  <si>
    <t>VALOR CONTABLE</t>
  </si>
  <si>
    <t>RESULTADO</t>
  </si>
  <si>
    <t>Banco Continental S.A.E.C.A.</t>
  </si>
  <si>
    <t>Bono Subordinado</t>
  </si>
  <si>
    <t>Bono</t>
  </si>
  <si>
    <t>(*)</t>
  </si>
  <si>
    <t>Bono Financiero</t>
  </si>
  <si>
    <t>Frigorifico Concepcion S.A.</t>
  </si>
  <si>
    <t>Vision Banco S.A.E.C.A.</t>
  </si>
  <si>
    <t>Pagaré</t>
  </si>
  <si>
    <t>SUB TOTAL GS</t>
  </si>
  <si>
    <t>Banco Regional S.A.E.C.A.</t>
  </si>
  <si>
    <t>Sudameris Bank S.A.E.C.A.</t>
  </si>
  <si>
    <t>Banco Basa S.A.</t>
  </si>
  <si>
    <t>SUB TOTAL USD</t>
  </si>
  <si>
    <t>TIPO DE CAMBIO</t>
  </si>
  <si>
    <t>SUB TOTAL EN GS</t>
  </si>
  <si>
    <t>CUENTAS</t>
  </si>
  <si>
    <t>VALOR DE COSTO</t>
  </si>
  <si>
    <t>VALOR DE COTIZACIÓN</t>
  </si>
  <si>
    <t>Inversiones Corrientes</t>
  </si>
  <si>
    <t>Inversiones No Corrientes</t>
  </si>
  <si>
    <t>CANTIDAD</t>
  </si>
  <si>
    <t>VALOR NOMINAL</t>
  </si>
  <si>
    <t>VALOR LIBRO DE ACCIÓN</t>
  </si>
  <si>
    <t>VALOR ÚLTIMO REMATE</t>
  </si>
  <si>
    <t xml:space="preserve">R U B R O </t>
  </si>
  <si>
    <t>VALORES ORIGINALES</t>
  </si>
  <si>
    <t>DEPRECIACIONES</t>
  </si>
  <si>
    <t>NETO RESULTANTE</t>
  </si>
  <si>
    <t>Valores al inicio</t>
  </si>
  <si>
    <t>Altas</t>
  </si>
  <si>
    <t>Bajas</t>
  </si>
  <si>
    <t>Revalúo del Periódo</t>
  </si>
  <si>
    <t>Valores al Cierre</t>
  </si>
  <si>
    <t>Acumuladas al inicio</t>
  </si>
  <si>
    <t>Depreciación del Periódo</t>
  </si>
  <si>
    <t>Acumuladas al Cierre</t>
  </si>
  <si>
    <t>Bienes de uso e intangible</t>
  </si>
  <si>
    <t>Muebles y Útiles</t>
  </si>
  <si>
    <t>Equipos de Oficina</t>
  </si>
  <si>
    <t>Equipos de Informática</t>
  </si>
  <si>
    <t>Instalaciones</t>
  </si>
  <si>
    <t>Mejoras en Predio Ajeno</t>
  </si>
  <si>
    <t>Sistema Informático</t>
  </si>
  <si>
    <t>Maquinarias y Equipos</t>
  </si>
  <si>
    <t>CAPITAL INTEGRADO</t>
  </si>
  <si>
    <t>Accionistas</t>
  </si>
  <si>
    <t>Serie</t>
  </si>
  <si>
    <t>N° de Acciones</t>
  </si>
  <si>
    <t>Clase</t>
  </si>
  <si>
    <t>Votos por Acción</t>
  </si>
  <si>
    <t>Votos</t>
  </si>
  <si>
    <t>Valor Nominal</t>
  </si>
  <si>
    <t>% Participación en el Capital Integrado</t>
  </si>
  <si>
    <t>(%) Votos</t>
  </si>
  <si>
    <t>del</t>
  </si>
  <si>
    <t>al</t>
  </si>
  <si>
    <t>Liliana Yolanda Meza</t>
  </si>
  <si>
    <t>Jaime Hitoshi Kurosu Ishigaki</t>
  </si>
  <si>
    <t>MADIBA S.A.</t>
  </si>
  <si>
    <t>Marcos Aurelio Mañotti Gonzalez</t>
  </si>
  <si>
    <t>James Edward Clifton Spalding Hellmer</t>
  </si>
  <si>
    <t>Erasmo Luis Aguilar Delvalle</t>
  </si>
  <si>
    <t>Hugo Cesar Recalde Benitez</t>
  </si>
  <si>
    <t>Roberto Jose Blumenfeld</t>
  </si>
  <si>
    <t>Francisco Yanagida Ishikawa</t>
  </si>
  <si>
    <t>Osvaldo Serafini</t>
  </si>
  <si>
    <t>Alejandro Omar Codas Laterza</t>
  </si>
  <si>
    <t>Julio Ruben Sykora Frich</t>
  </si>
  <si>
    <t>Carlos Roberto Díaz Rossi</t>
  </si>
  <si>
    <t>Miriam Concepcion Ayala Vda. De Contreras</t>
  </si>
  <si>
    <t xml:space="preserve">Verónica Contreras Ayala </t>
  </si>
  <si>
    <t>RAS S.A.</t>
  </si>
  <si>
    <t>Federico Knaudt Orro</t>
  </si>
  <si>
    <t>A</t>
  </si>
  <si>
    <t xml:space="preserve">Jorge Luis Roman Zaracho </t>
  </si>
  <si>
    <t xml:space="preserve">Jose Maria Mañotti Gonzalez </t>
  </si>
  <si>
    <t>Emilio Samuel Hirschkorn Skliar</t>
  </si>
  <si>
    <t>AGB Constructora S.A.</t>
  </si>
  <si>
    <t xml:space="preserve">Victor Ignacio Gonzalez Acosta </t>
  </si>
  <si>
    <t>Marcelo Andres Diaz de Vivar  Kroug</t>
  </si>
  <si>
    <t>Annuaki SA</t>
  </si>
  <si>
    <t xml:space="preserve">Carmelo Wigberto Blasco Martinez </t>
  </si>
  <si>
    <t>B</t>
  </si>
  <si>
    <t>Roberto Fabian Elías Díaz</t>
  </si>
  <si>
    <t>Cimar S.A.</t>
  </si>
  <si>
    <t>Maria Lourdes Gamarra Marin</t>
  </si>
  <si>
    <t>C</t>
  </si>
  <si>
    <t>Hugo Teodoro Berkemeyer Rodriguez</t>
  </si>
  <si>
    <t>Marcelo Emilio Ayala Person</t>
  </si>
  <si>
    <t>CAPITAL SUSCRIPTO</t>
  </si>
  <si>
    <t>% Participación en el Capital Suscripto</t>
  </si>
  <si>
    <t>NOTAS A LOS ESTADOS CONTABLES NOTA 5 (INCISO A a I)</t>
  </si>
  <si>
    <t>NOTAS A LOS ESTADOS CONTABLES NOTA 5 (INCISO K a W)</t>
  </si>
  <si>
    <t>NOTAS A LOS ESTADOS CONTABLES (NOTA 6 a NOTA 13)</t>
  </si>
  <si>
    <t>NOTAS A LOS ESTADOS CONTABLES (NOTA 1 a NOTA 4)</t>
  </si>
  <si>
    <t>CUENTA DE ORDEN</t>
  </si>
  <si>
    <t>Cuenta de Orden</t>
  </si>
  <si>
    <t>Gerente de Estructuraciones</t>
  </si>
  <si>
    <t>Auditoría Interna</t>
  </si>
  <si>
    <t>Cuadro s/ Res. 1/19 expresado en el Anexo de Capital</t>
  </si>
  <si>
    <t>Gte. Operaciones</t>
  </si>
  <si>
    <t>Gs. 16.263.000.000</t>
  </si>
  <si>
    <t>Gs. 14.763.000.000</t>
  </si>
  <si>
    <t>10,91% de participación en el Capital</t>
  </si>
  <si>
    <t>10,57% de participación en el Capital</t>
  </si>
  <si>
    <t>11,05% de participación en el Capital</t>
  </si>
  <si>
    <t>Pasfin S.A.E.C.A.</t>
  </si>
  <si>
    <t>Presidente con el 22,45% de los Votos - 10,57% del Capital</t>
  </si>
  <si>
    <t>Vice-Presidente con el 22,45% de los Votos – 10,57% del Capital</t>
  </si>
  <si>
    <t>Director con el 22,45% de los Votos – 10,91 % del Capital</t>
  </si>
  <si>
    <t>Accionista con el 22,50% de los Votos – 11,05 % del Capital</t>
  </si>
  <si>
    <t>B) Posición en Moneda Extranjera</t>
  </si>
  <si>
    <t>Cadiem Casa de Bolsa S.A.</t>
  </si>
  <si>
    <t>A la fecha del informe no existen cambios de Políticas y Procedimientos que comunicar en relación con el periodo anterior ni al periodo comparado.</t>
  </si>
  <si>
    <t>Cambio al 31/12/2019</t>
  </si>
  <si>
    <t>Saldo al 31/12/2019
Gs.</t>
  </si>
  <si>
    <t>PYREG01F9215</t>
  </si>
  <si>
    <t>PYREG04F9493</t>
  </si>
  <si>
    <t>PYSUD01F0083</t>
  </si>
  <si>
    <t>PYBBV01F3798</t>
  </si>
  <si>
    <t>TOTAL 31/12/2019</t>
  </si>
  <si>
    <t>Rodrigo García</t>
  </si>
  <si>
    <t>INFORMACIÓN SOBRE EL EMISOR AL 31/12/2019</t>
  </si>
  <si>
    <t>Reporto</t>
  </si>
  <si>
    <t>Fondo Patrimonales - Abierto</t>
  </si>
  <si>
    <t>Fondo Mutuo</t>
  </si>
  <si>
    <t>Banco Bilbao Vizcaya Argentaria Paraguay S.A.</t>
  </si>
  <si>
    <t>Banco Rio S.A.E.C.A.</t>
  </si>
  <si>
    <t>TOTAL AL 31/12/2019</t>
  </si>
  <si>
    <t>Acciones Ordinarias</t>
  </si>
  <si>
    <t>B.V.P.A. S.A.</t>
  </si>
  <si>
    <t>CADIEM Casa de Bolsa S.A. tiene por objeto efectuar todas las actividades, operaciones y servicios que sean compatibles con la actividad de intermediación en el mercado de valores y cualquier otra actividad permitida que previamente, de manera general, lo autorice la Comisión Nacional de Valores.
Fue constituida por Escritura Pública Nro. 334, de fecha 12.11.2003, pasada ante la Escribana Pública Katia Ayala Ratti, e inscripta en los Registros Públicos de Personas Jurídicas y Asociaciones, en fecha 23.12.2003. Modificación de Estatutos: Primera modificación: En el Registro Público de Comercio No.291, Serie E, Folio 2581 y sgtes, por Escritura Pública No. 1 del 02.01.2007, Folio 2 y sgtes, pasada por el Escribano Luis Enrique Peroni. Segunda modificación: En el Registro Público de Comercio Número 688, Serie G, folio 5942 del 23/12/2011. Tercera modificación: En el Registro Público de Comercio Número 147, Serie E, folio 1652 y sgtes de fecha 16/02/2015. Cuarta modificación: En el Registro Público de Comercio Número 1, Serie Comercial, folio 1/15 de fecha 17/08/2017, reingreso 19/09/2017.
Habilitada por la Comisión Nacional de Valores para operar como Intermediaria en el Mercado de Valores, llevando la Nomenclatura CB (Casa de Bolsa) seguido de la numeración 017, por Resolución No. 754/04 Acta No. 04/04 de fecha 19.01.2004, e igualmente inscripta en la Bolsa de Valores y Productos de Asunción S.A. por Resolución No. 524/04 de fecha 26.01.2004.</t>
  </si>
  <si>
    <t>Sindico</t>
  </si>
  <si>
    <t>Myrian Concepción Ayala</t>
  </si>
  <si>
    <t xml:space="preserve">Dividendo </t>
  </si>
  <si>
    <t>Elias Miguel Gelay</t>
  </si>
  <si>
    <t>Gloria Ayla Person</t>
  </si>
  <si>
    <t>Las previsiones para cuentas de dudoso cobro se determinan anualmente sobre la base del estudio de la cartera de clientes realizado con el objeto de determinar la porción no recuperable de las cuentas por cobrar.</t>
  </si>
  <si>
    <t>3.4 Política de Bienes de Uso</t>
  </si>
  <si>
    <t>Los saldos de Bienes de uso se exponen a su costo histórico revaluado a partir del año siguiente al de su incorporación, de acuerdo con lo establecido en el artículo 12 de la Ley N° 125/91, menos la correspondiente depreciación acumulada. El incremento neto por revalúo anual se acredita a la cuenta patrimonial “Reserva de Revalúo”.
Los cargos por depreciación son reconocidos en el estado de resultados, proporcionalmente en base a la aplicación de tasas anuales suficientes para extinguir sus valores al final de la vida útil estimada.</t>
  </si>
  <si>
    <t>3.5 Política de Reconocimiento de Ingresos y Egresos</t>
  </si>
  <si>
    <t>Accionista - Director</t>
  </si>
  <si>
    <t>ANEXO I</t>
  </si>
  <si>
    <t>INFORMACIÓN SOBRE PERSONAS VINCULADAS O RELACIONADAS</t>
  </si>
  <si>
    <t>COMPOSICIÓN ACCIONARIA - ANEXO DE CAPITAL</t>
  </si>
  <si>
    <t>BIENES DE USO - ANEXO II</t>
  </si>
  <si>
    <t>CARTERA DE INVERSIONES - ANEXO I</t>
  </si>
  <si>
    <t>ANEXO II</t>
  </si>
  <si>
    <t>ANEXO DE CAPITAL</t>
  </si>
  <si>
    <t>INFORME SOBRE PERSONAS VINCULADAS O RELACIONADAS</t>
  </si>
  <si>
    <t>ANEXO D</t>
  </si>
  <si>
    <r>
      <rPr>
        <b/>
        <sz val="16"/>
        <color theme="1"/>
        <rFont val="Museo Sans 100"/>
        <family val="3"/>
      </rPr>
      <t xml:space="preserve">ESTADOS FINANCIEROS
CADIEM CASA DE BOLSA S.A.
</t>
    </r>
    <r>
      <rPr>
        <u/>
        <sz val="14"/>
        <color theme="1"/>
        <rFont val="Museo Sans 100"/>
        <family val="3"/>
      </rPr>
      <t>s/ Res. N° 06/2019</t>
    </r>
    <r>
      <rPr>
        <sz val="11"/>
        <color theme="1"/>
        <rFont val="Museo Sans 100"/>
        <family val="3"/>
      </rPr>
      <t xml:space="preserve">
Título III Anexo F</t>
    </r>
  </si>
  <si>
    <r>
      <t>A)</t>
    </r>
    <r>
      <rPr>
        <b/>
        <sz val="7"/>
        <color theme="1"/>
        <rFont val="Museo Sans 100"/>
        <family val="3"/>
      </rPr>
      <t xml:space="preserve">   </t>
    </r>
    <r>
      <rPr>
        <b/>
        <sz val="11"/>
        <color theme="1"/>
        <rFont val="Museo Sans 100"/>
        <family val="3"/>
      </rPr>
      <t>PARTES VINCULADAS O RELACIONADAS</t>
    </r>
  </si>
  <si>
    <r>
      <rPr>
        <b/>
        <u/>
        <sz val="11"/>
        <color theme="1"/>
        <rFont val="Museo Sans 100"/>
        <family val="3"/>
      </rPr>
      <t>A.1</t>
    </r>
    <r>
      <rPr>
        <u/>
        <sz val="11"/>
        <color theme="1"/>
        <rFont val="Museo Sans 100"/>
        <family val="3"/>
      </rPr>
      <t xml:space="preserve"> Según Art.34 de la Ley 5810/17</t>
    </r>
  </si>
  <si>
    <r>
      <t>Inciso a)</t>
    </r>
    <r>
      <rPr>
        <sz val="11"/>
        <color theme="1"/>
        <rFont val="Museo Sans 100"/>
        <family val="3"/>
      </rPr>
      <t xml:space="preserve"> Las personas con derecho a voto que controlen al menos el 10% del capital.</t>
    </r>
  </si>
  <si>
    <r>
      <t>Inciso b)</t>
    </r>
    <r>
      <rPr>
        <sz val="11"/>
        <color theme="1"/>
        <rFont val="Museo Sans 100"/>
        <family val="3"/>
      </rPr>
      <t xml:space="preserve"> Las sociedades anónimas en las que éstas controlen por lo menos el 10% del capital</t>
    </r>
  </si>
  <si>
    <r>
      <t>Inciso c)</t>
    </r>
    <r>
      <rPr>
        <sz val="11"/>
        <color theme="1"/>
        <rFont val="Museo Sans 100"/>
        <family val="3"/>
      </rPr>
      <t xml:space="preserve"> Accionistas que tengan potestad de elegir en asamblea al menos un director.</t>
    </r>
  </si>
  <si>
    <r>
      <t>Inciso d)</t>
    </r>
    <r>
      <rPr>
        <sz val="11"/>
        <color theme="1"/>
        <rFont val="Museo Sans 100"/>
        <family val="3"/>
      </rPr>
      <t xml:space="preserve"> Directores, Administradores, Síndicos, Auditores Internos y Apoderados.</t>
    </r>
  </si>
  <si>
    <r>
      <t>Otros)</t>
    </r>
    <r>
      <rPr>
        <sz val="11"/>
        <color theme="1"/>
        <rFont val="Museo Sans 100"/>
        <family val="3"/>
      </rPr>
      <t xml:space="preserve"> Cónyuges y parientes hasta el segundo grado de consanguineidad</t>
    </r>
  </si>
  <si>
    <r>
      <rPr>
        <u/>
        <sz val="11"/>
        <color theme="1"/>
        <rFont val="Museo Sans 100"/>
        <family val="3"/>
      </rPr>
      <t>Miriam Concepción Ayala Vda. De Contreras</t>
    </r>
    <r>
      <rPr>
        <sz val="11"/>
        <color theme="1"/>
        <rFont val="Museo Sans 100"/>
        <family val="3"/>
      </rPr>
      <t>: Pariente de segundo grado (Hermana de Gloria Ayala Person)</t>
    </r>
  </si>
  <si>
    <r>
      <rPr>
        <u/>
        <sz val="11"/>
        <color theme="1"/>
        <rFont val="Museo Sans 100"/>
        <family val="3"/>
      </rPr>
      <t>Lucia Emilia Ayala Person</t>
    </r>
    <r>
      <rPr>
        <sz val="11"/>
        <color theme="1"/>
        <rFont val="Museo Sans 100"/>
        <family val="3"/>
      </rPr>
      <t>: Pariente de segundo grado (Hermana de Gloria Ayala Person)</t>
    </r>
  </si>
  <si>
    <r>
      <rPr>
        <b/>
        <u/>
        <sz val="11"/>
        <color theme="1"/>
        <rFont val="Museo Sans 100"/>
        <family val="3"/>
      </rPr>
      <t>A.2</t>
    </r>
    <r>
      <rPr>
        <u/>
        <sz val="11"/>
        <color theme="1"/>
        <rFont val="Museo Sans 100"/>
        <family val="3"/>
      </rPr>
      <t xml:space="preserve"> Inversiones de la sociedad en valores de otras empresas que representan más del 10% del activo de la sociedad</t>
    </r>
  </si>
  <si>
    <r>
      <rPr>
        <b/>
        <u/>
        <sz val="11"/>
        <color theme="1"/>
        <rFont val="Museo Sans 100"/>
        <family val="3"/>
      </rPr>
      <t xml:space="preserve">A.3 </t>
    </r>
    <r>
      <rPr>
        <u/>
        <sz val="11"/>
        <color theme="1"/>
        <rFont val="Museo Sans 100"/>
        <family val="3"/>
      </rPr>
      <t>Activos de la sociedad comprometidos en más del 20% en garantía de obligaciones de otra u otras empresas</t>
    </r>
  </si>
  <si>
    <r>
      <rPr>
        <b/>
        <sz val="11"/>
        <color theme="1"/>
        <rFont val="Museo Sans 100"/>
        <family val="3"/>
      </rPr>
      <t xml:space="preserve">A.4 </t>
    </r>
    <r>
      <rPr>
        <sz val="11"/>
        <color theme="1"/>
        <rFont val="Museo Sans 100"/>
        <family val="3"/>
      </rPr>
      <t xml:space="preserve">Vinculación por nivel de endeudamiento: </t>
    </r>
    <r>
      <rPr>
        <b/>
        <sz val="11"/>
        <color theme="1"/>
        <rFont val="Museo Sans 100"/>
        <family val="3"/>
      </rPr>
      <t>NO APLICABLE</t>
    </r>
  </si>
  <si>
    <r>
      <t>B)</t>
    </r>
    <r>
      <rPr>
        <b/>
        <sz val="7"/>
        <color theme="1"/>
        <rFont val="Museo Sans 100"/>
        <family val="3"/>
      </rPr>
      <t xml:space="preserve">   </t>
    </r>
    <r>
      <rPr>
        <b/>
        <sz val="11"/>
        <color theme="1"/>
        <rFont val="Museo Sans 100"/>
        <family val="3"/>
      </rPr>
      <t>SALDOS CON PARTES RELACIONADAS</t>
    </r>
  </si>
  <si>
    <r>
      <t xml:space="preserve">C) Garantías Constituidas: </t>
    </r>
    <r>
      <rPr>
        <sz val="11"/>
        <rFont val="Museo Sans 100"/>
        <family val="3"/>
      </rPr>
      <t>La empresa cuenta con un Seguro de Caución “Desempeño de una Actividad o Profesión”, Póliza N°.: 007.1514.001634/002 con la Consolidada de Seguros vigente desde 08/07/2019 al 09/07/2020, por valor de Gs. 528.140.500-</t>
    </r>
  </si>
  <si>
    <r>
      <t>Acreedores Varios:</t>
    </r>
    <r>
      <rPr>
        <sz val="11"/>
        <color theme="1"/>
        <rFont val="Museo Sans 100"/>
        <family val="3"/>
      </rPr>
      <t xml:space="preserve"> La composición es la siguiente</t>
    </r>
  </si>
  <si>
    <r>
      <t>L) Acreedores por Intermediación (Corto y Largo Plazo):</t>
    </r>
    <r>
      <rPr>
        <sz val="11"/>
        <color theme="1"/>
        <rFont val="Museo Sans 100"/>
        <family val="3"/>
      </rPr>
      <t xml:space="preserve"> La composición es la siguiente</t>
    </r>
  </si>
  <si>
    <r>
      <t>M) Administración de Cartera:</t>
    </r>
    <r>
      <rPr>
        <sz val="11"/>
        <color theme="1"/>
        <rFont val="Museo Sans 100"/>
        <family val="3"/>
      </rPr>
      <t xml:space="preserve"> La entidad no cuenta con obligaciones a la fecha</t>
    </r>
  </si>
  <si>
    <r>
      <t>O) Obligaciones por Contrato de Underwriting (Corto y Largo Plazo):</t>
    </r>
    <r>
      <rPr>
        <sz val="11"/>
        <color theme="1"/>
        <rFont val="Museo Sans 100"/>
        <family val="3"/>
      </rPr>
      <t xml:space="preserve"> La entidad no cuenta obligaciones al respecto</t>
    </r>
  </si>
  <si>
    <r>
      <t>P) Otros Pasivos Corrientes y No Corrientes:</t>
    </r>
    <r>
      <rPr>
        <sz val="11"/>
        <color theme="1"/>
        <rFont val="Museo Sans 100"/>
        <family val="3"/>
      </rPr>
      <t xml:space="preserve"> La composición es la siguiente</t>
    </r>
  </si>
  <si>
    <r>
      <t>T) Previsiones:</t>
    </r>
    <r>
      <rPr>
        <sz val="11"/>
        <color theme="1"/>
        <rFont val="Museo Sans 100"/>
        <family val="3"/>
      </rPr>
      <t xml:space="preserve"> La entidad no considera necesario realizar previsiones</t>
    </r>
  </si>
  <si>
    <r>
      <t xml:space="preserve">J) Operación en Reporto: </t>
    </r>
    <r>
      <rPr>
        <sz val="11"/>
        <color theme="1"/>
        <rFont val="Museo Sans 100"/>
        <family val="3"/>
      </rPr>
      <t>Las operaciones Reportadas activas a la fecha son las siguientes</t>
    </r>
  </si>
  <si>
    <r>
      <t xml:space="preserve">D) Disponibilidades: </t>
    </r>
    <r>
      <rPr>
        <sz val="11"/>
        <color theme="1"/>
        <rFont val="Museo Sans 100"/>
        <family val="3"/>
      </rPr>
      <t>La cuenta disponibilidades está compuesta por valores de Cuenta Propia y valores de Cuentas Compensadoras, que de detallan a continuación.</t>
    </r>
  </si>
  <si>
    <r>
      <t>Deudores por Intermediación:</t>
    </r>
    <r>
      <rPr>
        <sz val="11"/>
        <color theme="1"/>
        <rFont val="Museo Sans 100"/>
        <family val="3"/>
      </rPr>
      <t xml:space="preserve"> La composición es la siguiente</t>
    </r>
  </si>
  <si>
    <r>
      <t>Documentos y Cuentas por Cobrar:</t>
    </r>
    <r>
      <rPr>
        <sz val="11"/>
        <color theme="1"/>
        <rFont val="Museo Sans 100"/>
        <family val="3"/>
      </rPr>
      <t xml:space="preserve"> La composición es la siguiente</t>
    </r>
  </si>
  <si>
    <r>
      <t>Deudores Varios:</t>
    </r>
    <r>
      <rPr>
        <sz val="11"/>
        <color theme="1"/>
        <rFont val="Museo Sans 100"/>
        <family val="3"/>
      </rPr>
      <t xml:space="preserve"> La composición es la siguiente</t>
    </r>
  </si>
  <si>
    <r>
      <t>Derechos Sobre Títulos por Contrato de Underwriting:</t>
    </r>
    <r>
      <rPr>
        <sz val="11"/>
        <color theme="1"/>
        <rFont val="Museo Sans 100"/>
        <family val="3"/>
      </rPr>
      <t xml:space="preserve"> A la fecha del presente informe la empresa no cuenta con contratos por dicho concepto.</t>
    </r>
  </si>
  <si>
    <r>
      <t>Cuentas Por Cobrar a Personas y Empresas Relacionadas:</t>
    </r>
    <r>
      <rPr>
        <sz val="11"/>
        <color theme="1"/>
        <rFont val="Museo Sans 100"/>
        <family val="3"/>
      </rPr>
      <t xml:space="preserve"> La composición es la siguiente</t>
    </r>
  </si>
  <si>
    <r>
      <t>F) Cargos Diferidos:</t>
    </r>
    <r>
      <rPr>
        <sz val="11"/>
        <color theme="1"/>
        <rFont val="Museo Sans 100"/>
        <family val="3"/>
      </rPr>
      <t xml:space="preserve"> A la fecha del presente informe la entidad no tiene datos que informar en esta nota</t>
    </r>
  </si>
  <si>
    <r>
      <t>G) Intangibles:</t>
    </r>
    <r>
      <rPr>
        <sz val="11"/>
        <color theme="1"/>
        <rFont val="Museo Sans 100"/>
        <family val="3"/>
      </rPr>
      <t xml:space="preserve"> La entidad no cuenta con intangibles que mencionar</t>
    </r>
  </si>
  <si>
    <r>
      <t>H) Otros Activos Corrientes y No Corrientes:</t>
    </r>
    <r>
      <rPr>
        <sz val="11"/>
        <color theme="1"/>
        <rFont val="Museo Sans 100"/>
        <family val="3"/>
      </rPr>
      <t xml:space="preserve"> La composición es la siguiente</t>
    </r>
  </si>
  <si>
    <r>
      <t>Préstamos Financieros:</t>
    </r>
    <r>
      <rPr>
        <sz val="11"/>
        <color theme="1"/>
        <rFont val="Museo Sans 100"/>
        <family val="3"/>
      </rPr>
      <t xml:space="preserve"> Préstamos a Corto Plazo</t>
    </r>
  </si>
  <si>
    <r>
      <t xml:space="preserve">6.1         </t>
    </r>
    <r>
      <rPr>
        <b/>
        <u/>
        <sz val="11"/>
        <color theme="1"/>
        <rFont val="Museo Sans 100"/>
        <family val="3"/>
      </rPr>
      <t>Vinculada Controlante</t>
    </r>
  </si>
  <si>
    <r>
      <t xml:space="preserve">6.2         </t>
    </r>
    <r>
      <rPr>
        <b/>
        <u/>
        <sz val="11"/>
        <color theme="1"/>
        <rFont val="Museo Sans 100"/>
        <family val="3"/>
      </rPr>
      <t>Personas Vinculadas</t>
    </r>
  </si>
  <si>
    <t>Valuación Acción AFPISA</t>
  </si>
  <si>
    <t>3.7 Política de Valuación de las Inversiones de Largo Plazo</t>
  </si>
  <si>
    <t>Rodrigo García:</t>
  </si>
  <si>
    <t>Moneda Extranjera</t>
  </si>
  <si>
    <r>
      <t xml:space="preserve">B) Contingencias Legales: </t>
    </r>
    <r>
      <rPr>
        <sz val="11"/>
        <color theme="1"/>
        <rFont val="Museo Sans 100"/>
        <family val="3"/>
      </rPr>
      <t>La empresa no cuenta con juicios ni otras acciones que comprometa a la libre disponibilidad de sus bienes ni al libre desarrollo de sus actividades comerciales.</t>
    </r>
  </si>
  <si>
    <t>Las 12 notas más el Anexo D - Anexo I - Anexo II - Anexo de Capital que acompañan forman parte integral de los estados financieros.</t>
  </si>
  <si>
    <t>Información al 31/03/2020</t>
  </si>
  <si>
    <t>Correspondiente al 31/03/2020, presentado en forma comparativa con el ejercicio cerrado al 31/12/2019</t>
  </si>
  <si>
    <t>Corresponde al 31/03/2020 presentado de forma comparativa al 31/03/2019</t>
  </si>
  <si>
    <t>Revaluó</t>
  </si>
  <si>
    <t>Notas a los Estados Contables al 31 de marzo de 2020</t>
  </si>
  <si>
    <t>Las inversiones a largo plazo se evalúan según su costo histórico más lo que resultare del VPP sobre el rendiminento de la entidad, exceptuando las acciones de la BVPASA que se valoriza según circular.</t>
  </si>
  <si>
    <t>Cambio al 31/03/2020</t>
  </si>
  <si>
    <t>Saldo al 31/03/2020
Gs.</t>
  </si>
  <si>
    <t>Tipo de Cambio 31/03/2020</t>
  </si>
  <si>
    <t>Monto Ajustado 31/03/2020</t>
  </si>
  <si>
    <t>Tipo de Cambio 31/03/2019</t>
  </si>
  <si>
    <t>Monto Ajustado 31/03/2019</t>
  </si>
  <si>
    <t>Dividendos a Cobrar.</t>
  </si>
  <si>
    <t>Retención Renta</t>
  </si>
  <si>
    <t>PYTEL01F9356</t>
  </si>
  <si>
    <t>PYCEC01F0454</t>
  </si>
  <si>
    <t>TOTAL OPERACIÓN EN REPORTO AL</t>
  </si>
  <si>
    <t>AL 31/12/2019</t>
  </si>
  <si>
    <t>Accionista - Presidente</t>
  </si>
  <si>
    <t>Accionista - Vicepresidente</t>
  </si>
  <si>
    <t>Prov. p/ Pago de Aguinaldo</t>
  </si>
  <si>
    <t>Prov. p/ Pago de Gratificaciones</t>
  </si>
  <si>
    <t>-</t>
  </si>
  <si>
    <t>TOTAL 31/03/2020</t>
  </si>
  <si>
    <r>
      <t xml:space="preserve">A) Compromisos Directos: </t>
    </r>
    <r>
      <rPr>
        <sz val="11"/>
        <color theme="1"/>
        <rFont val="Museo Sans 100"/>
        <family val="3"/>
      </rPr>
      <t>Al 31 de marzo del 2020 no existen compromisos directos relevantes que informar o detallar en la presente nota.</t>
    </r>
  </si>
  <si>
    <t>Cuadro de Bienes de Uso e Intangibles por el año terminado el 31 de marzo del 2020</t>
  </si>
  <si>
    <t>Licencias</t>
  </si>
  <si>
    <t>Composición Accionaria al 31/03/2020</t>
  </si>
  <si>
    <t>Cartera de Inversiones al 31/03/2020 comparativo al 31/12/2019</t>
  </si>
  <si>
    <t>Cadiem AFPISA</t>
  </si>
  <si>
    <t>Gloria Ayala</t>
  </si>
  <si>
    <t>AL 31/03/2020 y AL 31/03/2019</t>
  </si>
  <si>
    <t>César Paredes</t>
  </si>
  <si>
    <t>BBCP</t>
  </si>
  <si>
    <t>Cementos Concepción Sociedad Anónima Emisora</t>
  </si>
  <si>
    <t>Electroban S.A.E.C.A.</t>
  </si>
  <si>
    <t>Izaguirre Barrail Inversora S.A.E.C.A.</t>
  </si>
  <si>
    <t>Import Center S.A.</t>
  </si>
  <si>
    <t>LCR S.A.E.C.A.</t>
  </si>
  <si>
    <t>Penner Automotores S.R.L.</t>
  </si>
  <si>
    <t>Rieder &amp; Cía. S.A.C.I.</t>
  </si>
  <si>
    <t>Tape Ruvicha S.A.E.C.A.</t>
  </si>
  <si>
    <t>Telefonica Celular del Paraguay S.A.E.</t>
  </si>
  <si>
    <t>CDA</t>
  </si>
  <si>
    <t>Banco GNB Paraguay S.A.</t>
  </si>
  <si>
    <t>Visión Banco S.A.E.C.A.</t>
  </si>
  <si>
    <t>Interfisa Banco S.A.E.C.A.</t>
  </si>
  <si>
    <t>Pagarés</t>
  </si>
  <si>
    <t>Op Repo - Resportador</t>
  </si>
  <si>
    <t>Alpaca S.A.</t>
  </si>
  <si>
    <t>Cupón</t>
  </si>
  <si>
    <t>Cefisa S.A.</t>
  </si>
  <si>
    <t>El Comercio S.A.E.C.A.</t>
  </si>
  <si>
    <t>Finexpar S.A.E.C.A.</t>
  </si>
  <si>
    <t>Solar Ahorro y Finanzas S.A.E.C.A.</t>
  </si>
  <si>
    <t>(**)</t>
  </si>
  <si>
    <r>
      <rPr>
        <sz val="11"/>
        <color theme="1"/>
        <rFont val="Museo Sans 100"/>
        <family val="3"/>
      </rPr>
      <t xml:space="preserve">A la fecha del informe los datos disponibles en la página </t>
    </r>
    <r>
      <rPr>
        <u/>
        <sz val="11"/>
        <color theme="1"/>
        <rFont val="Museo Sans 100"/>
        <family val="3"/>
      </rPr>
      <t>www.bvpasa.com.py</t>
    </r>
    <r>
      <rPr>
        <sz val="11"/>
        <color theme="1"/>
        <rFont val="Museo Sans 100"/>
        <family val="3"/>
      </rPr>
      <t xml:space="preserve"> fuerón las siguientes:
</t>
    </r>
    <r>
      <rPr>
        <b/>
        <sz val="11"/>
        <color theme="1"/>
        <rFont val="Museo Sans 100"/>
        <family val="3"/>
      </rPr>
      <t>(*)</t>
    </r>
    <r>
      <rPr>
        <sz val="11"/>
        <color theme="1"/>
        <rFont val="Museo Sans 100"/>
        <family val="3"/>
      </rPr>
      <t xml:space="preserve">      Al 30/09/2019
</t>
    </r>
    <r>
      <rPr>
        <b/>
        <sz val="11"/>
        <color theme="1"/>
        <rFont val="Museo Sans 100"/>
        <family val="3"/>
      </rPr>
      <t xml:space="preserve">(**)    </t>
    </r>
    <r>
      <rPr>
        <sz val="11"/>
        <color theme="1"/>
        <rFont val="Museo Sans 100"/>
        <family val="3"/>
      </rPr>
      <t xml:space="preserve">Al 31/12/2019
</t>
    </r>
    <r>
      <rPr>
        <b/>
        <sz val="11"/>
        <color theme="1"/>
        <rFont val="Museo Sans 100"/>
        <family val="3"/>
      </rPr>
      <t xml:space="preserve">(***)  </t>
    </r>
    <r>
      <rPr>
        <sz val="11"/>
        <color theme="1"/>
        <rFont val="Museo Sans 100"/>
        <family val="3"/>
      </rPr>
      <t>Al 30/06/2019</t>
    </r>
  </si>
  <si>
    <t>(***)</t>
  </si>
  <si>
    <t>(****) Sin Información</t>
  </si>
  <si>
    <t>TOTAL AL 31/03/2020</t>
  </si>
  <si>
    <t>Anexo I</t>
  </si>
  <si>
    <t>Anexo II</t>
  </si>
  <si>
    <t>VPN</t>
  </si>
  <si>
    <t>Otros Créditos</t>
  </si>
  <si>
    <t>Administrativo</t>
  </si>
  <si>
    <t>Accionista - Administrativo</t>
  </si>
  <si>
    <t>Fondos Patrimoniales - Abiertos</t>
  </si>
  <si>
    <t>Los estados contables fueron aprobados por Acta de Directorio N° 150 de fecha 04/05/2020 sin ninguna observación que mencionar.</t>
  </si>
  <si>
    <t>Entre la fecha de cierre del trimestre y la fecha de emisión de estos estados financieros, no han ocurrido otros hechos significativos de carácter financiero o de otra índole que afecten la situación patrimonial y financiera o los resultados de la Sociedad.</t>
  </si>
  <si>
    <t>Los montos expuestos de las cuentas de orden como parte de la información de los estados contables corresponden a:
Títulos de Capital y Cupones de Intereses de Certificados de Depósitos de Ahorro. Estos valores se encuentran resguardados en la caja fuerte de una entidad bancaria.</t>
  </si>
  <si>
    <t>Deudores Crédito Gs.</t>
  </si>
  <si>
    <t>Deudores Crédito USD</t>
  </si>
  <si>
    <t>Acreedor Gs.</t>
  </si>
  <si>
    <t>Acreedor USD</t>
  </si>
  <si>
    <t>% Participación en el Capital Propio</t>
  </si>
  <si>
    <t>Línea de Sobregiro</t>
  </si>
  <si>
    <t>Gte. Tecnología</t>
  </si>
  <si>
    <t>Myriam Concepción Ayala</t>
  </si>
  <si>
    <t>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</si>
</sst>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 #,##0\ _€_-;\-* #,##0\ _€_-;_-* &quot;-&quot;\ _€_-;_-@_-"/>
    <numFmt numFmtId="165" formatCode="_(* #,##0_);_(* \(#,##0\);_(* &quot;-&quot;_);_(@_)"/>
    <numFmt numFmtId="166" formatCode="#,##0_);\(#,##0\);\ &quot;-&quot;_)"/>
    <numFmt numFmtId="167" formatCode="_(* #,##0.00_);_(* \(#,##0.00\);_(* &quot;-&quot;_);_(@_)"/>
    <numFmt numFmtId="168" formatCode="_ * #,##0.00_ ;_ * \-#,##0.00_ ;_ * &quot;-&quot;_ ;_ @_ "/>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name val="Verdana"/>
      <family val="2"/>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u/>
      <sz val="11"/>
      <color theme="1"/>
      <name val="Museo Sans 100"/>
      <family val="3"/>
    </font>
    <font>
      <b/>
      <sz val="11"/>
      <color theme="1"/>
      <name val="Museo Sans 100"/>
      <family val="3"/>
    </font>
    <font>
      <b/>
      <sz val="10"/>
      <color theme="1"/>
      <name val="Museo Sans 100"/>
      <family val="3"/>
    </font>
    <font>
      <sz val="10"/>
      <color theme="1"/>
      <name val="Museo Sans 100"/>
      <family val="3"/>
    </font>
    <font>
      <b/>
      <sz val="11"/>
      <color rgb="FF000000"/>
      <name val="Museo Sans 100"/>
      <family val="3"/>
    </font>
    <font>
      <b/>
      <sz val="11"/>
      <name val="Museo Sans 100"/>
      <family val="3"/>
    </font>
    <font>
      <sz val="11"/>
      <name val="Museo Sans 100"/>
      <family val="3"/>
    </font>
    <font>
      <sz val="8"/>
      <color theme="1"/>
      <name val="Museo Sans 100"/>
      <family val="3"/>
    </font>
    <font>
      <b/>
      <u/>
      <sz val="10"/>
      <color theme="1"/>
      <name val="Museo Sans 100"/>
      <family val="3"/>
    </font>
    <font>
      <b/>
      <sz val="8"/>
      <color theme="1"/>
      <name val="Museo Sans 100"/>
      <family val="3"/>
    </font>
    <font>
      <b/>
      <sz val="11"/>
      <color rgb="FFFFFFFF"/>
      <name val="Museo Sans 100"/>
      <family val="3"/>
    </font>
    <font>
      <u/>
      <sz val="11"/>
      <color theme="1"/>
      <name val="Museo Sans 100"/>
      <family val="3"/>
    </font>
    <font>
      <sz val="11"/>
      <color rgb="FFFFFFFF"/>
      <name val="Museo Sans 100"/>
      <family val="3"/>
    </font>
    <font>
      <b/>
      <sz val="7"/>
      <color theme="1"/>
      <name val="Museo Sans 100"/>
      <family val="3"/>
    </font>
    <font>
      <sz val="12"/>
      <color theme="1"/>
      <name val="Museo Sans 100"/>
      <family val="3"/>
    </font>
    <font>
      <i/>
      <sz val="10"/>
      <color theme="1"/>
      <name val="Museo Sans 100"/>
      <family val="3"/>
    </font>
    <font>
      <b/>
      <i/>
      <sz val="11"/>
      <name val="Museo Sans 100"/>
      <family val="3"/>
    </font>
    <font>
      <b/>
      <sz val="11"/>
      <color indexed="8"/>
      <name val="Museo Sans 100"/>
      <family val="3"/>
    </font>
    <font>
      <sz val="11"/>
      <color indexed="8"/>
      <name val="Museo Sans 100"/>
      <family val="3"/>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s>
  <cellStyleXfs count="10">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41" fontId="1" fillId="0" borderId="0" applyFont="0" applyFill="0" applyBorder="0" applyAlignment="0" applyProtection="0"/>
    <xf numFmtId="0" fontId="4" fillId="0" borderId="0"/>
    <xf numFmtId="41" fontId="1" fillId="0" borderId="0" applyFont="0" applyFill="0" applyBorder="0" applyAlignment="0" applyProtection="0"/>
  </cellStyleXfs>
  <cellXfs count="473">
    <xf numFmtId="0" fontId="0" fillId="0" borderId="0" xfId="0"/>
    <xf numFmtId="0" fontId="5" fillId="0" borderId="0" xfId="0" applyFont="1"/>
    <xf numFmtId="0" fontId="8" fillId="0" borderId="0" xfId="3" applyFont="1"/>
    <xf numFmtId="0" fontId="11" fillId="3" borderId="25" xfId="0" applyFont="1" applyFill="1" applyBorder="1" applyAlignment="1">
      <alignment horizontal="center" vertical="center" wrapText="1"/>
    </xf>
    <xf numFmtId="0" fontId="12" fillId="0" borderId="9" xfId="0" applyFont="1" applyFill="1" applyBorder="1"/>
    <xf numFmtId="0" fontId="12" fillId="0" borderId="30" xfId="0" applyFont="1" applyFill="1" applyBorder="1"/>
    <xf numFmtId="41" fontId="12" fillId="0" borderId="30" xfId="1" applyFont="1" applyFill="1" applyBorder="1"/>
    <xf numFmtId="41" fontId="12" fillId="0" borderId="30" xfId="0" applyNumberFormat="1" applyFont="1" applyFill="1" applyBorder="1"/>
    <xf numFmtId="0" fontId="12" fillId="0" borderId="30" xfId="0" applyFont="1" applyFill="1" applyBorder="1" applyAlignment="1">
      <alignment horizontal="center"/>
    </xf>
    <xf numFmtId="41" fontId="12" fillId="0" borderId="30" xfId="1" applyFont="1" applyFill="1" applyBorder="1" applyAlignment="1">
      <alignment horizontal="center"/>
    </xf>
    <xf numFmtId="10" fontId="12" fillId="0" borderId="30" xfId="2" applyNumberFormat="1" applyFont="1" applyFill="1" applyBorder="1"/>
    <xf numFmtId="10" fontId="12" fillId="0" borderId="10" xfId="2" applyNumberFormat="1" applyFont="1" applyFill="1" applyBorder="1"/>
    <xf numFmtId="0" fontId="12" fillId="0" borderId="31" xfId="0" applyFont="1" applyFill="1" applyBorder="1"/>
    <xf numFmtId="0" fontId="12" fillId="0" borderId="0" xfId="0" applyFont="1" applyFill="1" applyBorder="1"/>
    <xf numFmtId="41" fontId="12" fillId="0" borderId="0" xfId="1" applyFont="1" applyFill="1" applyBorder="1"/>
    <xf numFmtId="41" fontId="12" fillId="0" borderId="0" xfId="0" applyNumberFormat="1" applyFont="1" applyFill="1" applyBorder="1"/>
    <xf numFmtId="0" fontId="12" fillId="0" borderId="0" xfId="0" applyFont="1" applyFill="1" applyBorder="1" applyAlignment="1">
      <alignment horizontal="center"/>
    </xf>
    <xf numFmtId="41" fontId="12" fillId="0" borderId="0" xfId="1" applyFont="1" applyFill="1" applyBorder="1" applyAlignment="1">
      <alignment horizontal="center"/>
    </xf>
    <xf numFmtId="10" fontId="12" fillId="0" borderId="0" xfId="2" applyNumberFormat="1" applyFont="1" applyFill="1" applyBorder="1"/>
    <xf numFmtId="10" fontId="12" fillId="0" borderId="32" xfId="2" applyNumberFormat="1" applyFont="1" applyFill="1" applyBorder="1"/>
    <xf numFmtId="41" fontId="12" fillId="0" borderId="32" xfId="1" applyFont="1" applyFill="1" applyBorder="1"/>
    <xf numFmtId="0" fontId="12" fillId="0" borderId="0" xfId="1" applyNumberFormat="1" applyFont="1" applyFill="1" applyBorder="1" applyAlignment="1">
      <alignment horizontal="center"/>
    </xf>
    <xf numFmtId="0" fontId="12" fillId="0" borderId="26" xfId="0" applyFont="1" applyFill="1" applyBorder="1"/>
    <xf numFmtId="0" fontId="12" fillId="0" borderId="27" xfId="0" applyFont="1" applyFill="1" applyBorder="1"/>
    <xf numFmtId="41" fontId="12" fillId="0" borderId="27" xfId="1" applyFont="1" applyFill="1" applyBorder="1"/>
    <xf numFmtId="41" fontId="12" fillId="0" borderId="27" xfId="0" applyNumberFormat="1" applyFont="1" applyFill="1" applyBorder="1"/>
    <xf numFmtId="0" fontId="12" fillId="0" borderId="27" xfId="0" applyFont="1" applyFill="1" applyBorder="1" applyAlignment="1">
      <alignment horizontal="center"/>
    </xf>
    <xf numFmtId="0" fontId="12" fillId="0" borderId="27" xfId="1" applyNumberFormat="1" applyFont="1" applyFill="1" applyBorder="1" applyAlignment="1">
      <alignment horizontal="center"/>
    </xf>
    <xf numFmtId="41" fontId="12" fillId="0" borderId="27" xfId="1" applyFont="1" applyFill="1" applyBorder="1" applyAlignment="1">
      <alignment horizontal="center"/>
    </xf>
    <xf numFmtId="10" fontId="12" fillId="0" borderId="27" xfId="2" applyNumberFormat="1" applyFont="1" applyFill="1" applyBorder="1"/>
    <xf numFmtId="10" fontId="12" fillId="0" borderId="28" xfId="2" applyNumberFormat="1" applyFont="1" applyFill="1" applyBorder="1"/>
    <xf numFmtId="41" fontId="11" fillId="0" borderId="29" xfId="0" applyNumberFormat="1" applyFont="1" applyFill="1" applyBorder="1"/>
    <xf numFmtId="0" fontId="11" fillId="0" borderId="29" xfId="0" applyFont="1" applyFill="1" applyBorder="1"/>
    <xf numFmtId="9" fontId="11" fillId="0" borderId="29" xfId="2" applyFont="1" applyFill="1" applyBorder="1"/>
    <xf numFmtId="0" fontId="10" fillId="0" borderId="0" xfId="0" applyFont="1" applyAlignment="1">
      <alignment horizontal="center"/>
    </xf>
    <xf numFmtId="41" fontId="10" fillId="0" borderId="0" xfId="0" applyNumberFormat="1" applyFont="1"/>
    <xf numFmtId="0" fontId="10" fillId="0" borderId="0" xfId="0" applyFont="1"/>
    <xf numFmtId="9" fontId="10" fillId="0" borderId="0" xfId="2" applyFont="1"/>
    <xf numFmtId="41" fontId="5" fillId="0" borderId="0" xfId="0" applyNumberFormat="1" applyFont="1"/>
    <xf numFmtId="0" fontId="10" fillId="3" borderId="25" xfId="0" applyFont="1" applyFill="1" applyBorder="1" applyAlignment="1">
      <alignment horizontal="center" vertical="center" wrapText="1"/>
    </xf>
    <xf numFmtId="41" fontId="11" fillId="0" borderId="29" xfId="1" applyFont="1" applyFill="1" applyBorder="1"/>
    <xf numFmtId="0" fontId="5" fillId="0" borderId="0" xfId="0" applyFont="1" applyAlignment="1"/>
    <xf numFmtId="0" fontId="14" fillId="4" borderId="4" xfId="6" applyFont="1" applyFill="1" applyBorder="1" applyAlignment="1">
      <alignment horizontal="center" vertical="center" wrapText="1"/>
    </xf>
    <xf numFmtId="0" fontId="14" fillId="0" borderId="4" xfId="6" applyFont="1" applyBorder="1" applyAlignment="1">
      <alignment horizontal="center" vertical="center" wrapText="1"/>
    </xf>
    <xf numFmtId="0" fontId="14" fillId="4" borderId="18" xfId="6" applyFont="1" applyFill="1" applyBorder="1" applyAlignment="1">
      <alignment horizontal="center" vertical="center" wrapText="1"/>
    </xf>
    <xf numFmtId="0" fontId="14" fillId="4" borderId="0" xfId="6" applyFont="1" applyFill="1" applyAlignment="1">
      <alignment horizontal="center" vertical="center" wrapText="1"/>
    </xf>
    <xf numFmtId="0" fontId="14" fillId="0" borderId="18" xfId="5" applyFont="1" applyBorder="1" applyAlignment="1">
      <alignment vertical="center"/>
    </xf>
    <xf numFmtId="166" fontId="15" fillId="0" borderId="18" xfId="5" applyNumberFormat="1" applyFont="1" applyBorder="1" applyAlignment="1">
      <alignment horizontal="right" vertical="center"/>
    </xf>
    <xf numFmtId="0" fontId="15" fillId="0" borderId="18" xfId="5" applyFont="1" applyBorder="1" applyAlignment="1">
      <alignment vertical="center"/>
    </xf>
    <xf numFmtId="0" fontId="15" fillId="0" borderId="20" xfId="5" applyFont="1" applyBorder="1" applyAlignment="1">
      <alignment vertical="center"/>
    </xf>
    <xf numFmtId="166" fontId="15" fillId="0" borderId="20" xfId="5" applyNumberFormat="1" applyFont="1" applyBorder="1" applyAlignment="1">
      <alignment horizontal="right" vertical="center"/>
    </xf>
    <xf numFmtId="41" fontId="15" fillId="0" borderId="20" xfId="1" applyFont="1" applyBorder="1" applyAlignment="1">
      <alignment horizontal="right" vertical="center"/>
    </xf>
    <xf numFmtId="0" fontId="15" fillId="0" borderId="15" xfId="5" applyFont="1" applyBorder="1" applyAlignment="1">
      <alignment vertical="center"/>
    </xf>
    <xf numFmtId="41" fontId="15" fillId="0" borderId="15" xfId="1" applyFont="1" applyBorder="1" applyAlignment="1">
      <alignment horizontal="right" vertical="center"/>
    </xf>
    <xf numFmtId="166" fontId="15" fillId="0" borderId="15" xfId="5" applyNumberFormat="1" applyFont="1" applyBorder="1" applyAlignment="1">
      <alignment horizontal="right" vertical="center"/>
    </xf>
    <xf numFmtId="0" fontId="14" fillId="0" borderId="4" xfId="5" applyFont="1" applyBorder="1" applyAlignment="1">
      <alignment vertical="center"/>
    </xf>
    <xf numFmtId="166" fontId="14" fillId="0" borderId="4" xfId="5" applyNumberFormat="1" applyFont="1" applyBorder="1" applyAlignment="1">
      <alignment horizontal="right" vertical="center"/>
    </xf>
    <xf numFmtId="0" fontId="12" fillId="0" borderId="0" xfId="0" applyFont="1"/>
    <xf numFmtId="0" fontId="16" fillId="0" borderId="0" xfId="0" applyFont="1"/>
    <xf numFmtId="0" fontId="18" fillId="0" borderId="0" xfId="0" applyFont="1"/>
    <xf numFmtId="0" fontId="10" fillId="0" borderId="4" xfId="0" applyFont="1" applyBorder="1" applyAlignment="1">
      <alignment horizontal="center" vertical="center" wrapText="1"/>
    </xf>
    <xf numFmtId="17" fontId="13" fillId="0" borderId="4" xfId="0" applyNumberFormat="1" applyFont="1" applyBorder="1" applyAlignment="1">
      <alignment horizontal="center" vertical="center" wrapText="1"/>
    </xf>
    <xf numFmtId="0" fontId="18" fillId="0" borderId="0" xfId="0" applyFont="1" applyAlignment="1">
      <alignment horizontal="center" vertical="center" wrapText="1"/>
    </xf>
    <xf numFmtId="0" fontId="10" fillId="0" borderId="0" xfId="0" applyFont="1" applyAlignment="1">
      <alignment horizontal="center" vertical="center" wrapText="1"/>
    </xf>
    <xf numFmtId="0" fontId="10" fillId="0" borderId="4" xfId="0" applyFont="1" applyBorder="1"/>
    <xf numFmtId="3" fontId="10" fillId="0" borderId="4" xfId="0" applyNumberFormat="1" applyFont="1" applyBorder="1" applyAlignment="1">
      <alignment horizontal="right"/>
    </xf>
    <xf numFmtId="0" fontId="19" fillId="0" borderId="4" xfId="0" applyFont="1" applyBorder="1" applyAlignment="1">
      <alignment horizontal="right"/>
    </xf>
    <xf numFmtId="0" fontId="10" fillId="0" borderId="18" xfId="0" applyFont="1" applyBorder="1"/>
    <xf numFmtId="0" fontId="5" fillId="0" borderId="20" xfId="0" applyFont="1" applyBorder="1"/>
    <xf numFmtId="0" fontId="5" fillId="0" borderId="0" xfId="0" applyFont="1" applyAlignment="1">
      <alignment wrapText="1"/>
    </xf>
    <xf numFmtId="41" fontId="5" fillId="0" borderId="20" xfId="1" applyFont="1" applyBorder="1"/>
    <xf numFmtId="41" fontId="5" fillId="0" borderId="18" xfId="1" applyFont="1" applyBorder="1"/>
    <xf numFmtId="41" fontId="5" fillId="0" borderId="15" xfId="1" applyFont="1" applyBorder="1"/>
    <xf numFmtId="3" fontId="10" fillId="0" borderId="4" xfId="0" applyNumberFormat="1" applyFont="1" applyBorder="1" applyAlignment="1">
      <alignment horizontal="left"/>
    </xf>
    <xf numFmtId="3" fontId="10" fillId="0" borderId="18" xfId="0" applyNumberFormat="1" applyFont="1" applyBorder="1" applyAlignment="1">
      <alignment horizontal="right"/>
    </xf>
    <xf numFmtId="41" fontId="10" fillId="0" borderId="4" xfId="1" applyFont="1" applyBorder="1"/>
    <xf numFmtId="41" fontId="10" fillId="0" borderId="18" xfId="1" applyFont="1" applyBorder="1"/>
    <xf numFmtId="41" fontId="10" fillId="0" borderId="16" xfId="1" applyFont="1" applyBorder="1"/>
    <xf numFmtId="0" fontId="5" fillId="0" borderId="12" xfId="0" applyFont="1" applyBorder="1"/>
    <xf numFmtId="167" fontId="5" fillId="0" borderId="20" xfId="1" applyNumberFormat="1" applyFont="1" applyBorder="1"/>
    <xf numFmtId="4" fontId="5" fillId="0" borderId="20" xfId="0" applyNumberFormat="1" applyFont="1" applyBorder="1" applyAlignment="1">
      <alignment horizontal="right"/>
    </xf>
    <xf numFmtId="4" fontId="10" fillId="0" borderId="4" xfId="0" applyNumberFormat="1" applyFont="1" applyBorder="1" applyAlignment="1">
      <alignment horizontal="right"/>
    </xf>
    <xf numFmtId="167" fontId="10" fillId="0" borderId="4" xfId="1" applyNumberFormat="1" applyFont="1" applyBorder="1"/>
    <xf numFmtId="0" fontId="10" fillId="0" borderId="15" xfId="0" applyFont="1" applyBorder="1"/>
    <xf numFmtId="0" fontId="5" fillId="0" borderId="4" xfId="0" applyFont="1" applyBorder="1"/>
    <xf numFmtId="3" fontId="5" fillId="0" borderId="4" xfId="0" applyNumberFormat="1" applyFont="1" applyBorder="1" applyAlignment="1">
      <alignment horizontal="right"/>
    </xf>
    <xf numFmtId="9" fontId="21" fillId="0" borderId="4" xfId="0" applyNumberFormat="1" applyFont="1" applyBorder="1" applyAlignment="1">
      <alignment horizontal="right"/>
    </xf>
    <xf numFmtId="0" fontId="5" fillId="0" borderId="18" xfId="0" applyFont="1" applyBorder="1"/>
    <xf numFmtId="3" fontId="5" fillId="0" borderId="18" xfId="0" applyNumberFormat="1" applyFont="1" applyBorder="1" applyAlignment="1">
      <alignment horizontal="left" vertical="center"/>
    </xf>
    <xf numFmtId="3" fontId="5" fillId="0" borderId="18" xfId="0" applyNumberFormat="1" applyFont="1" applyBorder="1" applyAlignment="1">
      <alignment horizontal="center" vertical="center"/>
    </xf>
    <xf numFmtId="41" fontId="5" fillId="0" borderId="18" xfId="1" applyFont="1" applyBorder="1" applyAlignment="1">
      <alignment horizontal="center" vertical="center"/>
    </xf>
    <xf numFmtId="0" fontId="5" fillId="0" borderId="15" xfId="0" applyFont="1" applyBorder="1"/>
    <xf numFmtId="3" fontId="5" fillId="0" borderId="15" xfId="0" applyNumberFormat="1" applyFont="1" applyBorder="1" applyAlignment="1">
      <alignment horizontal="left" vertical="center"/>
    </xf>
    <xf numFmtId="3" fontId="5" fillId="0" borderId="15" xfId="0" applyNumberFormat="1" applyFont="1" applyBorder="1" applyAlignment="1">
      <alignment horizontal="center" vertical="center"/>
    </xf>
    <xf numFmtId="3" fontId="10" fillId="0" borderId="4" xfId="0" applyNumberFormat="1" applyFont="1" applyBorder="1"/>
    <xf numFmtId="0" fontId="13" fillId="0" borderId="4" xfId="0" applyFont="1" applyBorder="1" applyAlignment="1">
      <alignment horizontal="center"/>
    </xf>
    <xf numFmtId="3" fontId="5" fillId="0" borderId="0" xfId="0" applyNumberFormat="1" applyFont="1" applyAlignment="1">
      <alignment horizontal="right"/>
    </xf>
    <xf numFmtId="0" fontId="21" fillId="0" borderId="0" xfId="0" applyFont="1" applyAlignment="1">
      <alignment horizontal="right"/>
    </xf>
    <xf numFmtId="0" fontId="10" fillId="0" borderId="13" xfId="0" applyFont="1" applyBorder="1"/>
    <xf numFmtId="3" fontId="10" fillId="0" borderId="15" xfId="0" applyNumberFormat="1" applyFont="1" applyBorder="1" applyAlignment="1">
      <alignment horizontal="right"/>
    </xf>
    <xf numFmtId="0" fontId="19" fillId="0" borderId="15" xfId="0" applyFont="1" applyBorder="1" applyAlignment="1">
      <alignment horizontal="right"/>
    </xf>
    <xf numFmtId="41" fontId="5" fillId="0" borderId="0" xfId="1" applyFont="1"/>
    <xf numFmtId="167" fontId="5" fillId="0" borderId="18" xfId="1" applyNumberFormat="1" applyFont="1" applyBorder="1"/>
    <xf numFmtId="4" fontId="5" fillId="0" borderId="18" xfId="0" applyNumberFormat="1" applyFont="1" applyBorder="1" applyAlignment="1">
      <alignment horizontal="right"/>
    </xf>
    <xf numFmtId="167" fontId="5" fillId="0" borderId="4" xfId="0" applyNumberFormat="1" applyFont="1" applyBorder="1" applyAlignment="1">
      <alignment horizontal="right"/>
    </xf>
    <xf numFmtId="3" fontId="5" fillId="0" borderId="18" xfId="0" applyNumberFormat="1" applyFont="1" applyBorder="1" applyAlignment="1">
      <alignment horizontal="right"/>
    </xf>
    <xf numFmtId="3" fontId="5" fillId="0" borderId="15" xfId="0" applyNumberFormat="1" applyFont="1" applyBorder="1" applyAlignment="1">
      <alignment horizontal="right"/>
    </xf>
    <xf numFmtId="41" fontId="13" fillId="0" borderId="4" xfId="1" applyFont="1" applyBorder="1" applyAlignment="1">
      <alignment horizontal="center"/>
    </xf>
    <xf numFmtId="0" fontId="5" fillId="0" borderId="4" xfId="1" applyNumberFormat="1" applyFont="1" applyBorder="1" applyAlignment="1">
      <alignment horizontal="center" vertical="center"/>
    </xf>
    <xf numFmtId="41" fontId="5" fillId="0" borderId="4" xfId="1" applyFont="1" applyBorder="1" applyAlignment="1">
      <alignment horizontal="center" vertical="center"/>
    </xf>
    <xf numFmtId="0" fontId="20" fillId="0" borderId="0" xfId="0" applyFont="1" applyAlignment="1">
      <alignment vertical="center"/>
    </xf>
    <xf numFmtId="0" fontId="9" fillId="0" borderId="0" xfId="0" applyFont="1" applyAlignment="1">
      <alignment horizontal="left" vertical="center" wrapText="1"/>
    </xf>
    <xf numFmtId="0" fontId="20" fillId="0" borderId="0" xfId="0" applyFont="1"/>
    <xf numFmtId="0" fontId="5" fillId="0" borderId="0" xfId="0" applyFont="1" applyAlignment="1">
      <alignment vertical="center"/>
    </xf>
    <xf numFmtId="0" fontId="9" fillId="0" borderId="0" xfId="0" applyFont="1"/>
    <xf numFmtId="0" fontId="5" fillId="0" borderId="0" xfId="0" applyFont="1" applyAlignment="1">
      <alignment horizontal="center"/>
    </xf>
    <xf numFmtId="0" fontId="10" fillId="0" borderId="4" xfId="0" applyFont="1" applyBorder="1" applyAlignment="1">
      <alignment horizontal="center" vertical="center"/>
    </xf>
    <xf numFmtId="14" fontId="10" fillId="0" borderId="4" xfId="0" applyNumberFormat="1" applyFont="1" applyBorder="1" applyAlignment="1">
      <alignment horizontal="center" vertical="center"/>
    </xf>
    <xf numFmtId="41" fontId="5" fillId="0" borderId="20" xfId="1" applyFont="1" applyBorder="1" applyAlignment="1">
      <alignment horizontal="center" vertical="center"/>
    </xf>
    <xf numFmtId="0" fontId="14" fillId="0" borderId="18" xfId="0" applyFont="1" applyBorder="1" applyAlignment="1">
      <alignment horizontal="center" vertical="center"/>
    </xf>
    <xf numFmtId="14" fontId="14" fillId="0" borderId="4" xfId="0" applyNumberFormat="1" applyFont="1" applyBorder="1" applyAlignment="1">
      <alignment horizontal="center"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15" xfId="0" applyFont="1" applyBorder="1" applyAlignment="1">
      <alignment horizontal="left" vertical="center"/>
    </xf>
    <xf numFmtId="0" fontId="14" fillId="0" borderId="4" xfId="8" applyFont="1" applyBorder="1" applyAlignment="1">
      <alignment horizontal="center" vertical="center"/>
    </xf>
    <xf numFmtId="14" fontId="14" fillId="0" borderId="4" xfId="8" applyNumberFormat="1" applyFont="1" applyBorder="1" applyAlignment="1">
      <alignment horizontal="center" vertical="center"/>
    </xf>
    <xf numFmtId="41" fontId="15" fillId="0" borderId="19" xfId="1" quotePrefix="1" applyFont="1" applyBorder="1" applyAlignment="1">
      <alignment horizontal="left" vertical="center"/>
    </xf>
    <xf numFmtId="41" fontId="15" fillId="0" borderId="20" xfId="1" quotePrefix="1" applyFont="1" applyBorder="1" applyAlignment="1">
      <alignment horizontal="left" vertical="center"/>
    </xf>
    <xf numFmtId="41" fontId="15" fillId="0" borderId="20" xfId="1" applyFont="1" applyBorder="1" applyAlignment="1">
      <alignment horizontal="left" vertical="center"/>
    </xf>
    <xf numFmtId="41" fontId="15" fillId="0" borderId="20" xfId="7" applyFont="1" applyBorder="1" applyAlignment="1">
      <alignment horizontal="left" vertical="center"/>
    </xf>
    <xf numFmtId="41" fontId="14" fillId="0" borderId="4" xfId="1" quotePrefix="1" applyFont="1" applyBorder="1" applyAlignment="1">
      <alignment horizontal="left" vertical="center"/>
    </xf>
    <xf numFmtId="41" fontId="14" fillId="0" borderId="4" xfId="1" quotePrefix="1" applyFont="1" applyBorder="1" applyAlignment="1">
      <alignment vertical="center"/>
    </xf>
    <xf numFmtId="41" fontId="14" fillId="0" borderId="4" xfId="1" quotePrefix="1" applyFont="1" applyBorder="1" applyAlignment="1">
      <alignment horizontal="center" vertical="center"/>
    </xf>
    <xf numFmtId="14" fontId="14" fillId="0" borderId="4" xfId="1" quotePrefix="1" applyNumberFormat="1"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vertical="center"/>
    </xf>
    <xf numFmtId="14" fontId="10" fillId="0" borderId="18" xfId="0" applyNumberFormat="1" applyFont="1" applyBorder="1" applyAlignment="1">
      <alignment horizontal="center" vertical="center"/>
    </xf>
    <xf numFmtId="0" fontId="5" fillId="0" borderId="19" xfId="0" applyFont="1" applyBorder="1" applyAlignment="1"/>
    <xf numFmtId="41" fontId="5" fillId="0" borderId="23" xfId="1" applyFont="1" applyBorder="1" applyAlignment="1">
      <alignment horizontal="right"/>
    </xf>
    <xf numFmtId="0" fontId="5" fillId="0" borderId="22" xfId="0" applyFont="1" applyBorder="1" applyAlignment="1"/>
    <xf numFmtId="41" fontId="5" fillId="0" borderId="11" xfId="1" applyFont="1" applyBorder="1" applyAlignment="1">
      <alignment horizontal="right"/>
    </xf>
    <xf numFmtId="0" fontId="10" fillId="0" borderId="1" xfId="0" applyFont="1" applyBorder="1" applyAlignment="1"/>
    <xf numFmtId="41" fontId="10" fillId="0" borderId="4" xfId="1" applyFont="1" applyBorder="1" applyAlignment="1">
      <alignment horizontal="right"/>
    </xf>
    <xf numFmtId="14" fontId="10" fillId="0" borderId="18" xfId="0" applyNumberFormat="1" applyFont="1" applyFill="1" applyBorder="1" applyAlignment="1">
      <alignment horizontal="center" vertical="center"/>
    </xf>
    <xf numFmtId="0" fontId="5" fillId="0" borderId="1" xfId="0" applyFont="1" applyBorder="1" applyAlignment="1"/>
    <xf numFmtId="41" fontId="5" fillId="0" borderId="18" xfId="1" applyFont="1" applyBorder="1" applyAlignment="1">
      <alignment horizontal="right"/>
    </xf>
    <xf numFmtId="0" fontId="10" fillId="0" borderId="18" xfId="0" applyFont="1" applyBorder="1" applyAlignment="1">
      <alignment horizontal="center" vertical="center" wrapText="1"/>
    </xf>
    <xf numFmtId="3" fontId="10" fillId="0" borderId="4" xfId="0" applyNumberFormat="1" applyFont="1" applyBorder="1" applyAlignment="1">
      <alignment horizontal="center" vertical="center" wrapText="1"/>
    </xf>
    <xf numFmtId="14" fontId="10" fillId="0" borderId="18"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14" fontId="5" fillId="0" borderId="18" xfId="0" applyNumberFormat="1" applyFont="1" applyBorder="1"/>
    <xf numFmtId="41" fontId="5" fillId="0" borderId="20" xfId="1" applyFont="1" applyBorder="1" applyAlignment="1">
      <alignment horizontal="right"/>
    </xf>
    <xf numFmtId="14" fontId="5" fillId="0" borderId="20" xfId="0" applyNumberFormat="1" applyFont="1" applyBorder="1"/>
    <xf numFmtId="14" fontId="5" fillId="0" borderId="20" xfId="1" applyNumberFormat="1" applyFont="1" applyBorder="1"/>
    <xf numFmtId="0" fontId="10" fillId="0" borderId="1" xfId="0" applyFont="1" applyBorder="1" applyAlignment="1">
      <alignment vertical="center" wrapText="1"/>
    </xf>
    <xf numFmtId="0" fontId="5" fillId="0" borderId="19" xfId="0" applyFont="1" applyBorder="1" applyAlignment="1">
      <alignment vertical="center"/>
    </xf>
    <xf numFmtId="41" fontId="5" fillId="0" borderId="20" xfId="1" applyFont="1" applyBorder="1" applyAlignment="1">
      <alignment vertical="center"/>
    </xf>
    <xf numFmtId="0" fontId="5" fillId="0" borderId="12" xfId="0" applyFont="1" applyBorder="1" applyAlignment="1"/>
    <xf numFmtId="41" fontId="5" fillId="0" borderId="20" xfId="1" applyFont="1" applyBorder="1" applyAlignment="1">
      <alignment horizontal="center"/>
    </xf>
    <xf numFmtId="41" fontId="10" fillId="0" borderId="4" xfId="1" applyFont="1" applyBorder="1" applyAlignment="1">
      <alignment horizontal="center" vertical="center"/>
    </xf>
    <xf numFmtId="3" fontId="5" fillId="0" borderId="5" xfId="0" applyNumberFormat="1" applyFont="1" applyBorder="1" applyAlignment="1">
      <alignment horizontal="left" vertical="center"/>
    </xf>
    <xf numFmtId="3" fontId="5" fillId="0" borderId="0" xfId="0" applyNumberFormat="1" applyFont="1" applyAlignment="1">
      <alignment horizontal="left" vertical="center"/>
    </xf>
    <xf numFmtId="3" fontId="10" fillId="0" borderId="4" xfId="0" applyNumberFormat="1" applyFont="1" applyBorder="1" applyAlignment="1">
      <alignment horizontal="center" vertical="center"/>
    </xf>
    <xf numFmtId="41" fontId="15" fillId="0" borderId="19" xfId="1" applyFont="1" applyBorder="1" applyAlignment="1">
      <alignment vertical="center"/>
    </xf>
    <xf numFmtId="41" fontId="15" fillId="0" borderId="12" xfId="1" applyFont="1" applyBorder="1" applyAlignment="1">
      <alignment vertical="center"/>
    </xf>
    <xf numFmtId="41" fontId="15" fillId="0" borderId="12" xfId="1" quotePrefix="1" applyFont="1" applyBorder="1" applyAlignment="1">
      <alignment horizontal="left" vertical="center"/>
    </xf>
    <xf numFmtId="41" fontId="5" fillId="0" borderId="20" xfId="1" applyFont="1" applyFill="1" applyBorder="1"/>
    <xf numFmtId="41" fontId="15" fillId="0" borderId="22" xfId="1" applyFont="1" applyBorder="1" applyAlignment="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14" fillId="0" borderId="1" xfId="0" applyFont="1" applyBorder="1" applyAlignment="1">
      <alignment vertical="center"/>
    </xf>
    <xf numFmtId="14" fontId="14" fillId="0" borderId="18" xfId="0" applyNumberFormat="1" applyFont="1" applyBorder="1" applyAlignment="1">
      <alignment horizontal="center" vertical="center"/>
    </xf>
    <xf numFmtId="0" fontId="15" fillId="0" borderId="19" xfId="0" applyFont="1" applyBorder="1" applyAlignment="1"/>
    <xf numFmtId="41" fontId="15" fillId="0" borderId="18" xfId="1" applyFont="1" applyBorder="1"/>
    <xf numFmtId="0" fontId="15" fillId="0" borderId="12" xfId="0" applyFont="1" applyBorder="1" applyAlignment="1"/>
    <xf numFmtId="41" fontId="15" fillId="0" borderId="20" xfId="1" applyFont="1" applyBorder="1"/>
    <xf numFmtId="0" fontId="15" fillId="0" borderId="22" xfId="0" applyFont="1" applyBorder="1" applyAlignment="1"/>
    <xf numFmtId="0" fontId="14" fillId="0" borderId="1" xfId="0" applyFont="1" applyBorder="1" applyAlignment="1"/>
    <xf numFmtId="41" fontId="14" fillId="0" borderId="4" xfId="1" applyFont="1" applyBorder="1" applyAlignment="1">
      <alignment horizontal="right"/>
    </xf>
    <xf numFmtId="41" fontId="14" fillId="0" borderId="4" xfId="1" applyFont="1" applyBorder="1"/>
    <xf numFmtId="0" fontId="14" fillId="0" borderId="1" xfId="8" applyFont="1" applyBorder="1" applyAlignment="1">
      <alignment vertical="center"/>
    </xf>
    <xf numFmtId="14" fontId="14" fillId="0" borderId="18" xfId="8" applyNumberFormat="1" applyFont="1" applyBorder="1" applyAlignment="1">
      <alignment horizontal="center" vertical="center"/>
    </xf>
    <xf numFmtId="0" fontId="15" fillId="0" borderId="19" xfId="8" applyFont="1" applyBorder="1" applyAlignment="1"/>
    <xf numFmtId="41" fontId="15" fillId="0" borderId="23" xfId="1" applyFont="1" applyBorder="1"/>
    <xf numFmtId="0" fontId="15" fillId="0" borderId="12" xfId="8" applyFont="1" applyBorder="1" applyAlignment="1"/>
    <xf numFmtId="41" fontId="15" fillId="0" borderId="11" xfId="1" applyFont="1" applyBorder="1"/>
    <xf numFmtId="0" fontId="14" fillId="0" borderId="1" xfId="8" applyFont="1" applyBorder="1" applyAlignment="1"/>
    <xf numFmtId="0" fontId="14" fillId="0" borderId="4" xfId="0" applyFont="1" applyBorder="1"/>
    <xf numFmtId="14" fontId="5" fillId="0" borderId="18" xfId="0" applyNumberFormat="1" applyFont="1" applyBorder="1" applyAlignment="1">
      <alignment horizontal="center" vertical="center"/>
    </xf>
    <xf numFmtId="0" fontId="5" fillId="0" borderId="0" xfId="0" applyFont="1" applyAlignment="1">
      <alignment horizontal="center" vertical="center"/>
    </xf>
    <xf numFmtId="14" fontId="5" fillId="0" borderId="20" xfId="0" applyNumberFormat="1" applyFont="1" applyBorder="1" applyAlignment="1">
      <alignment horizontal="center" vertical="center"/>
    </xf>
    <xf numFmtId="0" fontId="5" fillId="0" borderId="20" xfId="0" applyFont="1" applyBorder="1" applyAlignment="1">
      <alignment horizontal="center" vertical="center"/>
    </xf>
    <xf numFmtId="3" fontId="5" fillId="0" borderId="20" xfId="0" applyNumberFormat="1" applyFont="1" applyBorder="1" applyAlignment="1">
      <alignment horizontal="center" vertical="center"/>
    </xf>
    <xf numFmtId="0" fontId="5" fillId="0" borderId="0" xfId="0" applyFont="1" applyAlignment="1">
      <alignment horizontal="left"/>
    </xf>
    <xf numFmtId="0" fontId="5" fillId="0" borderId="18" xfId="0" applyFont="1" applyBorder="1" applyAlignment="1">
      <alignment horizontal="center"/>
    </xf>
    <xf numFmtId="0" fontId="5" fillId="0" borderId="20" xfId="0" applyFont="1" applyBorder="1" applyAlignment="1">
      <alignment horizontal="center"/>
    </xf>
    <xf numFmtId="0" fontId="5" fillId="0" borderId="15" xfId="0" applyFont="1" applyBorder="1" applyAlignment="1">
      <alignment horizontal="center"/>
    </xf>
    <xf numFmtId="0" fontId="10" fillId="0" borderId="4" xfId="0" applyFont="1" applyBorder="1" applyAlignment="1">
      <alignment horizontal="center"/>
    </xf>
    <xf numFmtId="0" fontId="10" fillId="0" borderId="1" xfId="0" applyFont="1" applyBorder="1"/>
    <xf numFmtId="0" fontId="10" fillId="0" borderId="3" xfId="0" applyFont="1" applyBorder="1"/>
    <xf numFmtId="0" fontId="10" fillId="0" borderId="2" xfId="0" applyFont="1" applyBorder="1"/>
    <xf numFmtId="167" fontId="5" fillId="0" borderId="4" xfId="1" applyNumberFormat="1" applyFont="1" applyBorder="1" applyAlignment="1">
      <alignment horizontal="center" vertical="center"/>
    </xf>
    <xf numFmtId="167" fontId="5" fillId="0" borderId="19" xfId="1" applyNumberFormat="1" applyFont="1" applyBorder="1" applyAlignment="1">
      <alignment horizontal="center"/>
    </xf>
    <xf numFmtId="167" fontId="5" fillId="0" borderId="23" xfId="0" applyNumberFormat="1" applyFont="1" applyBorder="1" applyAlignment="1">
      <alignment horizontal="center"/>
    </xf>
    <xf numFmtId="167" fontId="5" fillId="0" borderId="12" xfId="1" applyNumberFormat="1" applyFont="1" applyBorder="1" applyAlignment="1">
      <alignment horizontal="center"/>
    </xf>
    <xf numFmtId="167" fontId="5" fillId="0" borderId="11" xfId="0" applyNumberFormat="1" applyFont="1" applyBorder="1" applyAlignment="1">
      <alignment horizontal="center"/>
    </xf>
    <xf numFmtId="167" fontId="5" fillId="0" borderId="15" xfId="1" applyNumberFormat="1" applyFont="1" applyBorder="1"/>
    <xf numFmtId="167" fontId="5" fillId="0" borderId="22" xfId="1" applyNumberFormat="1" applyFont="1" applyBorder="1" applyAlignment="1">
      <alignment horizontal="center"/>
    </xf>
    <xf numFmtId="167" fontId="5" fillId="0" borderId="14" xfId="0" applyNumberFormat="1" applyFont="1" applyBorder="1" applyAlignment="1">
      <alignment horizontal="center"/>
    </xf>
    <xf numFmtId="41" fontId="10" fillId="0" borderId="15" xfId="1" applyFont="1" applyBorder="1"/>
    <xf numFmtId="0" fontId="10" fillId="0" borderId="15" xfId="0" applyFont="1" applyBorder="1" applyAlignment="1">
      <alignment horizontal="center"/>
    </xf>
    <xf numFmtId="167" fontId="5" fillId="0" borderId="18" xfId="1" applyNumberFormat="1" applyFont="1" applyBorder="1" applyAlignment="1">
      <alignment horizontal="center"/>
    </xf>
    <xf numFmtId="167" fontId="5" fillId="0" borderId="15" xfId="1" applyNumberFormat="1" applyFont="1" applyBorder="1" applyAlignment="1">
      <alignment horizontal="center"/>
    </xf>
    <xf numFmtId="167" fontId="5" fillId="0" borderId="18" xfId="0" applyNumberFormat="1" applyFont="1" applyBorder="1" applyAlignment="1">
      <alignment horizontal="center"/>
    </xf>
    <xf numFmtId="167" fontId="5" fillId="0" borderId="20" xfId="1" applyNumberFormat="1" applyFont="1" applyBorder="1" applyAlignment="1">
      <alignment horizontal="center"/>
    </xf>
    <xf numFmtId="167" fontId="5" fillId="0" borderId="20" xfId="0" applyNumberFormat="1" applyFont="1" applyBorder="1" applyAlignment="1">
      <alignment horizontal="center"/>
    </xf>
    <xf numFmtId="167" fontId="5" fillId="0" borderId="15" xfId="0" applyNumberFormat="1" applyFont="1" applyBorder="1" applyAlignment="1">
      <alignment horizontal="center"/>
    </xf>
    <xf numFmtId="167" fontId="5" fillId="0" borderId="4" xfId="1" applyNumberFormat="1" applyFont="1" applyFill="1" applyBorder="1" applyAlignment="1">
      <alignment horizontal="center" vertical="center"/>
    </xf>
    <xf numFmtId="41" fontId="5" fillId="0" borderId="18" xfId="1" applyFont="1" applyBorder="1" applyAlignment="1">
      <alignment horizontal="center"/>
    </xf>
    <xf numFmtId="0" fontId="5" fillId="0" borderId="0" xfId="0" applyFont="1" applyBorder="1" applyAlignment="1"/>
    <xf numFmtId="41" fontId="5" fillId="0" borderId="0" xfId="1" applyFont="1" applyBorder="1" applyAlignment="1">
      <alignment horizontal="center"/>
    </xf>
    <xf numFmtId="41" fontId="5" fillId="0" borderId="15" xfId="1" applyFont="1" applyBorder="1" applyAlignment="1">
      <alignment horizontal="center"/>
    </xf>
    <xf numFmtId="41" fontId="10" fillId="0" borderId="4" xfId="1" applyFont="1" applyBorder="1" applyAlignment="1">
      <alignment horizontal="center"/>
    </xf>
    <xf numFmtId="165" fontId="10" fillId="0" borderId="4" xfId="0" applyNumberFormat="1" applyFont="1" applyBorder="1" applyAlignment="1">
      <alignment horizontal="left"/>
    </xf>
    <xf numFmtId="0" fontId="10" fillId="0" borderId="0" xfId="0" applyFont="1" applyAlignment="1">
      <alignment horizontal="left"/>
    </xf>
    <xf numFmtId="14" fontId="10" fillId="0" borderId="15" xfId="0" applyNumberFormat="1" applyFont="1" applyBorder="1" applyAlignment="1">
      <alignment horizontal="right" vertical="center" wrapText="1"/>
    </xf>
    <xf numFmtId="41" fontId="5" fillId="0" borderId="18" xfId="1" applyFont="1" applyBorder="1" applyAlignment="1">
      <alignment horizontal="left"/>
    </xf>
    <xf numFmtId="41" fontId="5" fillId="0" borderId="15" xfId="1" applyFont="1" applyBorder="1" applyAlignment="1">
      <alignment horizontal="left"/>
    </xf>
    <xf numFmtId="14" fontId="10" fillId="0" borderId="4" xfId="1" applyNumberFormat="1" applyFont="1" applyBorder="1" applyAlignment="1">
      <alignment horizontal="center" vertical="center"/>
    </xf>
    <xf numFmtId="0" fontId="5" fillId="0" borderId="12" xfId="0" applyFont="1" applyBorder="1" applyAlignment="1">
      <alignment vertical="center"/>
    </xf>
    <xf numFmtId="41" fontId="5" fillId="0" borderId="15" xfId="1" applyFont="1" applyBorder="1" applyAlignment="1">
      <alignment horizontal="left" vertical="center"/>
    </xf>
    <xf numFmtId="10" fontId="5" fillId="0" borderId="15" xfId="0" applyNumberFormat="1" applyFont="1" applyBorder="1" applyAlignment="1">
      <alignment horizontal="center" vertical="center"/>
    </xf>
    <xf numFmtId="0" fontId="5" fillId="0" borderId="0" xfId="0" applyFont="1" applyFill="1" applyAlignment="1">
      <alignment wrapText="1"/>
    </xf>
    <xf numFmtId="41" fontId="5" fillId="0" borderId="4" xfId="1" applyFont="1" applyBorder="1"/>
    <xf numFmtId="0" fontId="5" fillId="0" borderId="0" xfId="0" applyFont="1" applyFill="1"/>
    <xf numFmtId="0" fontId="10" fillId="0" borderId="0" xfId="0" applyFont="1" applyFill="1"/>
    <xf numFmtId="41" fontId="5" fillId="0" borderId="0" xfId="1" applyFont="1" applyFill="1"/>
    <xf numFmtId="41" fontId="10" fillId="0" borderId="0" xfId="1" applyFont="1" applyAlignment="1">
      <alignment horizontal="center" vertical="center"/>
    </xf>
    <xf numFmtId="166" fontId="27" fillId="0" borderId="15" xfId="4" applyNumberFormat="1" applyFont="1" applyBorder="1" applyAlignment="1">
      <alignment vertical="center"/>
    </xf>
    <xf numFmtId="166" fontId="26" fillId="0" borderId="21" xfId="4" applyNumberFormat="1" applyFont="1" applyBorder="1" applyAlignment="1">
      <alignment horizontal="center"/>
    </xf>
    <xf numFmtId="166" fontId="26" fillId="0" borderId="15" xfId="4" applyNumberFormat="1" applyFont="1" applyBorder="1" applyAlignment="1">
      <alignment horizontal="right"/>
    </xf>
    <xf numFmtId="41" fontId="27" fillId="0" borderId="14" xfId="1" applyFont="1" applyBorder="1" applyAlignment="1">
      <alignment horizontal="center"/>
    </xf>
    <xf numFmtId="166" fontId="26" fillId="0" borderId="22" xfId="4" applyNumberFormat="1" applyFont="1" applyBorder="1" applyAlignment="1">
      <alignment horizontal="center"/>
    </xf>
    <xf numFmtId="41" fontId="27" fillId="0" borderId="15" xfId="1" applyFont="1" applyBorder="1" applyAlignment="1">
      <alignment horizontal="center"/>
    </xf>
    <xf numFmtId="0" fontId="5" fillId="0" borderId="0" xfId="0" applyFont="1" applyAlignment="1">
      <alignment horizontal="left" wrapText="1"/>
    </xf>
    <xf numFmtId="0" fontId="10" fillId="0" borderId="0" xfId="0" applyFont="1" applyAlignment="1">
      <alignment horizontal="left" wrapText="1"/>
    </xf>
    <xf numFmtId="0" fontId="10"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4" xfId="0" applyFont="1" applyBorder="1" applyAlignment="1">
      <alignment horizontal="center" vertical="center" wrapText="1"/>
    </xf>
    <xf numFmtId="164" fontId="5" fillId="0" borderId="4" xfId="1" applyNumberFormat="1" applyFont="1" applyBorder="1" applyAlignment="1">
      <alignment horizontal="center" vertical="center"/>
    </xf>
    <xf numFmtId="164" fontId="5" fillId="0" borderId="4" xfId="1" applyNumberFormat="1" applyFont="1" applyBorder="1"/>
    <xf numFmtId="164" fontId="5" fillId="2" borderId="4" xfId="1" applyNumberFormat="1" applyFont="1" applyFill="1" applyBorder="1" applyAlignment="1">
      <alignment horizontal="center" vertical="center"/>
    </xf>
    <xf numFmtId="41" fontId="5" fillId="2" borderId="4" xfId="1" applyFont="1" applyFill="1" applyBorder="1" applyAlignment="1">
      <alignment horizontal="center" vertical="center"/>
    </xf>
    <xf numFmtId="10" fontId="15" fillId="0" borderId="4" xfId="2" applyNumberFormat="1" applyFont="1" applyBorder="1" applyAlignment="1">
      <alignment horizontal="center" vertical="center"/>
    </xf>
    <xf numFmtId="164" fontId="5" fillId="0" borderId="3" xfId="1" applyNumberFormat="1" applyFont="1" applyBorder="1"/>
    <xf numFmtId="164" fontId="10" fillId="2" borderId="4" xfId="1" applyNumberFormat="1" applyFont="1" applyFill="1" applyBorder="1" applyAlignment="1">
      <alignment horizontal="center" vertical="center"/>
    </xf>
    <xf numFmtId="9" fontId="10" fillId="0" borderId="4" xfId="2" applyFont="1" applyBorder="1" applyAlignment="1">
      <alignment horizontal="center"/>
    </xf>
    <xf numFmtId="10" fontId="5" fillId="0" borderId="0" xfId="0" applyNumberFormat="1" applyFont="1"/>
    <xf numFmtId="49" fontId="5" fillId="0" borderId="0" xfId="0" applyNumberFormat="1" applyFont="1" applyAlignment="1">
      <alignment horizontal="center" vertical="center"/>
    </xf>
    <xf numFmtId="0" fontId="8" fillId="0" borderId="0" xfId="3" applyFont="1" applyFill="1"/>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3" fontId="5" fillId="0" borderId="20" xfId="0" applyNumberFormat="1" applyFont="1" applyBorder="1" applyAlignment="1">
      <alignment horizontal="left" vertical="center"/>
    </xf>
    <xf numFmtId="3" fontId="5" fillId="0" borderId="20" xfId="0" applyNumberFormat="1" applyFont="1" applyBorder="1" applyAlignment="1">
      <alignment horizontal="right"/>
    </xf>
    <xf numFmtId="0" fontId="5" fillId="0" borderId="0" xfId="0" applyFont="1" applyAlignment="1">
      <alignment horizontal="left"/>
    </xf>
    <xf numFmtId="0" fontId="5" fillId="0" borderId="0" xfId="0" applyFont="1" applyAlignment="1"/>
    <xf numFmtId="0" fontId="5" fillId="0" borderId="22" xfId="0" applyFont="1" applyBorder="1" applyAlignment="1">
      <alignment horizontal="center" vertical="center"/>
    </xf>
    <xf numFmtId="0" fontId="10" fillId="0" borderId="3" xfId="0" applyFont="1" applyBorder="1" applyAlignment="1">
      <alignment horizontal="center"/>
    </xf>
    <xf numFmtId="3" fontId="5" fillId="0" borderId="11" xfId="0" applyNumberFormat="1" applyFont="1" applyBorder="1" applyAlignment="1">
      <alignment horizontal="left" vertical="center"/>
    </xf>
    <xf numFmtId="0" fontId="5" fillId="0" borderId="18" xfId="0" applyFont="1" applyBorder="1" applyAlignment="1">
      <alignment horizontal="center" vertical="center"/>
    </xf>
    <xf numFmtId="41" fontId="27" fillId="0" borderId="20" xfId="1" applyFont="1" applyFill="1" applyBorder="1" applyAlignment="1">
      <alignment horizontal="center"/>
    </xf>
    <xf numFmtId="14" fontId="10" fillId="0" borderId="4" xfId="0" applyNumberFormat="1" applyFont="1" applyBorder="1"/>
    <xf numFmtId="167" fontId="5" fillId="0" borderId="4" xfId="1" applyNumberFormat="1" applyFont="1" applyBorder="1" applyAlignment="1">
      <alignment horizontal="center"/>
    </xf>
    <xf numFmtId="41" fontId="10" fillId="0" borderId="4" xfId="1" applyFont="1" applyBorder="1" applyAlignment="1">
      <alignment horizontal="center" vertical="center" wrapText="1"/>
    </xf>
    <xf numFmtId="41" fontId="10" fillId="0" borderId="0" xfId="1" applyFont="1" applyAlignment="1">
      <alignment horizontal="left"/>
    </xf>
    <xf numFmtId="0" fontId="5" fillId="0" borderId="20" xfId="0" applyFont="1" applyBorder="1" applyAlignment="1">
      <alignment vertical="center"/>
    </xf>
    <xf numFmtId="0" fontId="5" fillId="0" borderId="19" xfId="0" applyFont="1" applyBorder="1"/>
    <xf numFmtId="14" fontId="12" fillId="0" borderId="4" xfId="0" applyNumberFormat="1" applyFont="1" applyBorder="1"/>
    <xf numFmtId="0" fontId="12" fillId="0" borderId="4" xfId="0" applyFont="1" applyBorder="1"/>
    <xf numFmtId="168" fontId="12" fillId="0" borderId="4" xfId="7" applyNumberFormat="1" applyFont="1" applyBorder="1"/>
    <xf numFmtId="14" fontId="5" fillId="0" borderId="4" xfId="0" applyNumberFormat="1" applyFont="1" applyBorder="1"/>
    <xf numFmtId="14" fontId="10" fillId="0" borderId="3" xfId="0" applyNumberFormat="1" applyFont="1" applyBorder="1"/>
    <xf numFmtId="0" fontId="10" fillId="0" borderId="0" xfId="0" applyFont="1" applyBorder="1" applyAlignment="1">
      <alignment horizontal="right"/>
    </xf>
    <xf numFmtId="14" fontId="10" fillId="0" borderId="0" xfId="0" applyNumberFormat="1" applyFont="1" applyBorder="1"/>
    <xf numFmtId="41" fontId="10" fillId="0" borderId="0" xfId="1" applyFont="1" applyBorder="1"/>
    <xf numFmtId="0" fontId="10" fillId="0" borderId="0" xfId="0" applyFont="1" applyBorder="1"/>
    <xf numFmtId="0" fontId="5" fillId="0" borderId="19" xfId="0" applyFont="1" applyBorder="1" applyAlignment="1">
      <alignment horizontal="center" vertical="center"/>
    </xf>
    <xf numFmtId="14" fontId="5" fillId="0" borderId="18" xfId="0" applyNumberFormat="1" applyFont="1" applyBorder="1" applyAlignment="1">
      <alignment horizontal="center"/>
    </xf>
    <xf numFmtId="0" fontId="5" fillId="0" borderId="12" xfId="0" applyFont="1" applyBorder="1" applyAlignment="1">
      <alignment horizontal="center" vertical="center"/>
    </xf>
    <xf numFmtId="14" fontId="5" fillId="0" borderId="20" xfId="0" applyNumberFormat="1" applyFont="1" applyBorder="1" applyAlignment="1">
      <alignment horizontal="center"/>
    </xf>
    <xf numFmtId="14" fontId="5" fillId="0" borderId="15" xfId="0" applyNumberFormat="1" applyFont="1" applyBorder="1" applyAlignment="1">
      <alignment horizontal="center"/>
    </xf>
    <xf numFmtId="0" fontId="10" fillId="0" borderId="23" xfId="0" applyFont="1" applyBorder="1" applyAlignment="1">
      <alignment horizontal="center" vertical="center" wrapText="1"/>
    </xf>
    <xf numFmtId="168" fontId="5" fillId="0" borderId="18" xfId="7" applyNumberFormat="1" applyFont="1" applyBorder="1"/>
    <xf numFmtId="168" fontId="5" fillId="0" borderId="20" xfId="7" applyNumberFormat="1" applyFont="1" applyBorder="1"/>
    <xf numFmtId="14" fontId="5" fillId="0" borderId="15" xfId="0" applyNumberFormat="1" applyFont="1" applyBorder="1"/>
    <xf numFmtId="4" fontId="5" fillId="0" borderId="15" xfId="0" applyNumberFormat="1" applyFont="1" applyBorder="1"/>
    <xf numFmtId="0" fontId="5" fillId="0" borderId="22" xfId="0" applyFont="1" applyBorder="1"/>
    <xf numFmtId="3" fontId="5" fillId="0" borderId="14" xfId="0" applyNumberFormat="1" applyFont="1" applyBorder="1" applyAlignment="1">
      <alignment horizontal="left" vertical="center"/>
    </xf>
    <xf numFmtId="0" fontId="15" fillId="0" borderId="20" xfId="8" applyFont="1" applyBorder="1" applyAlignment="1"/>
    <xf numFmtId="0" fontId="14" fillId="0" borderId="18" xfId="4" applyFont="1" applyFill="1" applyBorder="1" applyAlignment="1">
      <alignment horizontal="center" vertical="center"/>
    </xf>
    <xf numFmtId="17" fontId="14" fillId="0" borderId="4" xfId="4" applyNumberFormat="1" applyFont="1" applyFill="1" applyBorder="1" applyAlignment="1">
      <alignment horizontal="center" vertical="center"/>
    </xf>
    <xf numFmtId="0" fontId="14" fillId="0" borderId="4" xfId="4" applyFont="1" applyFill="1" applyBorder="1" applyAlignment="1">
      <alignment horizontal="center" vertical="center"/>
    </xf>
    <xf numFmtId="41" fontId="15" fillId="0" borderId="0" xfId="1" applyFont="1" applyFill="1" applyAlignment="1">
      <alignment vertical="center"/>
    </xf>
    <xf numFmtId="41" fontId="15" fillId="0" borderId="18" xfId="1" applyFont="1" applyFill="1" applyBorder="1" applyAlignment="1">
      <alignment vertical="center"/>
    </xf>
    <xf numFmtId="0" fontId="15" fillId="0" borderId="18" xfId="4" applyFont="1" applyFill="1" applyBorder="1" applyAlignment="1">
      <alignment vertical="center"/>
    </xf>
    <xf numFmtId="168" fontId="15" fillId="0" borderId="15" xfId="1" applyNumberFormat="1" applyFont="1" applyFill="1" applyBorder="1" applyAlignment="1">
      <alignment vertical="center"/>
    </xf>
    <xf numFmtId="41" fontId="5" fillId="0" borderId="12" xfId="1" applyFont="1" applyBorder="1"/>
    <xf numFmtId="41" fontId="15" fillId="0" borderId="18" xfId="1" quotePrefix="1" applyFont="1" applyFill="1" applyBorder="1" applyAlignment="1" applyProtection="1">
      <alignment vertical="center"/>
    </xf>
    <xf numFmtId="41" fontId="15" fillId="0" borderId="20" xfId="1" quotePrefix="1" applyFont="1" applyFill="1" applyBorder="1" applyAlignment="1" applyProtection="1">
      <alignment vertical="center"/>
    </xf>
    <xf numFmtId="41" fontId="15" fillId="0" borderId="15" xfId="1" quotePrefix="1" applyFont="1" applyFill="1" applyBorder="1" applyAlignment="1" applyProtection="1">
      <alignment vertical="center"/>
    </xf>
    <xf numFmtId="41" fontId="15" fillId="0" borderId="18" xfId="1" quotePrefix="1" applyFont="1" applyFill="1" applyBorder="1" applyAlignment="1" applyProtection="1">
      <alignment horizontal="left" vertical="center"/>
    </xf>
    <xf numFmtId="41" fontId="15" fillId="0" borderId="20" xfId="1" quotePrefix="1" applyFont="1" applyFill="1" applyBorder="1" applyAlignment="1" applyProtection="1">
      <alignment horizontal="left" vertical="center"/>
    </xf>
    <xf numFmtId="41" fontId="15" fillId="0" borderId="20" xfId="1" applyFont="1" applyFill="1" applyBorder="1" applyAlignment="1" applyProtection="1">
      <alignment horizontal="left" vertical="center"/>
    </xf>
    <xf numFmtId="41" fontId="5" fillId="0" borderId="20" xfId="9" applyFont="1" applyBorder="1"/>
    <xf numFmtId="41" fontId="5" fillId="0" borderId="11" xfId="1" applyFont="1" applyBorder="1"/>
    <xf numFmtId="41" fontId="5" fillId="0" borderId="18" xfId="1" applyFont="1" applyFill="1" applyBorder="1"/>
    <xf numFmtId="41" fontId="5" fillId="0" borderId="15" xfId="1" applyFont="1" applyBorder="1" applyAlignment="1">
      <alignment horizontal="center" vertical="center"/>
    </xf>
    <xf numFmtId="165" fontId="13" fillId="0" borderId="4" xfId="0" applyNumberFormat="1" applyFont="1" applyBorder="1" applyAlignment="1">
      <alignment horizontal="center"/>
    </xf>
    <xf numFmtId="0" fontId="15" fillId="0" borderId="0" xfId="4" applyFont="1" applyFill="1" applyAlignment="1">
      <alignment vertical="center"/>
    </xf>
    <xf numFmtId="0" fontId="14" fillId="0" borderId="4" xfId="4" applyFont="1" applyFill="1" applyBorder="1" applyAlignment="1">
      <alignment vertical="center"/>
    </xf>
    <xf numFmtId="17" fontId="26" fillId="0" borderId="4" xfId="4" quotePrefix="1" applyNumberFormat="1" applyFont="1" applyFill="1" applyBorder="1" applyAlignment="1">
      <alignment horizontal="center" vertical="center"/>
    </xf>
    <xf numFmtId="166" fontId="26" fillId="0" borderId="4" xfId="4" applyNumberFormat="1" applyFont="1" applyFill="1" applyBorder="1" applyAlignment="1">
      <alignment vertical="center"/>
    </xf>
    <xf numFmtId="166" fontId="26" fillId="0" borderId="4" xfId="4" applyNumberFormat="1" applyFont="1" applyFill="1" applyBorder="1" applyAlignment="1">
      <alignment horizontal="center"/>
    </xf>
    <xf numFmtId="41" fontId="26" fillId="0" borderId="4" xfId="1" applyFont="1" applyFill="1" applyBorder="1" applyAlignment="1">
      <alignment horizontal="center"/>
    </xf>
    <xf numFmtId="166" fontId="26" fillId="0" borderId="18" xfId="4" applyNumberFormat="1" applyFont="1" applyFill="1" applyBorder="1" applyAlignment="1">
      <alignment vertical="center"/>
    </xf>
    <xf numFmtId="166" fontId="26" fillId="0" borderId="18" xfId="4" applyNumberFormat="1" applyFont="1" applyFill="1" applyBorder="1" applyAlignment="1">
      <alignment horizontal="center"/>
    </xf>
    <xf numFmtId="41" fontId="26" fillId="0" borderId="18" xfId="1" applyFont="1" applyFill="1" applyBorder="1" applyAlignment="1">
      <alignment horizontal="center"/>
    </xf>
    <xf numFmtId="166" fontId="26" fillId="0" borderId="0" xfId="4" applyNumberFormat="1" applyFont="1" applyFill="1" applyAlignment="1">
      <alignment horizontal="center"/>
    </xf>
    <xf numFmtId="41" fontId="26" fillId="0" borderId="11" xfId="1" applyFont="1" applyFill="1" applyBorder="1" applyAlignment="1">
      <alignment horizontal="center"/>
    </xf>
    <xf numFmtId="166" fontId="26" fillId="0" borderId="19" xfId="4" applyNumberFormat="1" applyFont="1" applyFill="1" applyBorder="1" applyAlignment="1">
      <alignment horizontal="center"/>
    </xf>
    <xf numFmtId="166" fontId="27" fillId="0" borderId="20" xfId="4" applyNumberFormat="1" applyFont="1" applyFill="1" applyBorder="1" applyAlignment="1">
      <alignment vertical="center"/>
    </xf>
    <xf numFmtId="41" fontId="27" fillId="0" borderId="11" xfId="1" applyFont="1" applyFill="1" applyBorder="1" applyAlignment="1">
      <alignment horizontal="center"/>
    </xf>
    <xf numFmtId="166" fontId="26" fillId="0" borderId="12" xfId="4" applyNumberFormat="1" applyFont="1" applyFill="1" applyBorder="1" applyAlignment="1">
      <alignment horizontal="center"/>
    </xf>
    <xf numFmtId="0" fontId="5" fillId="0" borderId="20" xfId="0" applyFont="1" applyFill="1" applyBorder="1"/>
    <xf numFmtId="166" fontId="26" fillId="0" borderId="20" xfId="4" applyNumberFormat="1" applyFont="1" applyFill="1" applyBorder="1" applyAlignment="1">
      <alignment vertical="center"/>
    </xf>
    <xf numFmtId="41" fontId="26" fillId="0" borderId="20" xfId="1" applyFont="1" applyFill="1" applyBorder="1" applyAlignment="1">
      <alignment horizontal="center"/>
    </xf>
    <xf numFmtId="166" fontId="26" fillId="0" borderId="20" xfId="4" applyNumberFormat="1" applyFont="1" applyFill="1" applyBorder="1" applyAlignment="1">
      <alignment horizontal="right"/>
    </xf>
    <xf numFmtId="41" fontId="26" fillId="0" borderId="20" xfId="1" applyFont="1" applyFill="1" applyBorder="1" applyAlignment="1">
      <alignment horizontal="right"/>
    </xf>
    <xf numFmtId="0" fontId="14" fillId="0" borderId="19" xfId="0" applyFont="1" applyFill="1" applyBorder="1" applyAlignment="1">
      <alignment vertical="center" wrapText="1"/>
    </xf>
    <xf numFmtId="14" fontId="14" fillId="0" borderId="4" xfId="0" applyNumberFormat="1" applyFont="1" applyFill="1" applyBorder="1" applyAlignment="1">
      <alignment horizontal="center" vertical="center" wrapText="1"/>
    </xf>
    <xf numFmtId="0" fontId="15" fillId="0" borderId="19" xfId="0" applyFont="1" applyFill="1" applyBorder="1"/>
    <xf numFmtId="41" fontId="15" fillId="0" borderId="20" xfId="1" applyFont="1" applyFill="1" applyBorder="1" applyAlignment="1">
      <alignment horizontal="center"/>
    </xf>
    <xf numFmtId="41" fontId="15" fillId="0" borderId="23" xfId="1" applyFont="1" applyFill="1" applyBorder="1" applyAlignment="1">
      <alignment horizontal="center"/>
    </xf>
    <xf numFmtId="0" fontId="15" fillId="0" borderId="20" xfId="0" applyFont="1" applyFill="1" applyBorder="1"/>
    <xf numFmtId="41" fontId="14" fillId="0" borderId="4" xfId="1" applyFont="1" applyFill="1" applyBorder="1" applyAlignment="1">
      <alignment horizontal="center" vertical="center"/>
    </xf>
    <xf numFmtId="0" fontId="15" fillId="0" borderId="15" xfId="4" applyFont="1" applyFill="1" applyBorder="1" applyAlignment="1">
      <alignment vertical="center"/>
    </xf>
    <xf numFmtId="41" fontId="15" fillId="0" borderId="23" xfId="1" applyFont="1" applyFill="1" applyBorder="1" applyAlignment="1">
      <alignment vertical="center"/>
    </xf>
    <xf numFmtId="168" fontId="15" fillId="0" borderId="14" xfId="1" applyNumberFormat="1" applyFont="1" applyFill="1" applyBorder="1" applyAlignment="1">
      <alignment vertical="center"/>
    </xf>
    <xf numFmtId="0" fontId="14" fillId="0" borderId="4" xfId="0" applyFont="1" applyFill="1" applyBorder="1" applyAlignment="1"/>
    <xf numFmtId="164" fontId="5" fillId="0" borderId="3" xfId="1" applyNumberFormat="1" applyFont="1" applyBorder="1" applyAlignment="1">
      <alignment horizontal="center" vertical="center"/>
    </xf>
    <xf numFmtId="41" fontId="5" fillId="0" borderId="20" xfId="1" applyFont="1" applyBorder="1" applyAlignment="1"/>
    <xf numFmtId="0" fontId="14" fillId="0" borderId="4" xfId="8" applyFont="1" applyBorder="1" applyAlignment="1"/>
    <xf numFmtId="0" fontId="5" fillId="6" borderId="19"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0" xfId="0" applyFont="1" applyFill="1" applyAlignment="1">
      <alignment horizontal="center" vertical="center"/>
    </xf>
    <xf numFmtId="0" fontId="5" fillId="6" borderId="1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14" xfId="0" applyFont="1" applyFill="1" applyBorder="1" applyAlignment="1">
      <alignment horizontal="center" vertical="center"/>
    </xf>
    <xf numFmtId="0" fontId="10" fillId="5" borderId="0" xfId="0" applyFont="1" applyFill="1" applyAlignment="1">
      <alignment horizontal="center"/>
    </xf>
    <xf numFmtId="0" fontId="9" fillId="0" borderId="0" xfId="0" applyFont="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wrapText="1"/>
    </xf>
    <xf numFmtId="164" fontId="10" fillId="0" borderId="1" xfId="1" applyNumberFormat="1" applyFont="1" applyBorder="1" applyAlignment="1">
      <alignment horizontal="center"/>
    </xf>
    <xf numFmtId="164" fontId="10" fillId="0" borderId="3" xfId="1" applyNumberFormat="1" applyFont="1" applyBorder="1" applyAlignment="1">
      <alignment horizontal="center"/>
    </xf>
    <xf numFmtId="0" fontId="10" fillId="0" borderId="0" xfId="0" applyFont="1" applyAlignment="1">
      <alignment horizontal="left" vertical="center" wrapText="1"/>
    </xf>
    <xf numFmtId="0" fontId="8" fillId="0" borderId="5" xfId="3" applyFont="1" applyBorder="1" applyAlignment="1">
      <alignment horizontal="left"/>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5" fillId="0" borderId="0" xfId="4" applyFont="1" applyAlignment="1">
      <alignment horizontal="center"/>
    </xf>
    <xf numFmtId="0" fontId="26" fillId="0" borderId="0" xfId="4" applyFont="1" applyAlignment="1">
      <alignment horizontal="center"/>
    </xf>
    <xf numFmtId="0" fontId="26" fillId="0" borderId="0" xfId="4" applyFont="1" applyFill="1" applyAlignment="1">
      <alignment horizontal="center"/>
    </xf>
    <xf numFmtId="0" fontId="24" fillId="0" borderId="0" xfId="0" applyFont="1" applyAlignment="1">
      <alignment horizontal="left"/>
    </xf>
    <xf numFmtId="0" fontId="8" fillId="0" borderId="18" xfId="3" applyFont="1" applyFill="1" applyBorder="1" applyAlignment="1">
      <alignment horizontal="center" vertical="center"/>
    </xf>
    <xf numFmtId="0" fontId="8" fillId="0" borderId="15" xfId="3" applyFont="1" applyFill="1" applyBorder="1" applyAlignment="1">
      <alignment horizontal="center"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0" xfId="0" applyFont="1" applyAlignment="1">
      <alignment horizontal="left" wrapText="1"/>
    </xf>
    <xf numFmtId="0" fontId="5" fillId="0" borderId="0" xfId="0" applyFont="1" applyAlignment="1">
      <alignment horizontal="left" vertical="center" wrapText="1"/>
    </xf>
    <xf numFmtId="0" fontId="5" fillId="0" borderId="0" xfId="0" applyFont="1" applyFill="1" applyAlignment="1">
      <alignment horizontal="left" wrapText="1"/>
    </xf>
    <xf numFmtId="0" fontId="5" fillId="0" borderId="0" xfId="0" applyFont="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10" fillId="0" borderId="0" xfId="0" applyFont="1" applyAlignment="1">
      <alignment horizontal="center" vertical="center"/>
    </xf>
    <xf numFmtId="0" fontId="15" fillId="0" borderId="0" xfId="0" applyFont="1" applyFill="1" applyAlignment="1">
      <alignment horizontal="left"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0" xfId="0" applyFont="1" applyFill="1" applyAlignment="1">
      <alignment horizontal="left" vertical="center"/>
    </xf>
    <xf numFmtId="0" fontId="10" fillId="0" borderId="1" xfId="0" applyFont="1" applyBorder="1" applyAlignment="1">
      <alignment horizontal="right"/>
    </xf>
    <xf numFmtId="0" fontId="10" fillId="0" borderId="2" xfId="0" applyFont="1" applyBorder="1" applyAlignment="1">
      <alignment horizontal="right"/>
    </xf>
    <xf numFmtId="0" fontId="10" fillId="0" borderId="22" xfId="0" applyFont="1" applyBorder="1" applyAlignment="1">
      <alignment horizontal="center"/>
    </xf>
    <xf numFmtId="3" fontId="10" fillId="0" borderId="1"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41" fontId="15" fillId="0" borderId="18" xfId="1" applyFont="1" applyBorder="1" applyAlignment="1">
      <alignment horizontal="center" vertical="center"/>
    </xf>
    <xf numFmtId="41" fontId="15" fillId="0" borderId="15" xfId="1"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0" xfId="0" applyFont="1" applyBorder="1" applyAlignment="1">
      <alignment horizontal="center" vertical="center"/>
    </xf>
    <xf numFmtId="0" fontId="15" fillId="0" borderId="15" xfId="0" applyFont="1" applyBorder="1" applyAlignment="1">
      <alignment horizontal="center" vertical="center"/>
    </xf>
    <xf numFmtId="0" fontId="5" fillId="0" borderId="22" xfId="0" applyFont="1" applyBorder="1" applyAlignment="1">
      <alignment horizontal="left" vertical="center"/>
    </xf>
    <xf numFmtId="0" fontId="5" fillId="0" borderId="14" xfId="0" applyFont="1" applyBorder="1" applyAlignment="1">
      <alignment horizontal="left" vertical="center"/>
    </xf>
    <xf numFmtId="3" fontId="5" fillId="0" borderId="19" xfId="0" applyNumberFormat="1" applyFont="1" applyBorder="1" applyAlignment="1">
      <alignment horizontal="left" vertical="center"/>
    </xf>
    <xf numFmtId="3" fontId="5" fillId="0" borderId="23" xfId="0" applyNumberFormat="1" applyFont="1" applyBorder="1" applyAlignment="1">
      <alignment horizontal="left" vertical="center"/>
    </xf>
    <xf numFmtId="3" fontId="5" fillId="0" borderId="12" xfId="0" applyNumberFormat="1" applyFont="1" applyBorder="1" applyAlignment="1">
      <alignment horizontal="left" vertical="center"/>
    </xf>
    <xf numFmtId="3" fontId="5" fillId="0" borderId="11" xfId="0" applyNumberFormat="1" applyFont="1" applyBorder="1" applyAlignment="1">
      <alignment horizontal="left" vertical="center"/>
    </xf>
    <xf numFmtId="17" fontId="13" fillId="0" borderId="1" xfId="0" applyNumberFormat="1" applyFont="1" applyBorder="1" applyAlignment="1">
      <alignment horizontal="center" vertical="center" wrapText="1"/>
    </xf>
    <xf numFmtId="17" fontId="13" fillId="0" borderId="3" xfId="0" applyNumberFormat="1" applyFont="1" applyBorder="1" applyAlignment="1">
      <alignment horizontal="center" vertical="center" wrapText="1"/>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14" fillId="0" borderId="0" xfId="0" applyFont="1" applyAlignment="1">
      <alignment horizontal="left" wrapText="1"/>
    </xf>
    <xf numFmtId="0" fontId="15" fillId="0" borderId="0" xfId="0" applyFont="1" applyAlignment="1">
      <alignment horizontal="left" wrapText="1"/>
    </xf>
    <xf numFmtId="0" fontId="10" fillId="0" borderId="0" xfId="0" applyFont="1" applyFill="1" applyAlignment="1">
      <alignment horizontal="left" vertical="center" wrapText="1"/>
    </xf>
    <xf numFmtId="0" fontId="15" fillId="0" borderId="0" xfId="0" applyFont="1" applyAlignment="1">
      <alignment horizontal="left"/>
    </xf>
    <xf numFmtId="0" fontId="20"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wrapText="1"/>
    </xf>
    <xf numFmtId="0" fontId="9" fillId="0" borderId="0" xfId="0" applyFont="1" applyAlignment="1">
      <alignment horizontal="left" vertical="center" wrapText="1"/>
    </xf>
    <xf numFmtId="0" fontId="10" fillId="0" borderId="0" xfId="0" applyFont="1" applyFill="1" applyAlignment="1">
      <alignment horizontal="left" wrapText="1"/>
    </xf>
    <xf numFmtId="0" fontId="17" fillId="0" borderId="0" xfId="0" applyFont="1" applyAlignment="1">
      <alignment horizontal="center" vertical="center"/>
    </xf>
    <xf numFmtId="0" fontId="9" fillId="0" borderId="0" xfId="0" applyFont="1" applyAlignment="1">
      <alignment horizontal="center"/>
    </xf>
    <xf numFmtId="0" fontId="13" fillId="0" borderId="0" xfId="4" applyFont="1" applyAlignment="1">
      <alignment horizontal="center" vertical="top"/>
    </xf>
    <xf numFmtId="0" fontId="13" fillId="0" borderId="0" xfId="4" applyFont="1" applyAlignment="1">
      <alignment horizontal="center" vertical="center"/>
    </xf>
    <xf numFmtId="0" fontId="14" fillId="4" borderId="18" xfId="6" applyFont="1" applyFill="1" applyBorder="1" applyAlignment="1">
      <alignment horizontal="center" vertical="center"/>
    </xf>
    <xf numFmtId="0" fontId="14" fillId="4" borderId="15" xfId="6" applyFont="1" applyFill="1" applyBorder="1" applyAlignment="1">
      <alignment horizontal="center" vertical="center"/>
    </xf>
    <xf numFmtId="0" fontId="14" fillId="4" borderId="4" xfId="6" applyFont="1" applyFill="1" applyBorder="1" applyAlignment="1">
      <alignment horizontal="center" vertical="center"/>
    </xf>
    <xf numFmtId="0" fontId="14" fillId="0" borderId="18" xfId="6" applyFont="1" applyBorder="1" applyAlignment="1">
      <alignment horizontal="center" vertical="center" wrapText="1"/>
    </xf>
    <xf numFmtId="0" fontId="14" fillId="0" borderId="15" xfId="6" applyFont="1" applyBorder="1" applyAlignment="1">
      <alignment horizontal="center" vertical="center" wrapText="1"/>
    </xf>
    <xf numFmtId="0" fontId="11" fillId="0" borderId="0" xfId="0" applyFont="1" applyAlignment="1">
      <alignment horizontal="center"/>
    </xf>
    <xf numFmtId="0" fontId="11" fillId="3" borderId="17"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3" borderId="8" xfId="0" applyFont="1" applyFill="1" applyBorder="1" applyAlignment="1">
      <alignment horizontal="center"/>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0" borderId="26" xfId="0" applyFont="1" applyFill="1" applyBorder="1" applyAlignment="1">
      <alignment horizontal="center"/>
    </xf>
    <xf numFmtId="0" fontId="11" fillId="0" borderId="27" xfId="0" applyFont="1" applyFill="1" applyBorder="1" applyAlignment="1">
      <alignment horizontal="center"/>
    </xf>
    <xf numFmtId="0" fontId="11" fillId="0" borderId="28" xfId="0" applyFont="1" applyFill="1" applyBorder="1" applyAlignment="1">
      <alignment horizont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0" fillId="0" borderId="0"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5" xfId="0" applyFont="1" applyBorder="1" applyAlignment="1">
      <alignment horizontal="left" vertical="center" wrapText="1"/>
    </xf>
    <xf numFmtId="0" fontId="20" fillId="0" borderId="23"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5" fillId="0" borderId="22" xfId="0" applyFont="1" applyFill="1" applyBorder="1"/>
    <xf numFmtId="41" fontId="5" fillId="0" borderId="21" xfId="1" applyFont="1" applyBorder="1" applyAlignment="1">
      <alignment horizontal="center" vertical="center" wrapText="1"/>
    </xf>
    <xf numFmtId="0" fontId="5" fillId="0" borderId="21" xfId="0" applyFont="1" applyBorder="1" applyAlignment="1">
      <alignment horizontal="center" vertical="center" wrapText="1"/>
    </xf>
    <xf numFmtId="10" fontId="5" fillId="0" borderId="14" xfId="2" applyNumberFormat="1" applyFont="1" applyBorder="1" applyAlignment="1">
      <alignment horizontal="center" vertical="center" wrapText="1"/>
    </xf>
    <xf numFmtId="0" fontId="5" fillId="0" borderId="20" xfId="0" applyFont="1" applyBorder="1" applyAlignment="1">
      <alignment horizontal="left"/>
    </xf>
  </cellXfs>
  <cellStyles count="10">
    <cellStyle name="Hipervínculo" xfId="3" builtinId="8"/>
    <cellStyle name="Millares [0]" xfId="1" builtinId="6"/>
    <cellStyle name="Millares [0] 2" xfId="7" xr:uid="{4FCDB0C6-56ED-4598-9F9B-48FFB5487A21}"/>
    <cellStyle name="Millares [0] 3" xfId="9" xr:uid="{94A78992-E17E-45AF-A370-3C611600E824}"/>
    <cellStyle name="Normal" xfId="0" builtinId="0"/>
    <cellStyle name="Normal 11" xfId="8" xr:uid="{B2D3326E-D752-4163-B813-ABF9E6EFD4C9}"/>
    <cellStyle name="Normal_cuadro de AF NG" xfId="6" xr:uid="{2B709FB0-37AC-4483-9487-02FAB74F2A83}"/>
    <cellStyle name="Normal_FANAPEL INDIVIDUAL" xfId="5" xr:uid="{731C2E61-5A80-464C-AAEE-5C6BB68C6DEA}"/>
    <cellStyle name="Normal_informe1" xfId="4" xr:uid="{7CDC33FF-7B8F-48E6-B7AD-0CDDAD609DE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EFF2020MARZOAUX.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pia%20de%20Armado%20Informe%20Brightstar%20Py%20-%20prelimin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ES"/>
      <sheetName val="AUX CAJA"/>
      <sheetName val="AUX BBGG"/>
      <sheetName val="BBGG"/>
      <sheetName val="EERR"/>
      <sheetName val="FLUJO"/>
      <sheetName val="DETALLE CAPITAL"/>
      <sheetName val="EVPN"/>
      <sheetName val="NOTA 2.1"/>
      <sheetName val="5.A"/>
      <sheetName val="5.B"/>
      <sheetName val="5.C"/>
      <sheetName val="5.D"/>
      <sheetName val="5.E"/>
      <sheetName val="5.F"/>
      <sheetName val="5.F.1"/>
      <sheetName val="5.F.2"/>
      <sheetName val="5.G"/>
      <sheetName val="5.H"/>
      <sheetName val="5.I"/>
      <sheetName val="5.J"/>
      <sheetName val="5.K"/>
      <sheetName val="5.L"/>
      <sheetName val="5.M"/>
      <sheetName val="5.N"/>
      <sheetName val="5.O"/>
      <sheetName val="5.P"/>
      <sheetName val="5.Q"/>
      <sheetName val="5.R"/>
      <sheetName val="5.S"/>
      <sheetName val="5.T"/>
      <sheetName val="5.U"/>
      <sheetName val="5.V"/>
      <sheetName val="5.W"/>
      <sheetName val="5.X"/>
      <sheetName val="5.Y"/>
      <sheetName val="5.Z"/>
    </sheetNames>
    <sheetDataSet>
      <sheetData sheetId="0"/>
      <sheetData sheetId="1"/>
      <sheetData sheetId="2">
        <row r="232">
          <cell r="C232">
            <v>1409843970</v>
          </cell>
        </row>
      </sheetData>
      <sheetData sheetId="3"/>
      <sheetData sheetId="4">
        <row r="78">
          <cell r="E78">
            <v>1137024181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mparativo"/>
      <sheetName val="ESP"/>
      <sheetName val="ER"/>
      <sheetName val="EOAF"/>
      <sheetName val="EEP"/>
      <sheetName val="EEAF"/>
      <sheetName val="1"/>
      <sheetName val="2"/>
      <sheetName val="3"/>
      <sheetName val="4"/>
      <sheetName val="5"/>
      <sheetName val="6"/>
      <sheetName val="7"/>
      <sheetName val="8"/>
      <sheetName val="9"/>
      <sheetName val="10"/>
    </sheetNames>
    <sheetDataSet>
      <sheetData sheetId="0" refreshError="1"/>
      <sheetData sheetId="1" refreshError="1"/>
      <sheetData sheetId="2" refreshError="1"/>
      <sheetData sheetId="3" refreshError="1"/>
      <sheetData sheetId="4" refreshError="1"/>
      <sheetData sheetId="5" refreshError="1">
        <row r="10">
          <cell r="A10" t="str">
            <v>(En Guaraníes)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24"/>
  <sheetViews>
    <sheetView showGridLines="0" topLeftCell="A2" zoomScaleNormal="100" workbookViewId="0">
      <selection activeCell="B2" sqref="B2:F24"/>
    </sheetView>
  </sheetViews>
  <sheetFormatPr baseColWidth="10" defaultColWidth="9.140625" defaultRowHeight="15" x14ac:dyDescent="0.25"/>
  <cols>
    <col min="1" max="1" width="2.85546875" style="1" customWidth="1"/>
    <col min="2" max="6" width="23" style="1" customWidth="1"/>
    <col min="7" max="7" width="2.85546875" style="1" customWidth="1"/>
    <col min="8" max="16384" width="9.140625" style="1"/>
  </cols>
  <sheetData>
    <row r="2" spans="2:6" x14ac:dyDescent="0.25">
      <c r="B2" s="352" t="s">
        <v>589</v>
      </c>
      <c r="C2" s="353"/>
      <c r="D2" s="353"/>
      <c r="E2" s="353"/>
      <c r="F2" s="354"/>
    </row>
    <row r="3" spans="2:6" x14ac:dyDescent="0.25">
      <c r="B3" s="355"/>
      <c r="C3" s="356"/>
      <c r="D3" s="356"/>
      <c r="E3" s="356"/>
      <c r="F3" s="357"/>
    </row>
    <row r="4" spans="2:6" x14ac:dyDescent="0.25">
      <c r="B4" s="355"/>
      <c r="C4" s="356"/>
      <c r="D4" s="356"/>
      <c r="E4" s="356"/>
      <c r="F4" s="357"/>
    </row>
    <row r="5" spans="2:6" x14ac:dyDescent="0.25">
      <c r="B5" s="355"/>
      <c r="C5" s="356"/>
      <c r="D5" s="356"/>
      <c r="E5" s="356"/>
      <c r="F5" s="357"/>
    </row>
    <row r="6" spans="2:6" x14ac:dyDescent="0.25">
      <c r="B6" s="355"/>
      <c r="C6" s="356"/>
      <c r="D6" s="356"/>
      <c r="E6" s="356"/>
      <c r="F6" s="357"/>
    </row>
    <row r="7" spans="2:6" x14ac:dyDescent="0.25">
      <c r="B7" s="355"/>
      <c r="C7" s="356"/>
      <c r="D7" s="356"/>
      <c r="E7" s="356"/>
      <c r="F7" s="357"/>
    </row>
    <row r="8" spans="2:6" x14ac:dyDescent="0.25">
      <c r="B8" s="355"/>
      <c r="C8" s="356"/>
      <c r="D8" s="356"/>
      <c r="E8" s="356"/>
      <c r="F8" s="357"/>
    </row>
    <row r="9" spans="2:6" x14ac:dyDescent="0.25">
      <c r="B9" s="355"/>
      <c r="C9" s="356"/>
      <c r="D9" s="356"/>
      <c r="E9" s="356"/>
      <c r="F9" s="357"/>
    </row>
    <row r="10" spans="2:6" x14ac:dyDescent="0.25">
      <c r="B10" s="355"/>
      <c r="C10" s="356"/>
      <c r="D10" s="356"/>
      <c r="E10" s="356"/>
      <c r="F10" s="357"/>
    </row>
    <row r="11" spans="2:6" x14ac:dyDescent="0.25">
      <c r="B11" s="355"/>
      <c r="C11" s="356"/>
      <c r="D11" s="356"/>
      <c r="E11" s="356"/>
      <c r="F11" s="357"/>
    </row>
    <row r="12" spans="2:6" x14ac:dyDescent="0.25">
      <c r="B12" s="355"/>
      <c r="C12" s="356"/>
      <c r="D12" s="356"/>
      <c r="E12" s="356"/>
      <c r="F12" s="357"/>
    </row>
    <row r="13" spans="2:6" x14ac:dyDescent="0.25">
      <c r="B13" s="355"/>
      <c r="C13" s="356"/>
      <c r="D13" s="356"/>
      <c r="E13" s="356"/>
      <c r="F13" s="357"/>
    </row>
    <row r="14" spans="2:6" x14ac:dyDescent="0.25">
      <c r="B14" s="355"/>
      <c r="C14" s="356"/>
      <c r="D14" s="356"/>
      <c r="E14" s="356"/>
      <c r="F14" s="357"/>
    </row>
    <row r="15" spans="2:6" x14ac:dyDescent="0.25">
      <c r="B15" s="355"/>
      <c r="C15" s="356"/>
      <c r="D15" s="356"/>
      <c r="E15" s="356"/>
      <c r="F15" s="357"/>
    </row>
    <row r="16" spans="2:6" x14ac:dyDescent="0.25">
      <c r="B16" s="355"/>
      <c r="C16" s="356"/>
      <c r="D16" s="356"/>
      <c r="E16" s="356"/>
      <c r="F16" s="357"/>
    </row>
    <row r="17" spans="2:6" x14ac:dyDescent="0.25">
      <c r="B17" s="355"/>
      <c r="C17" s="356"/>
      <c r="D17" s="356"/>
      <c r="E17" s="356"/>
      <c r="F17" s="357"/>
    </row>
    <row r="18" spans="2:6" x14ac:dyDescent="0.25">
      <c r="B18" s="355"/>
      <c r="C18" s="356"/>
      <c r="D18" s="356"/>
      <c r="E18" s="356"/>
      <c r="F18" s="357"/>
    </row>
    <row r="19" spans="2:6" x14ac:dyDescent="0.25">
      <c r="B19" s="355"/>
      <c r="C19" s="356"/>
      <c r="D19" s="356"/>
      <c r="E19" s="356"/>
      <c r="F19" s="357"/>
    </row>
    <row r="20" spans="2:6" x14ac:dyDescent="0.25">
      <c r="B20" s="355"/>
      <c r="C20" s="356"/>
      <c r="D20" s="356"/>
      <c r="E20" s="356"/>
      <c r="F20" s="357"/>
    </row>
    <row r="21" spans="2:6" x14ac:dyDescent="0.25">
      <c r="B21" s="355"/>
      <c r="C21" s="356"/>
      <c r="D21" s="356"/>
      <c r="E21" s="356"/>
      <c r="F21" s="357"/>
    </row>
    <row r="22" spans="2:6" x14ac:dyDescent="0.25">
      <c r="B22" s="355"/>
      <c r="C22" s="356"/>
      <c r="D22" s="356"/>
      <c r="E22" s="356"/>
      <c r="F22" s="357"/>
    </row>
    <row r="23" spans="2:6" x14ac:dyDescent="0.25">
      <c r="B23" s="355"/>
      <c r="C23" s="356"/>
      <c r="D23" s="356"/>
      <c r="E23" s="356"/>
      <c r="F23" s="357"/>
    </row>
    <row r="24" spans="2:6" x14ac:dyDescent="0.25">
      <c r="B24" s="358"/>
      <c r="C24" s="359"/>
      <c r="D24" s="359"/>
      <c r="E24" s="359"/>
      <c r="F24" s="360"/>
    </row>
  </sheetData>
  <mergeCells count="1">
    <mergeCell ref="B2:F24"/>
  </mergeCells>
  <pageMargins left="0.25" right="0.25" top="0.75" bottom="0.75" header="0.3" footer="0.3"/>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D4A06-AD8D-413C-BDEB-528289208AE8}">
  <sheetPr>
    <pageSetUpPr fitToPage="1"/>
  </sheetPr>
  <dimension ref="A1:H41"/>
  <sheetViews>
    <sheetView showGridLines="0" topLeftCell="A24" zoomScaleNormal="100" workbookViewId="0">
      <selection activeCell="B42" sqref="B42"/>
    </sheetView>
  </sheetViews>
  <sheetFormatPr baseColWidth="10" defaultColWidth="11.42578125" defaultRowHeight="15" x14ac:dyDescent="0.25"/>
  <cols>
    <col min="1" max="1" width="2.85546875" style="1" customWidth="1"/>
    <col min="2" max="2" width="38" style="1" customWidth="1"/>
    <col min="3" max="4" width="17.5703125" style="1" customWidth="1"/>
    <col min="5" max="5" width="16.140625" style="1" customWidth="1"/>
    <col min="6" max="6" width="16.5703125" style="1" customWidth="1"/>
    <col min="7" max="7" width="17" style="1" customWidth="1"/>
    <col min="8" max="8" width="23.7109375" style="1" customWidth="1"/>
    <col min="9" max="9" width="14.28515625" style="1" customWidth="1"/>
    <col min="10" max="10" width="2.85546875" style="1" customWidth="1"/>
    <col min="11" max="11" width="15" style="1" customWidth="1"/>
    <col min="12" max="16384" width="11.42578125" style="1"/>
  </cols>
  <sheetData>
    <row r="1" spans="1:8" x14ac:dyDescent="0.25">
      <c r="A1" s="2" t="s">
        <v>20</v>
      </c>
    </row>
    <row r="2" spans="1:8" x14ac:dyDescent="0.25">
      <c r="B2" s="367" t="s">
        <v>114</v>
      </c>
      <c r="C2" s="367"/>
      <c r="D2" s="367"/>
      <c r="E2" s="367"/>
      <c r="F2" s="367"/>
      <c r="G2" s="367"/>
      <c r="H2" s="367"/>
    </row>
    <row r="3" spans="1:8" x14ac:dyDescent="0.25">
      <c r="B3" s="398" t="s">
        <v>633</v>
      </c>
      <c r="C3" s="398"/>
      <c r="D3" s="398"/>
      <c r="E3" s="398"/>
      <c r="F3" s="398"/>
      <c r="G3" s="398"/>
      <c r="H3" s="398"/>
    </row>
    <row r="4" spans="1:8" x14ac:dyDescent="0.25">
      <c r="B4" s="134"/>
      <c r="C4" s="134"/>
      <c r="D4" s="134"/>
      <c r="E4" s="134"/>
      <c r="F4" s="134"/>
      <c r="G4" s="134"/>
      <c r="H4" s="134"/>
    </row>
    <row r="5" spans="1:8" x14ac:dyDescent="0.25">
      <c r="B5" s="36" t="s">
        <v>401</v>
      </c>
    </row>
    <row r="7" spans="1:8" x14ac:dyDescent="0.25">
      <c r="B7" s="431" t="s">
        <v>653</v>
      </c>
      <c r="C7" s="431"/>
      <c r="D7" s="431"/>
      <c r="E7" s="431"/>
      <c r="F7" s="431"/>
      <c r="G7" s="431"/>
      <c r="H7" s="431"/>
    </row>
    <row r="8" spans="1:8" x14ac:dyDescent="0.25">
      <c r="B8" s="431"/>
      <c r="C8" s="431"/>
      <c r="D8" s="431"/>
      <c r="E8" s="431"/>
      <c r="F8" s="431"/>
      <c r="G8" s="431"/>
      <c r="H8" s="431"/>
    </row>
    <row r="9" spans="1:8" x14ac:dyDescent="0.25">
      <c r="B9" s="431" t="s">
        <v>627</v>
      </c>
      <c r="C9" s="431"/>
      <c r="D9" s="431"/>
      <c r="E9" s="431"/>
      <c r="F9" s="431"/>
      <c r="G9" s="431"/>
      <c r="H9" s="431"/>
    </row>
    <row r="10" spans="1:8" x14ac:dyDescent="0.25">
      <c r="B10" s="431"/>
      <c r="C10" s="431"/>
      <c r="D10" s="431"/>
      <c r="E10" s="431"/>
      <c r="F10" s="431"/>
      <c r="G10" s="431"/>
      <c r="H10" s="431"/>
    </row>
    <row r="11" spans="1:8" x14ac:dyDescent="0.25">
      <c r="B11" s="429" t="s">
        <v>603</v>
      </c>
      <c r="C11" s="429"/>
      <c r="D11" s="429"/>
      <c r="E11" s="429"/>
      <c r="F11" s="429"/>
      <c r="G11" s="429"/>
      <c r="H11" s="429"/>
    </row>
    <row r="12" spans="1:8" x14ac:dyDescent="0.25">
      <c r="B12" s="429"/>
      <c r="C12" s="429"/>
      <c r="D12" s="429"/>
      <c r="E12" s="429"/>
      <c r="F12" s="429"/>
      <c r="G12" s="429"/>
      <c r="H12" s="429"/>
    </row>
    <row r="14" spans="1:8" x14ac:dyDescent="0.25">
      <c r="B14" s="368" t="s">
        <v>402</v>
      </c>
      <c r="C14" s="368"/>
      <c r="D14" s="368"/>
      <c r="E14" s="368"/>
      <c r="F14" s="368"/>
      <c r="G14" s="368"/>
      <c r="H14" s="368"/>
    </row>
    <row r="16" spans="1:8" x14ac:dyDescent="0.25">
      <c r="B16" s="430" t="s">
        <v>697</v>
      </c>
      <c r="C16" s="366"/>
      <c r="D16" s="366"/>
      <c r="E16" s="366"/>
      <c r="F16" s="366"/>
      <c r="G16" s="366"/>
      <c r="H16" s="366"/>
    </row>
    <row r="17" spans="2:8" x14ac:dyDescent="0.25">
      <c r="B17" s="366"/>
      <c r="C17" s="366"/>
      <c r="D17" s="366"/>
      <c r="E17" s="366"/>
      <c r="F17" s="366"/>
      <c r="G17" s="366"/>
      <c r="H17" s="366"/>
    </row>
    <row r="19" spans="2:8" x14ac:dyDescent="0.25">
      <c r="B19" s="368" t="s">
        <v>403</v>
      </c>
      <c r="C19" s="368"/>
      <c r="D19" s="368"/>
      <c r="E19" s="368"/>
      <c r="F19" s="368"/>
      <c r="G19" s="368"/>
      <c r="H19" s="368"/>
    </row>
    <row r="21" spans="2:8" x14ac:dyDescent="0.25">
      <c r="B21" s="366" t="s">
        <v>404</v>
      </c>
      <c r="C21" s="366"/>
      <c r="D21" s="366"/>
      <c r="E21" s="366"/>
      <c r="F21" s="366"/>
      <c r="G21" s="366"/>
      <c r="H21" s="366"/>
    </row>
    <row r="22" spans="2:8" x14ac:dyDescent="0.25">
      <c r="B22" s="366"/>
      <c r="C22" s="366"/>
      <c r="D22" s="366"/>
      <c r="E22" s="366"/>
      <c r="F22" s="366"/>
      <c r="G22" s="366"/>
      <c r="H22" s="366"/>
    </row>
    <row r="24" spans="2:8" x14ac:dyDescent="0.25">
      <c r="B24" s="364" t="s">
        <v>405</v>
      </c>
      <c r="C24" s="364"/>
      <c r="D24" s="364"/>
      <c r="E24" s="364"/>
      <c r="F24" s="364"/>
      <c r="G24" s="364"/>
      <c r="H24" s="364"/>
    </row>
    <row r="26" spans="2:8" x14ac:dyDescent="0.25">
      <c r="B26" s="366" t="s">
        <v>406</v>
      </c>
      <c r="C26" s="366"/>
      <c r="D26" s="366"/>
      <c r="E26" s="366"/>
      <c r="F26" s="366"/>
      <c r="G26" s="366"/>
      <c r="H26" s="366"/>
    </row>
    <row r="27" spans="2:8" x14ac:dyDescent="0.25">
      <c r="B27" s="366"/>
      <c r="C27" s="366"/>
      <c r="D27" s="366"/>
      <c r="E27" s="366"/>
      <c r="F27" s="366"/>
      <c r="G27" s="366"/>
      <c r="H27" s="366"/>
    </row>
    <row r="29" spans="2:8" x14ac:dyDescent="0.25">
      <c r="B29" s="368" t="s">
        <v>407</v>
      </c>
      <c r="C29" s="368"/>
      <c r="D29" s="368"/>
      <c r="E29" s="368"/>
      <c r="F29" s="368"/>
      <c r="G29" s="368"/>
      <c r="H29" s="368"/>
    </row>
    <row r="31" spans="2:8" x14ac:dyDescent="0.25">
      <c r="B31" s="432" t="s">
        <v>408</v>
      </c>
      <c r="C31" s="432"/>
      <c r="D31" s="432"/>
      <c r="E31" s="432"/>
      <c r="F31" s="432"/>
      <c r="G31" s="432"/>
      <c r="H31" s="432"/>
    </row>
    <row r="33" spans="2:8" x14ac:dyDescent="0.25">
      <c r="B33" s="368" t="s">
        <v>409</v>
      </c>
      <c r="C33" s="368"/>
      <c r="D33" s="368"/>
      <c r="E33" s="368"/>
      <c r="F33" s="368"/>
      <c r="G33" s="368"/>
      <c r="H33" s="368"/>
    </row>
    <row r="35" spans="2:8" x14ac:dyDescent="0.25">
      <c r="B35" s="365" t="s">
        <v>410</v>
      </c>
      <c r="C35" s="365"/>
      <c r="D35" s="365"/>
      <c r="E35" s="365"/>
      <c r="F35" s="365"/>
      <c r="G35" s="365"/>
      <c r="H35" s="365"/>
    </row>
    <row r="37" spans="2:8" x14ac:dyDescent="0.25">
      <c r="B37" s="368" t="s">
        <v>411</v>
      </c>
      <c r="C37" s="368"/>
      <c r="D37" s="368"/>
      <c r="E37" s="368"/>
      <c r="F37" s="368"/>
      <c r="G37" s="368"/>
      <c r="H37" s="368"/>
    </row>
    <row r="39" spans="2:8" x14ac:dyDescent="0.25">
      <c r="B39" s="399" t="s">
        <v>698</v>
      </c>
      <c r="C39" s="399"/>
      <c r="D39" s="399"/>
      <c r="E39" s="399"/>
      <c r="F39" s="399"/>
      <c r="G39" s="399"/>
      <c r="H39" s="399"/>
    </row>
    <row r="40" spans="2:8" x14ac:dyDescent="0.25">
      <c r="B40" s="399"/>
      <c r="C40" s="399"/>
      <c r="D40" s="399"/>
      <c r="E40" s="399"/>
      <c r="F40" s="399"/>
      <c r="G40" s="399"/>
      <c r="H40" s="399"/>
    </row>
    <row r="41" spans="2:8" x14ac:dyDescent="0.25">
      <c r="B41" s="399"/>
      <c r="C41" s="399"/>
      <c r="D41" s="399"/>
      <c r="E41" s="399"/>
      <c r="F41" s="399"/>
      <c r="G41" s="399"/>
      <c r="H41" s="399"/>
    </row>
  </sheetData>
  <mergeCells count="17">
    <mergeCell ref="B39:H41"/>
    <mergeCell ref="B29:H29"/>
    <mergeCell ref="B31:H31"/>
    <mergeCell ref="B33:H33"/>
    <mergeCell ref="B35:H35"/>
    <mergeCell ref="B37:H37"/>
    <mergeCell ref="B26:H27"/>
    <mergeCell ref="B11:H12"/>
    <mergeCell ref="B2:H2"/>
    <mergeCell ref="B3:H3"/>
    <mergeCell ref="B14:H14"/>
    <mergeCell ref="B16:H17"/>
    <mergeCell ref="B19:H19"/>
    <mergeCell ref="B21:H22"/>
    <mergeCell ref="B24:H24"/>
    <mergeCell ref="B9:H10"/>
    <mergeCell ref="B7:H8"/>
  </mergeCells>
  <hyperlinks>
    <hyperlink ref="A1" location="ÍNDICE!A1" display="Indice" xr:uid="{D684F99E-B948-4AED-852F-3904D84767F2}"/>
  </hyperlinks>
  <pageMargins left="0.25" right="0.25" top="0.75" bottom="0.75" header="0.3" footer="0.3"/>
  <pageSetup paperSize="9"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D1BA7-6CF2-4EAA-B101-E8B17C5A12AE}">
  <sheetPr>
    <pageSetUpPr fitToPage="1"/>
  </sheetPr>
  <dimension ref="A1:H130"/>
  <sheetViews>
    <sheetView showGridLines="0" tabSelected="1" topLeftCell="A109" zoomScaleNormal="100" workbookViewId="0">
      <selection activeCell="B117" sqref="B117:D130"/>
    </sheetView>
  </sheetViews>
  <sheetFormatPr baseColWidth="10" defaultColWidth="11.42578125" defaultRowHeight="15" x14ac:dyDescent="0.25"/>
  <cols>
    <col min="1" max="1" width="2.85546875" style="1" customWidth="1"/>
    <col min="2" max="2" width="28.85546875" style="1" customWidth="1"/>
    <col min="3" max="3" width="21.7109375" style="1" customWidth="1"/>
    <col min="4" max="4" width="18.28515625" style="1" customWidth="1"/>
    <col min="5" max="5" width="14.7109375" style="1" customWidth="1"/>
    <col min="6" max="8" width="11.42578125" style="1"/>
    <col min="9" max="9" width="2.85546875" style="1" customWidth="1"/>
    <col min="10" max="16384" width="11.42578125" style="1"/>
  </cols>
  <sheetData>
    <row r="1" spans="1:8" x14ac:dyDescent="0.25">
      <c r="A1" s="2" t="s">
        <v>20</v>
      </c>
    </row>
    <row r="2" spans="1:8" x14ac:dyDescent="0.25">
      <c r="B2" s="398" t="s">
        <v>114</v>
      </c>
      <c r="C2" s="398"/>
      <c r="D2" s="398"/>
      <c r="E2" s="398"/>
      <c r="F2" s="398"/>
      <c r="G2" s="398"/>
      <c r="H2" s="398"/>
    </row>
    <row r="3" spans="1:8" x14ac:dyDescent="0.25">
      <c r="B3" s="434" t="s">
        <v>588</v>
      </c>
      <c r="C3" s="434"/>
      <c r="D3" s="434"/>
      <c r="E3" s="434"/>
      <c r="F3" s="434"/>
      <c r="G3" s="434"/>
      <c r="H3" s="434"/>
    </row>
    <row r="4" spans="1:8" x14ac:dyDescent="0.25">
      <c r="B4" s="398" t="s">
        <v>587</v>
      </c>
      <c r="C4" s="398"/>
      <c r="D4" s="398"/>
      <c r="E4" s="398"/>
      <c r="F4" s="398"/>
      <c r="G4" s="398"/>
      <c r="H4" s="398"/>
    </row>
    <row r="6" spans="1:8" x14ac:dyDescent="0.25">
      <c r="B6" s="364" t="s">
        <v>590</v>
      </c>
      <c r="C6" s="364"/>
      <c r="D6" s="364"/>
      <c r="E6" s="364"/>
      <c r="F6" s="364"/>
      <c r="G6" s="364"/>
      <c r="H6" s="364"/>
    </row>
    <row r="8" spans="1:8" x14ac:dyDescent="0.25">
      <c r="B8" s="110" t="s">
        <v>591</v>
      </c>
    </row>
    <row r="9" spans="1:8" x14ac:dyDescent="0.25">
      <c r="B9" s="436" t="s">
        <v>592</v>
      </c>
      <c r="C9" s="436"/>
      <c r="D9" s="436"/>
      <c r="E9" s="436"/>
      <c r="F9" s="436"/>
      <c r="G9" s="436"/>
      <c r="H9" s="436"/>
    </row>
    <row r="10" spans="1:8" x14ac:dyDescent="0.25">
      <c r="B10" s="436"/>
      <c r="C10" s="436"/>
      <c r="D10" s="436"/>
      <c r="E10" s="436"/>
      <c r="F10" s="436"/>
      <c r="G10" s="436"/>
      <c r="H10" s="436"/>
    </row>
    <row r="11" spans="1:8" x14ac:dyDescent="0.25">
      <c r="B11" s="111"/>
      <c r="C11" s="111"/>
      <c r="D11" s="111"/>
      <c r="E11" s="111"/>
      <c r="F11" s="111"/>
      <c r="G11" s="111"/>
      <c r="H11" s="111"/>
    </row>
    <row r="12" spans="1:8" x14ac:dyDescent="0.25">
      <c r="B12" s="1" t="s">
        <v>43</v>
      </c>
      <c r="C12" s="1" t="s">
        <v>542</v>
      </c>
    </row>
    <row r="13" spans="1:8" x14ac:dyDescent="0.25">
      <c r="B13" s="1" t="s">
        <v>45</v>
      </c>
      <c r="C13" s="1" t="s">
        <v>542</v>
      </c>
    </row>
    <row r="14" spans="1:8" x14ac:dyDescent="0.25">
      <c r="B14" s="1" t="s">
        <v>47</v>
      </c>
      <c r="C14" s="1" t="s">
        <v>541</v>
      </c>
    </row>
    <row r="15" spans="1:8" x14ac:dyDescent="0.25">
      <c r="B15" s="1" t="s">
        <v>367</v>
      </c>
      <c r="C15" s="1" t="s">
        <v>543</v>
      </c>
    </row>
    <row r="17" spans="2:8" x14ac:dyDescent="0.25">
      <c r="B17" s="435" t="s">
        <v>593</v>
      </c>
      <c r="C17" s="435"/>
      <c r="D17" s="435"/>
      <c r="E17" s="435"/>
      <c r="F17" s="435"/>
      <c r="G17" s="435"/>
      <c r="H17" s="435"/>
    </row>
    <row r="18" spans="2:8" x14ac:dyDescent="0.25">
      <c r="B18" s="435"/>
      <c r="C18" s="435"/>
      <c r="D18" s="435"/>
      <c r="E18" s="435"/>
      <c r="F18" s="435"/>
      <c r="G18" s="435"/>
      <c r="H18" s="435"/>
    </row>
    <row r="20" spans="2:8" x14ac:dyDescent="0.25">
      <c r="B20" s="364" t="s">
        <v>412</v>
      </c>
      <c r="C20" s="364"/>
      <c r="D20" s="364"/>
      <c r="E20" s="364"/>
      <c r="F20" s="364"/>
      <c r="G20" s="364"/>
      <c r="H20" s="364"/>
    </row>
    <row r="22" spans="2:8" x14ac:dyDescent="0.25">
      <c r="B22" s="435" t="s">
        <v>594</v>
      </c>
      <c r="C22" s="435"/>
      <c r="D22" s="435"/>
      <c r="E22" s="435"/>
      <c r="F22" s="435"/>
      <c r="G22" s="435"/>
      <c r="H22" s="435"/>
    </row>
    <row r="23" spans="2:8" x14ac:dyDescent="0.25">
      <c r="B23" s="435"/>
      <c r="C23" s="435"/>
      <c r="D23" s="435"/>
      <c r="E23" s="435"/>
      <c r="F23" s="435"/>
      <c r="G23" s="435"/>
      <c r="H23" s="435"/>
    </row>
    <row r="25" spans="2:8" x14ac:dyDescent="0.25">
      <c r="B25" s="1" t="s">
        <v>43</v>
      </c>
    </row>
    <row r="26" spans="2:8" x14ac:dyDescent="0.25">
      <c r="B26" s="1" t="s">
        <v>45</v>
      </c>
    </row>
    <row r="27" spans="2:8" x14ac:dyDescent="0.25">
      <c r="B27" s="1" t="s">
        <v>47</v>
      </c>
    </row>
    <row r="28" spans="2:8" x14ac:dyDescent="0.25">
      <c r="B28" s="1" t="s">
        <v>367</v>
      </c>
    </row>
    <row r="30" spans="2:8" x14ac:dyDescent="0.25">
      <c r="B30" s="435" t="s">
        <v>595</v>
      </c>
      <c r="C30" s="435"/>
      <c r="D30" s="435"/>
      <c r="E30" s="435"/>
      <c r="F30" s="435"/>
      <c r="G30" s="435"/>
      <c r="H30" s="435"/>
    </row>
    <row r="31" spans="2:8" x14ac:dyDescent="0.25">
      <c r="B31" s="435"/>
      <c r="C31" s="435"/>
      <c r="D31" s="435"/>
      <c r="E31" s="435"/>
      <c r="F31" s="435"/>
      <c r="G31" s="435"/>
      <c r="H31" s="435"/>
    </row>
    <row r="33" spans="2:2" x14ac:dyDescent="0.25">
      <c r="B33" s="110" t="s">
        <v>413</v>
      </c>
    </row>
    <row r="34" spans="2:2" x14ac:dyDescent="0.25">
      <c r="B34" s="1" t="s">
        <v>43</v>
      </c>
    </row>
    <row r="35" spans="2:2" x14ac:dyDescent="0.25">
      <c r="B35" s="1" t="s">
        <v>45</v>
      </c>
    </row>
    <row r="36" spans="2:2" x14ac:dyDescent="0.25">
      <c r="B36" s="1" t="s">
        <v>47</v>
      </c>
    </row>
    <row r="38" spans="2:2" x14ac:dyDescent="0.25">
      <c r="B38" s="112" t="s">
        <v>414</v>
      </c>
    </row>
    <row r="39" spans="2:2" x14ac:dyDescent="0.25">
      <c r="B39" s="113" t="s">
        <v>415</v>
      </c>
    </row>
    <row r="41" spans="2:2" x14ac:dyDescent="0.25">
      <c r="B41" s="112" t="s">
        <v>416</v>
      </c>
    </row>
    <row r="42" spans="2:2" x14ac:dyDescent="0.25">
      <c r="B42" s="113" t="s">
        <v>50</v>
      </c>
    </row>
    <row r="43" spans="2:2" x14ac:dyDescent="0.25">
      <c r="B43" s="1" t="s">
        <v>417</v>
      </c>
    </row>
    <row r="44" spans="2:2" x14ac:dyDescent="0.25">
      <c r="B44" s="1" t="s">
        <v>55</v>
      </c>
    </row>
    <row r="45" spans="2:2" x14ac:dyDescent="0.25">
      <c r="B45" s="1" t="s">
        <v>559</v>
      </c>
    </row>
    <row r="46" spans="2:2" x14ac:dyDescent="0.25">
      <c r="B46" s="1" t="s">
        <v>58</v>
      </c>
    </row>
    <row r="47" spans="2:2" x14ac:dyDescent="0.25">
      <c r="B47" s="1" t="s">
        <v>53</v>
      </c>
    </row>
    <row r="48" spans="2:2" x14ac:dyDescent="0.25">
      <c r="B48" s="1" t="s">
        <v>368</v>
      </c>
    </row>
    <row r="50" spans="2:8" x14ac:dyDescent="0.25">
      <c r="B50" s="114" t="s">
        <v>596</v>
      </c>
    </row>
    <row r="52" spans="2:8" x14ac:dyDescent="0.25">
      <c r="B52" s="389" t="s">
        <v>597</v>
      </c>
      <c r="C52" s="389"/>
      <c r="D52" s="389"/>
      <c r="E52" s="389"/>
      <c r="F52" s="389"/>
      <c r="G52" s="389"/>
      <c r="H52" s="389"/>
    </row>
    <row r="53" spans="2:8" x14ac:dyDescent="0.25">
      <c r="B53" s="389"/>
      <c r="C53" s="389"/>
      <c r="D53" s="389"/>
      <c r="E53" s="389"/>
      <c r="F53" s="389"/>
      <c r="G53" s="389"/>
      <c r="H53" s="389"/>
    </row>
    <row r="55" spans="2:8" x14ac:dyDescent="0.25">
      <c r="B55" s="389" t="s">
        <v>598</v>
      </c>
      <c r="C55" s="389"/>
      <c r="D55" s="389"/>
      <c r="E55" s="389"/>
      <c r="F55" s="389"/>
      <c r="G55" s="389"/>
      <c r="H55" s="389"/>
    </row>
    <row r="56" spans="2:8" x14ac:dyDescent="0.25">
      <c r="B56" s="389"/>
      <c r="C56" s="389"/>
      <c r="D56" s="389"/>
      <c r="E56" s="389"/>
      <c r="F56" s="389"/>
      <c r="G56" s="389"/>
      <c r="H56" s="389"/>
    </row>
    <row r="58" spans="2:8" s="115" customFormat="1" ht="33.75" customHeight="1" x14ac:dyDescent="0.25">
      <c r="B58" s="463" t="s">
        <v>599</v>
      </c>
      <c r="C58" s="464"/>
      <c r="D58" s="464"/>
      <c r="E58" s="465"/>
    </row>
    <row r="59" spans="2:8" s="69" customFormat="1" ht="30" x14ac:dyDescent="0.25">
      <c r="B59" s="466" t="s">
        <v>418</v>
      </c>
      <c r="C59" s="462" t="s">
        <v>419</v>
      </c>
      <c r="D59" s="462" t="s">
        <v>420</v>
      </c>
      <c r="E59" s="467" t="s">
        <v>421</v>
      </c>
    </row>
    <row r="60" spans="2:8" x14ac:dyDescent="0.25">
      <c r="B60" s="468" t="s">
        <v>93</v>
      </c>
      <c r="C60" s="469">
        <v>3560900000</v>
      </c>
      <c r="D60" s="470" t="s">
        <v>422</v>
      </c>
      <c r="E60" s="471">
        <v>0.84660000000000002</v>
      </c>
    </row>
    <row r="62" spans="2:8" ht="38.25" customHeight="1" x14ac:dyDescent="0.25">
      <c r="B62" s="463" t="s">
        <v>600</v>
      </c>
      <c r="C62" s="464"/>
      <c r="D62" s="464"/>
      <c r="E62" s="465"/>
    </row>
    <row r="63" spans="2:8" ht="45" x14ac:dyDescent="0.25">
      <c r="B63" s="466" t="s">
        <v>418</v>
      </c>
      <c r="C63" s="462" t="s">
        <v>423</v>
      </c>
      <c r="D63" s="462" t="s">
        <v>424</v>
      </c>
      <c r="E63" s="467" t="s">
        <v>425</v>
      </c>
    </row>
    <row r="64" spans="2:8" x14ac:dyDescent="0.25">
      <c r="B64" s="395" t="s">
        <v>412</v>
      </c>
      <c r="C64" s="396"/>
      <c r="D64" s="396"/>
      <c r="E64" s="397"/>
    </row>
    <row r="66" spans="2:8" x14ac:dyDescent="0.25">
      <c r="B66" s="1" t="s">
        <v>601</v>
      </c>
    </row>
    <row r="68" spans="2:8" x14ac:dyDescent="0.25">
      <c r="B68" s="364" t="s">
        <v>602</v>
      </c>
      <c r="C68" s="364"/>
      <c r="D68" s="364"/>
      <c r="E68" s="364"/>
      <c r="F68" s="364"/>
      <c r="G68" s="364"/>
      <c r="H68" s="364"/>
    </row>
    <row r="69" spans="2:8" x14ac:dyDescent="0.25">
      <c r="B69" s="433" t="s">
        <v>660</v>
      </c>
      <c r="C69" s="433"/>
      <c r="D69" s="433"/>
      <c r="E69" s="433"/>
    </row>
    <row r="70" spans="2:8" x14ac:dyDescent="0.25">
      <c r="B70" s="114" t="s">
        <v>116</v>
      </c>
    </row>
    <row r="71" spans="2:8" x14ac:dyDescent="0.25">
      <c r="B71" s="1" t="s">
        <v>426</v>
      </c>
    </row>
    <row r="72" spans="2:8" x14ac:dyDescent="0.25">
      <c r="B72" s="116" t="s">
        <v>360</v>
      </c>
      <c r="C72" s="117">
        <v>43921</v>
      </c>
      <c r="D72" s="117">
        <v>43555</v>
      </c>
    </row>
    <row r="73" spans="2:8" x14ac:dyDescent="0.25">
      <c r="B73" s="78" t="s">
        <v>658</v>
      </c>
      <c r="C73" s="306">
        <v>168578569</v>
      </c>
      <c r="D73" s="70">
        <v>153318024</v>
      </c>
    </row>
    <row r="74" spans="2:8" x14ac:dyDescent="0.25">
      <c r="B74" s="78" t="s">
        <v>659</v>
      </c>
      <c r="C74" s="306">
        <f>488720+50000000</f>
        <v>50488720</v>
      </c>
      <c r="D74" s="70">
        <v>0</v>
      </c>
    </row>
    <row r="75" spans="2:8" x14ac:dyDescent="0.25">
      <c r="B75" s="78" t="s">
        <v>43</v>
      </c>
      <c r="C75" s="306">
        <v>35000000</v>
      </c>
      <c r="D75" s="70">
        <v>0</v>
      </c>
    </row>
    <row r="76" spans="2:8" x14ac:dyDescent="0.25">
      <c r="B76" s="78" t="s">
        <v>55</v>
      </c>
      <c r="C76" s="306">
        <f>12500000+4458008+53600+321670</f>
        <v>17333278</v>
      </c>
      <c r="D76" s="70">
        <v>0</v>
      </c>
    </row>
    <row r="77" spans="2:8" x14ac:dyDescent="0.25">
      <c r="B77" s="78" t="s">
        <v>50</v>
      </c>
      <c r="C77" s="306">
        <f>3337516+4642303+189800+3050000+3000000</f>
        <v>14219619</v>
      </c>
      <c r="D77" s="70">
        <v>11497501</v>
      </c>
    </row>
    <row r="78" spans="2:8" x14ac:dyDescent="0.25">
      <c r="B78" s="78" t="s">
        <v>368</v>
      </c>
      <c r="C78" s="306">
        <f>7500000+2600000+288298</f>
        <v>10388298</v>
      </c>
      <c r="D78" s="70">
        <v>11384260</v>
      </c>
    </row>
    <row r="79" spans="2:8" x14ac:dyDescent="0.25">
      <c r="B79" s="78" t="s">
        <v>559</v>
      </c>
      <c r="C79" s="306">
        <f>2666665+5349613+169250</f>
        <v>8185528</v>
      </c>
      <c r="D79" s="70">
        <v>4666665</v>
      </c>
    </row>
    <row r="80" spans="2:8" x14ac:dyDescent="0.25">
      <c r="B80" s="78" t="s">
        <v>53</v>
      </c>
      <c r="C80" s="306">
        <v>113020</v>
      </c>
      <c r="D80" s="70">
        <v>0</v>
      </c>
    </row>
    <row r="81" spans="2:4" x14ac:dyDescent="0.25">
      <c r="B81" s="78" t="s">
        <v>52</v>
      </c>
      <c r="C81" s="306">
        <v>0</v>
      </c>
      <c r="D81" s="70">
        <v>2479165</v>
      </c>
    </row>
    <row r="82" spans="2:4" x14ac:dyDescent="0.25">
      <c r="B82" s="78" t="s">
        <v>58</v>
      </c>
      <c r="C82" s="306">
        <v>0</v>
      </c>
      <c r="D82" s="70">
        <v>5333336</v>
      </c>
    </row>
    <row r="83" spans="2:4" x14ac:dyDescent="0.25">
      <c r="B83" s="64" t="s">
        <v>303</v>
      </c>
      <c r="C83" s="75">
        <f>SUM(C73:C82)</f>
        <v>304307032</v>
      </c>
      <c r="D83" s="75">
        <f>SUM(D73:D82)</f>
        <v>188678951</v>
      </c>
    </row>
    <row r="85" spans="2:4" x14ac:dyDescent="0.25">
      <c r="B85" s="114" t="s">
        <v>118</v>
      </c>
    </row>
    <row r="86" spans="2:4" x14ac:dyDescent="0.25">
      <c r="B86" s="1" t="s">
        <v>427</v>
      </c>
    </row>
    <row r="87" spans="2:4" x14ac:dyDescent="0.25">
      <c r="B87" s="119" t="s">
        <v>360</v>
      </c>
      <c r="C87" s="120">
        <f>+C72</f>
        <v>43921</v>
      </c>
      <c r="D87" s="120">
        <f>+D72</f>
        <v>43555</v>
      </c>
    </row>
    <row r="88" spans="2:4" x14ac:dyDescent="0.25">
      <c r="B88" s="121" t="s">
        <v>43</v>
      </c>
      <c r="C88" s="90">
        <v>29333333</v>
      </c>
      <c r="D88" s="90">
        <f>5500000-1</f>
        <v>5499999</v>
      </c>
    </row>
    <row r="89" spans="2:4" x14ac:dyDescent="0.25">
      <c r="B89" s="122" t="s">
        <v>661</v>
      </c>
      <c r="C89" s="118">
        <v>29333333</v>
      </c>
      <c r="D89" s="118">
        <v>5500000</v>
      </c>
    </row>
    <row r="90" spans="2:4" x14ac:dyDescent="0.25">
      <c r="B90" s="122" t="s">
        <v>52</v>
      </c>
      <c r="C90" s="118">
        <v>28022371</v>
      </c>
      <c r="D90" s="118">
        <v>0</v>
      </c>
    </row>
    <row r="91" spans="2:4" x14ac:dyDescent="0.25">
      <c r="B91" s="122" t="s">
        <v>55</v>
      </c>
      <c r="C91" s="118">
        <v>16025000</v>
      </c>
      <c r="D91" s="118">
        <v>0</v>
      </c>
    </row>
    <row r="92" spans="2:4" x14ac:dyDescent="0.25">
      <c r="B92" s="122" t="s">
        <v>47</v>
      </c>
      <c r="C92" s="118">
        <v>14666667</v>
      </c>
      <c r="D92" s="118">
        <v>2750000</v>
      </c>
    </row>
    <row r="93" spans="2:4" x14ac:dyDescent="0.25">
      <c r="B93" s="122" t="s">
        <v>353</v>
      </c>
      <c r="C93" s="118">
        <v>13045000</v>
      </c>
      <c r="D93" s="118">
        <v>0</v>
      </c>
    </row>
    <row r="94" spans="2:4" x14ac:dyDescent="0.25">
      <c r="B94" s="472" t="s">
        <v>354</v>
      </c>
      <c r="C94" s="70">
        <v>11625167</v>
      </c>
      <c r="D94" s="70">
        <v>0</v>
      </c>
    </row>
    <row r="95" spans="2:4" x14ac:dyDescent="0.25">
      <c r="B95" s="122" t="s">
        <v>58</v>
      </c>
      <c r="C95" s="118">
        <v>10065000</v>
      </c>
      <c r="D95" s="118">
        <v>0</v>
      </c>
    </row>
    <row r="96" spans="2:4" x14ac:dyDescent="0.25">
      <c r="B96" s="122" t="s">
        <v>559</v>
      </c>
      <c r="C96" s="118">
        <v>8703333</v>
      </c>
      <c r="D96" s="118">
        <v>0</v>
      </c>
    </row>
    <row r="97" spans="2:4" x14ac:dyDescent="0.25">
      <c r="B97" s="123" t="s">
        <v>53</v>
      </c>
      <c r="C97" s="316">
        <v>5287374</v>
      </c>
      <c r="D97" s="316">
        <v>0</v>
      </c>
    </row>
    <row r="98" spans="2:4" x14ac:dyDescent="0.25">
      <c r="B98" s="83" t="s">
        <v>303</v>
      </c>
      <c r="C98" s="75">
        <f>SUM(C88:C97)</f>
        <v>166106578</v>
      </c>
      <c r="D98" s="75">
        <f>SUM(D88:D97)</f>
        <v>13749999</v>
      </c>
    </row>
    <row r="100" spans="2:4" x14ac:dyDescent="0.25">
      <c r="B100" s="36" t="s">
        <v>364</v>
      </c>
    </row>
    <row r="101" spans="2:4" x14ac:dyDescent="0.25">
      <c r="B101" s="124" t="s">
        <v>364</v>
      </c>
      <c r="C101" s="125">
        <f>+C87</f>
        <v>43921</v>
      </c>
      <c r="D101" s="125">
        <f>+D87</f>
        <v>43555</v>
      </c>
    </row>
    <row r="102" spans="2:4" x14ac:dyDescent="0.25">
      <c r="B102" s="310" t="s">
        <v>93</v>
      </c>
      <c r="C102" s="310">
        <v>652839160</v>
      </c>
      <c r="D102" s="307">
        <v>487590433</v>
      </c>
    </row>
    <row r="103" spans="2:4" x14ac:dyDescent="0.25">
      <c r="B103" s="311" t="s">
        <v>47</v>
      </c>
      <c r="C103" s="311">
        <v>5599782</v>
      </c>
      <c r="D103" s="308">
        <v>6652005</v>
      </c>
    </row>
    <row r="104" spans="2:4" x14ac:dyDescent="0.25">
      <c r="B104" s="311" t="s">
        <v>573</v>
      </c>
      <c r="C104" s="311">
        <v>5558175</v>
      </c>
      <c r="D104" s="308">
        <v>6616476</v>
      </c>
    </row>
    <row r="105" spans="2:4" x14ac:dyDescent="0.25">
      <c r="B105" s="311" t="s">
        <v>366</v>
      </c>
      <c r="C105" s="311">
        <v>4934045</v>
      </c>
      <c r="D105" s="308">
        <v>6707953</v>
      </c>
    </row>
    <row r="106" spans="2:4" x14ac:dyDescent="0.25">
      <c r="B106" s="312" t="s">
        <v>55</v>
      </c>
      <c r="C106" s="312">
        <v>870551</v>
      </c>
      <c r="D106" s="308">
        <v>354546</v>
      </c>
    </row>
    <row r="107" spans="2:4" x14ac:dyDescent="0.25">
      <c r="B107" s="311" t="s">
        <v>353</v>
      </c>
      <c r="C107" s="311">
        <v>804030</v>
      </c>
      <c r="D107" s="308">
        <v>804546</v>
      </c>
    </row>
    <row r="108" spans="2:4" x14ac:dyDescent="0.25">
      <c r="B108" s="311" t="s">
        <v>52</v>
      </c>
      <c r="C108" s="311">
        <v>631462</v>
      </c>
      <c r="D108" s="308">
        <v>515686</v>
      </c>
    </row>
    <row r="109" spans="2:4" x14ac:dyDescent="0.25">
      <c r="B109" s="312" t="s">
        <v>368</v>
      </c>
      <c r="C109" s="312">
        <v>346895</v>
      </c>
      <c r="D109" s="308">
        <v>8797500</v>
      </c>
    </row>
    <row r="110" spans="2:4" x14ac:dyDescent="0.25">
      <c r="B110" s="312" t="s">
        <v>370</v>
      </c>
      <c r="C110" s="129">
        <v>305023</v>
      </c>
      <c r="D110" s="308">
        <v>288901</v>
      </c>
    </row>
    <row r="111" spans="2:4" x14ac:dyDescent="0.25">
      <c r="B111" s="311" t="s">
        <v>53</v>
      </c>
      <c r="C111" s="311">
        <v>206788</v>
      </c>
      <c r="D111" s="308">
        <v>136365</v>
      </c>
    </row>
    <row r="112" spans="2:4" x14ac:dyDescent="0.25">
      <c r="B112" s="312" t="s">
        <v>559</v>
      </c>
      <c r="C112" s="312">
        <v>184887</v>
      </c>
      <c r="D112" s="308">
        <v>0</v>
      </c>
    </row>
    <row r="113" spans="2:4" x14ac:dyDescent="0.25">
      <c r="B113" s="312" t="s">
        <v>58</v>
      </c>
      <c r="C113" s="312">
        <v>0</v>
      </c>
      <c r="D113" s="309">
        <v>28</v>
      </c>
    </row>
    <row r="114" spans="2:4" x14ac:dyDescent="0.25">
      <c r="B114" s="130" t="s">
        <v>428</v>
      </c>
      <c r="C114" s="131">
        <f>SUM(C102:C113)</f>
        <v>672280798</v>
      </c>
      <c r="D114" s="131">
        <f>SUM(D102:D113)</f>
        <v>518464439</v>
      </c>
    </row>
    <row r="116" spans="2:4" x14ac:dyDescent="0.25">
      <c r="B116" s="36" t="s">
        <v>365</v>
      </c>
    </row>
    <row r="117" spans="2:4" x14ac:dyDescent="0.25">
      <c r="B117" s="132" t="s">
        <v>429</v>
      </c>
      <c r="C117" s="133">
        <f>+C101</f>
        <v>43921</v>
      </c>
      <c r="D117" s="133">
        <f>+D101</f>
        <v>43555</v>
      </c>
    </row>
    <row r="118" spans="2:4" x14ac:dyDescent="0.25">
      <c r="B118" s="311" t="s">
        <v>573</v>
      </c>
      <c r="C118" s="311">
        <v>121637933</v>
      </c>
      <c r="D118" s="313">
        <v>75138540</v>
      </c>
    </row>
    <row r="119" spans="2:4" x14ac:dyDescent="0.25">
      <c r="B119" s="311" t="s">
        <v>366</v>
      </c>
      <c r="C119" s="311">
        <v>121637933</v>
      </c>
      <c r="D119" s="313">
        <v>75011655</v>
      </c>
    </row>
    <row r="120" spans="2:4" x14ac:dyDescent="0.25">
      <c r="B120" s="311" t="s">
        <v>52</v>
      </c>
      <c r="C120" s="311">
        <v>93793247</v>
      </c>
      <c r="D120" s="313">
        <v>0</v>
      </c>
    </row>
    <row r="121" spans="2:4" x14ac:dyDescent="0.25">
      <c r="B121" s="311" t="s">
        <v>574</v>
      </c>
      <c r="C121" s="311">
        <v>65721267</v>
      </c>
      <c r="D121" s="313">
        <v>42138540</v>
      </c>
    </row>
    <row r="122" spans="2:4" x14ac:dyDescent="0.25">
      <c r="B122" s="311" t="s">
        <v>53</v>
      </c>
      <c r="C122" s="311">
        <v>41907693</v>
      </c>
      <c r="D122" s="313">
        <v>0</v>
      </c>
    </row>
    <row r="123" spans="2:4" x14ac:dyDescent="0.25">
      <c r="B123" s="311" t="s">
        <v>368</v>
      </c>
      <c r="C123" s="311">
        <v>37400000</v>
      </c>
      <c r="D123" s="313">
        <v>0</v>
      </c>
    </row>
    <row r="124" spans="2:4" x14ac:dyDescent="0.25">
      <c r="B124" s="311" t="s">
        <v>55</v>
      </c>
      <c r="C124" s="311">
        <v>28500000</v>
      </c>
      <c r="D124" s="313">
        <v>1261800</v>
      </c>
    </row>
    <row r="125" spans="2:4" x14ac:dyDescent="0.25">
      <c r="B125" s="311" t="s">
        <v>559</v>
      </c>
      <c r="C125" s="311">
        <v>28000000</v>
      </c>
      <c r="D125" s="313">
        <v>0</v>
      </c>
    </row>
    <row r="126" spans="2:4" x14ac:dyDescent="0.25">
      <c r="B126" s="311" t="s">
        <v>353</v>
      </c>
      <c r="C126" s="311">
        <v>25500000</v>
      </c>
      <c r="D126" s="313">
        <v>0</v>
      </c>
    </row>
    <row r="127" spans="2:4" x14ac:dyDescent="0.25">
      <c r="B127" s="311" t="s">
        <v>58</v>
      </c>
      <c r="C127" s="311">
        <v>22500000</v>
      </c>
      <c r="D127" s="70">
        <v>0</v>
      </c>
    </row>
    <row r="128" spans="2:4" x14ac:dyDescent="0.25">
      <c r="B128" s="311" t="s">
        <v>367</v>
      </c>
      <c r="C128" s="311">
        <v>16249316</v>
      </c>
      <c r="D128" s="313">
        <v>0</v>
      </c>
    </row>
    <row r="129" spans="2:4" x14ac:dyDescent="0.25">
      <c r="B129" s="312" t="s">
        <v>369</v>
      </c>
      <c r="C129" s="312">
        <v>3300000</v>
      </c>
      <c r="D129" s="308">
        <v>3100000</v>
      </c>
    </row>
    <row r="130" spans="2:4" x14ac:dyDescent="0.25">
      <c r="B130" s="130" t="s">
        <v>430</v>
      </c>
      <c r="C130" s="131">
        <f>SUM(C118:C129)</f>
        <v>606147389</v>
      </c>
      <c r="D130" s="131">
        <f>SUM(D118:D129)</f>
        <v>196650535</v>
      </c>
    </row>
  </sheetData>
  <sortState xmlns:xlrd2="http://schemas.microsoft.com/office/spreadsheetml/2017/richdata2" ref="B118:D129">
    <sortCondition descending="1" ref="C118:C129"/>
  </sortState>
  <mergeCells count="16">
    <mergeCell ref="B69:E69"/>
    <mergeCell ref="B2:H2"/>
    <mergeCell ref="B3:H3"/>
    <mergeCell ref="B4:H4"/>
    <mergeCell ref="B6:H6"/>
    <mergeCell ref="B17:H18"/>
    <mergeCell ref="B9:H10"/>
    <mergeCell ref="B62:E62"/>
    <mergeCell ref="B64:E64"/>
    <mergeCell ref="B68:H68"/>
    <mergeCell ref="B20:H20"/>
    <mergeCell ref="B22:H23"/>
    <mergeCell ref="B30:H31"/>
    <mergeCell ref="B52:H53"/>
    <mergeCell ref="B55:H56"/>
    <mergeCell ref="B58:E58"/>
  </mergeCells>
  <hyperlinks>
    <hyperlink ref="A1" location="ÍNDICE!A1" display="Indice" xr:uid="{A4194B62-7C51-4388-981E-9FEECD4B7B4F}"/>
  </hyperlinks>
  <pageMargins left="0.25" right="0.25" top="0.75" bottom="0.75" header="0.3" footer="0.3"/>
  <pageSetup paperSize="9" scale="37" orientation="portrait" r:id="rId1"/>
  <ignoredErrors>
    <ignoredError sqref="C114:D114 C130:D130 D8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260E-DADD-47BB-908B-74B8E35DCCAC}">
  <sheetPr>
    <pageSetUpPr fitToPage="1"/>
  </sheetPr>
  <dimension ref="A1:N114"/>
  <sheetViews>
    <sheetView showGridLines="0" topLeftCell="B100" zoomScaleNormal="100" workbookViewId="0">
      <selection activeCell="B111" sqref="B111:E114"/>
    </sheetView>
  </sheetViews>
  <sheetFormatPr baseColWidth="10" defaultColWidth="11.42578125" defaultRowHeight="12.75" x14ac:dyDescent="0.2"/>
  <cols>
    <col min="1" max="1" width="2.85546875" style="57" customWidth="1"/>
    <col min="2" max="2" width="52.28515625" style="57" customWidth="1"/>
    <col min="3" max="3" width="22.28515625" style="57" customWidth="1"/>
    <col min="4" max="4" width="19.5703125" style="57" bestFit="1" customWidth="1"/>
    <col min="5" max="5" width="16.7109375" style="57" customWidth="1"/>
    <col min="6" max="6" width="19.5703125" style="57" bestFit="1" customWidth="1"/>
    <col min="7" max="7" width="20.42578125" style="57" bestFit="1" customWidth="1"/>
    <col min="8" max="8" width="19.140625" style="57" bestFit="1" customWidth="1"/>
    <col min="9" max="9" width="21" style="57" bestFit="1" customWidth="1"/>
    <col min="10" max="10" width="3.85546875" style="58" customWidth="1"/>
    <col min="11" max="11" width="2.85546875" style="57" customWidth="1"/>
    <col min="12" max="16384" width="11.42578125" style="57"/>
  </cols>
  <sheetData>
    <row r="1" spans="1:14" ht="15" x14ac:dyDescent="0.25">
      <c r="A1" s="2" t="s">
        <v>20</v>
      </c>
    </row>
    <row r="2" spans="1:14" ht="15" x14ac:dyDescent="0.25">
      <c r="A2" s="2"/>
      <c r="B2" s="438" t="s">
        <v>580</v>
      </c>
      <c r="C2" s="438"/>
      <c r="D2" s="438"/>
      <c r="E2" s="438"/>
      <c r="F2" s="438"/>
      <c r="G2" s="438"/>
      <c r="H2" s="438"/>
      <c r="I2" s="438"/>
    </row>
    <row r="3" spans="1:14" ht="15" x14ac:dyDescent="0.25">
      <c r="B3" s="367" t="s">
        <v>114</v>
      </c>
      <c r="C3" s="367"/>
      <c r="D3" s="367"/>
      <c r="E3" s="367"/>
      <c r="F3" s="367"/>
      <c r="G3" s="367"/>
      <c r="H3" s="367"/>
      <c r="I3" s="367"/>
    </row>
    <row r="4" spans="1:14" ht="15" x14ac:dyDescent="0.25">
      <c r="B4" s="367" t="s">
        <v>657</v>
      </c>
      <c r="C4" s="367"/>
      <c r="D4" s="367"/>
      <c r="E4" s="367"/>
      <c r="F4" s="367"/>
      <c r="G4" s="367"/>
      <c r="H4" s="367"/>
      <c r="I4" s="367"/>
    </row>
    <row r="6" spans="1:14" ht="22.5" customHeight="1" x14ac:dyDescent="0.25">
      <c r="B6" s="392" t="s">
        <v>431</v>
      </c>
      <c r="C6" s="393"/>
      <c r="D6" s="393"/>
      <c r="E6" s="393"/>
      <c r="F6" s="394"/>
      <c r="G6" s="392" t="s">
        <v>560</v>
      </c>
      <c r="H6" s="393"/>
      <c r="I6" s="394"/>
      <c r="J6" s="59"/>
      <c r="K6" s="36"/>
      <c r="L6" s="36"/>
      <c r="M6" s="36"/>
      <c r="N6" s="36"/>
    </row>
    <row r="7" spans="1:14" ht="45" x14ac:dyDescent="0.2">
      <c r="B7" s="60" t="s">
        <v>432</v>
      </c>
      <c r="C7" s="61" t="s">
        <v>433</v>
      </c>
      <c r="D7" s="60" t="s">
        <v>434</v>
      </c>
      <c r="E7" s="61" t="s">
        <v>435</v>
      </c>
      <c r="F7" s="60" t="s">
        <v>436</v>
      </c>
      <c r="G7" s="60" t="s">
        <v>226</v>
      </c>
      <c r="H7" s="60" t="s">
        <v>437</v>
      </c>
      <c r="I7" s="60" t="s">
        <v>199</v>
      </c>
      <c r="J7" s="62"/>
      <c r="K7" s="63"/>
      <c r="L7" s="63"/>
      <c r="M7" s="63"/>
      <c r="N7" s="63"/>
    </row>
    <row r="8" spans="1:14" ht="15" x14ac:dyDescent="0.25">
      <c r="B8" s="64" t="s">
        <v>135</v>
      </c>
      <c r="C8" s="65"/>
      <c r="D8" s="66"/>
      <c r="E8" s="65"/>
      <c r="F8" s="64"/>
      <c r="G8" s="67"/>
      <c r="H8" s="64"/>
      <c r="I8" s="64"/>
      <c r="J8" s="59"/>
      <c r="K8" s="36"/>
      <c r="L8" s="36"/>
      <c r="M8" s="36"/>
      <c r="N8" s="36"/>
    </row>
    <row r="9" spans="1:14" s="1" customFormat="1" ht="15" x14ac:dyDescent="0.25">
      <c r="B9" s="68" t="s">
        <v>443</v>
      </c>
      <c r="C9" s="69" t="s">
        <v>662</v>
      </c>
      <c r="D9" s="68">
        <v>383</v>
      </c>
      <c r="E9" s="314">
        <v>1000000</v>
      </c>
      <c r="F9" s="101">
        <v>357632849</v>
      </c>
      <c r="G9" s="315">
        <v>386400000000</v>
      </c>
      <c r="H9" s="315">
        <v>47128264887</v>
      </c>
      <c r="I9" s="315">
        <v>679311364660</v>
      </c>
    </row>
    <row r="10" spans="1:14" s="1" customFormat="1" ht="16.5" customHeight="1" x14ac:dyDescent="0.25">
      <c r="B10" s="68" t="s">
        <v>663</v>
      </c>
      <c r="C10" s="69" t="s">
        <v>440</v>
      </c>
      <c r="D10" s="68">
        <v>10214</v>
      </c>
      <c r="E10" s="314">
        <v>1000000</v>
      </c>
      <c r="F10" s="101">
        <v>10217360406</v>
      </c>
      <c r="G10" s="166">
        <v>330000000000</v>
      </c>
      <c r="H10" s="166">
        <v>765803588</v>
      </c>
      <c r="I10" s="166">
        <v>335916939370</v>
      </c>
      <c r="J10" s="1" t="s">
        <v>684</v>
      </c>
      <c r="K10" s="437" t="s">
        <v>685</v>
      </c>
      <c r="L10" s="437"/>
      <c r="M10" s="437"/>
      <c r="N10" s="36"/>
    </row>
    <row r="11" spans="1:14" s="1" customFormat="1" ht="15" x14ac:dyDescent="0.25">
      <c r="B11" s="68" t="s">
        <v>664</v>
      </c>
      <c r="C11" s="69" t="s">
        <v>440</v>
      </c>
      <c r="D11" s="68">
        <v>21</v>
      </c>
      <c r="E11" s="314">
        <v>1000000</v>
      </c>
      <c r="F11" s="101">
        <v>21520706</v>
      </c>
      <c r="G11" s="166">
        <v>50469500000</v>
      </c>
      <c r="H11" s="166">
        <v>4787876681</v>
      </c>
      <c r="I11" s="166">
        <v>91806259454</v>
      </c>
      <c r="J11" s="1" t="s">
        <v>441</v>
      </c>
      <c r="K11" s="437"/>
      <c r="L11" s="437"/>
      <c r="M11" s="437"/>
      <c r="N11" s="36"/>
    </row>
    <row r="12" spans="1:14" s="1" customFormat="1" ht="15" x14ac:dyDescent="0.25">
      <c r="B12" s="68" t="s">
        <v>665</v>
      </c>
      <c r="C12" s="69" t="s">
        <v>440</v>
      </c>
      <c r="D12" s="68">
        <v>19</v>
      </c>
      <c r="E12" s="314">
        <v>1000000</v>
      </c>
      <c r="F12" s="101">
        <v>19806554</v>
      </c>
      <c r="G12" s="166">
        <v>88802000000</v>
      </c>
      <c r="H12" s="166">
        <v>5513536015</v>
      </c>
      <c r="I12" s="166">
        <v>111659902779</v>
      </c>
      <c r="J12" s="1" t="s">
        <v>684</v>
      </c>
      <c r="K12" s="437"/>
      <c r="L12" s="437"/>
      <c r="M12" s="437"/>
      <c r="N12" s="36"/>
    </row>
    <row r="13" spans="1:14" s="1" customFormat="1" ht="15" x14ac:dyDescent="0.25">
      <c r="B13" s="68" t="s">
        <v>666</v>
      </c>
      <c r="C13" s="69" t="s">
        <v>440</v>
      </c>
      <c r="D13" s="68">
        <v>2</v>
      </c>
      <c r="E13" s="314">
        <v>1000000</v>
      </c>
      <c r="F13" s="101">
        <v>2004796</v>
      </c>
      <c r="G13" s="166">
        <v>15000000000</v>
      </c>
      <c r="H13" s="166">
        <v>17351000</v>
      </c>
      <c r="I13" s="166">
        <v>31579382000</v>
      </c>
      <c r="J13" s="1" t="s">
        <v>441</v>
      </c>
      <c r="K13" s="437"/>
      <c r="L13" s="437"/>
      <c r="M13" s="437"/>
      <c r="N13" s="36"/>
    </row>
    <row r="14" spans="1:14" s="1" customFormat="1" ht="15" x14ac:dyDescent="0.25">
      <c r="B14" s="68" t="s">
        <v>667</v>
      </c>
      <c r="C14" s="69" t="s">
        <v>440</v>
      </c>
      <c r="D14" s="68">
        <v>92</v>
      </c>
      <c r="E14" s="314">
        <v>1000000</v>
      </c>
      <c r="F14" s="101">
        <v>92268415</v>
      </c>
      <c r="G14" s="166">
        <v>59639000000</v>
      </c>
      <c r="H14" s="166">
        <v>11930894000</v>
      </c>
      <c r="I14" s="166">
        <v>81226674000</v>
      </c>
      <c r="J14" s="1" t="s">
        <v>684</v>
      </c>
      <c r="K14" s="437"/>
      <c r="L14" s="437"/>
      <c r="M14" s="437"/>
      <c r="N14" s="36"/>
    </row>
    <row r="15" spans="1:14" s="1" customFormat="1" ht="15" x14ac:dyDescent="0.25">
      <c r="B15" s="68" t="s">
        <v>668</v>
      </c>
      <c r="C15" s="69" t="s">
        <v>440</v>
      </c>
      <c r="D15" s="68">
        <v>16</v>
      </c>
      <c r="E15" s="314">
        <v>1000000</v>
      </c>
      <c r="F15" s="101">
        <v>16069372</v>
      </c>
      <c r="G15" s="166">
        <v>38500000000</v>
      </c>
      <c r="H15" s="166">
        <v>-802328000</v>
      </c>
      <c r="I15" s="166">
        <v>46150644000</v>
      </c>
      <c r="J15" s="1" t="s">
        <v>686</v>
      </c>
      <c r="K15" s="437"/>
      <c r="L15" s="437"/>
      <c r="M15" s="437"/>
      <c r="N15" s="36"/>
    </row>
    <row r="16" spans="1:14" s="1" customFormat="1" ht="15" x14ac:dyDescent="0.25">
      <c r="B16" s="68" t="s">
        <v>669</v>
      </c>
      <c r="C16" s="69" t="s">
        <v>440</v>
      </c>
      <c r="D16" s="68">
        <v>84</v>
      </c>
      <c r="E16" s="314">
        <v>1000000</v>
      </c>
      <c r="F16" s="101">
        <v>84642096</v>
      </c>
      <c r="G16" s="166">
        <v>476000000000</v>
      </c>
      <c r="H16" s="166">
        <v>1345071234</v>
      </c>
      <c r="I16" s="166">
        <v>556184319388</v>
      </c>
      <c r="J16" s="1" t="s">
        <v>441</v>
      </c>
      <c r="K16" s="235" t="s">
        <v>687</v>
      </c>
      <c r="L16" s="235"/>
      <c r="M16" s="235"/>
      <c r="N16" s="36"/>
    </row>
    <row r="17" spans="2:10" s="1" customFormat="1" ht="15" x14ac:dyDescent="0.25">
      <c r="B17" s="68" t="s">
        <v>670</v>
      </c>
      <c r="C17" s="69" t="s">
        <v>440</v>
      </c>
      <c r="D17" s="68">
        <v>5</v>
      </c>
      <c r="E17" s="314">
        <v>1000000</v>
      </c>
      <c r="F17" s="101">
        <v>5322660</v>
      </c>
      <c r="G17" s="166">
        <v>104201330000</v>
      </c>
      <c r="H17" s="166">
        <v>5288751000</v>
      </c>
      <c r="I17" s="166">
        <v>140643359000</v>
      </c>
      <c r="J17" s="1" t="s">
        <v>441</v>
      </c>
    </row>
    <row r="18" spans="2:10" s="1" customFormat="1" ht="15" x14ac:dyDescent="0.25">
      <c r="B18" s="68" t="s">
        <v>671</v>
      </c>
      <c r="C18" s="69" t="s">
        <v>440</v>
      </c>
      <c r="D18" s="68">
        <v>7300</v>
      </c>
      <c r="E18" s="314">
        <v>1000000</v>
      </c>
      <c r="F18" s="101">
        <v>7444348321</v>
      </c>
      <c r="G18" s="166">
        <v>164008000000</v>
      </c>
      <c r="H18" s="166">
        <v>211007000000</v>
      </c>
      <c r="I18" s="166">
        <v>675541000000</v>
      </c>
      <c r="J18" s="1" t="s">
        <v>684</v>
      </c>
    </row>
    <row r="19" spans="2:10" s="1" customFormat="1" ht="15" x14ac:dyDescent="0.25">
      <c r="B19" s="68" t="s">
        <v>444</v>
      </c>
      <c r="C19" s="69" t="s">
        <v>439</v>
      </c>
      <c r="D19" s="68">
        <v>19</v>
      </c>
      <c r="E19" s="314">
        <v>1000000</v>
      </c>
      <c r="F19" s="101">
        <f>20320128-718</f>
        <v>20319410</v>
      </c>
      <c r="G19" s="166">
        <v>399238301861.99994</v>
      </c>
      <c r="H19" s="166">
        <v>5887049368</v>
      </c>
      <c r="I19" s="166">
        <v>625575828144.99988</v>
      </c>
    </row>
    <row r="20" spans="2:10" s="1" customFormat="1" ht="15" x14ac:dyDescent="0.25">
      <c r="B20" s="68" t="s">
        <v>564</v>
      </c>
      <c r="C20" s="69" t="s">
        <v>672</v>
      </c>
      <c r="D20" s="68">
        <v>6</v>
      </c>
      <c r="E20" s="314">
        <f>500000000*6</f>
        <v>3000000000</v>
      </c>
      <c r="F20" s="101">
        <v>2867823564</v>
      </c>
      <c r="G20" s="166">
        <v>450000000000</v>
      </c>
      <c r="H20" s="166">
        <v>50083847006</v>
      </c>
      <c r="I20" s="166">
        <v>1278698248602</v>
      </c>
    </row>
    <row r="21" spans="2:10" s="1" customFormat="1" ht="15" x14ac:dyDescent="0.25">
      <c r="B21" s="68" t="s">
        <v>673</v>
      </c>
      <c r="C21" s="69" t="s">
        <v>672</v>
      </c>
      <c r="D21" s="68">
        <v>6</v>
      </c>
      <c r="E21" s="314">
        <f>500000000*6</f>
        <v>3000000000</v>
      </c>
      <c r="F21" s="101">
        <v>2718733428</v>
      </c>
      <c r="G21" s="166">
        <v>684460278503</v>
      </c>
      <c r="H21" s="166">
        <v>35730025942</v>
      </c>
      <c r="I21" s="166">
        <v>1053056002112</v>
      </c>
    </row>
    <row r="22" spans="2:10" s="1" customFormat="1" ht="15" x14ac:dyDescent="0.25">
      <c r="B22" s="68" t="s">
        <v>448</v>
      </c>
      <c r="C22" s="69" t="s">
        <v>672</v>
      </c>
      <c r="D22" s="68">
        <v>8</v>
      </c>
      <c r="E22" s="314">
        <f>500000000*8</f>
        <v>4000000000</v>
      </c>
      <c r="F22" s="101">
        <v>3775187544</v>
      </c>
      <c r="G22" s="166">
        <v>438749092463</v>
      </c>
      <c r="H22" s="166">
        <v>27838854400</v>
      </c>
      <c r="I22" s="166">
        <v>791461418101.99988</v>
      </c>
    </row>
    <row r="23" spans="2:10" s="1" customFormat="1" ht="15" x14ac:dyDescent="0.25">
      <c r="B23" s="68" t="s">
        <v>674</v>
      </c>
      <c r="C23" s="69" t="s">
        <v>672</v>
      </c>
      <c r="D23" s="68">
        <v>3</v>
      </c>
      <c r="E23" s="314">
        <f>500000000*3</f>
        <v>1500000000</v>
      </c>
      <c r="F23" s="101">
        <v>1443053346</v>
      </c>
      <c r="G23" s="166">
        <v>399238301861.99994</v>
      </c>
      <c r="H23" s="166">
        <v>5887049368</v>
      </c>
      <c r="I23" s="166">
        <v>625575828144.99988</v>
      </c>
    </row>
    <row r="24" spans="2:10" s="1" customFormat="1" ht="15" x14ac:dyDescent="0.25">
      <c r="B24" s="68" t="s">
        <v>664</v>
      </c>
      <c r="C24" s="69" t="s">
        <v>422</v>
      </c>
      <c r="D24" s="68">
        <f>6827*2</f>
        <v>13654</v>
      </c>
      <c r="E24" s="314">
        <v>500000</v>
      </c>
      <c r="F24" s="101">
        <v>6841500548</v>
      </c>
      <c r="G24" s="166">
        <v>50469500000</v>
      </c>
      <c r="H24" s="166">
        <v>4787876681</v>
      </c>
      <c r="I24" s="166">
        <v>91806259454</v>
      </c>
      <c r="J24" s="1" t="s">
        <v>441</v>
      </c>
    </row>
    <row r="25" spans="2:10" s="1" customFormat="1" ht="15" x14ac:dyDescent="0.25">
      <c r="B25" s="68" t="s">
        <v>544</v>
      </c>
      <c r="C25" s="69" t="s">
        <v>422</v>
      </c>
      <c r="D25" s="68">
        <v>1280</v>
      </c>
      <c r="E25" s="314">
        <v>1000000</v>
      </c>
      <c r="F25" s="101">
        <f>1535859211-4335</f>
        <v>1535854876</v>
      </c>
      <c r="G25" s="166">
        <v>98910000000</v>
      </c>
      <c r="H25" s="166">
        <v>14297856674</v>
      </c>
      <c r="I25" s="166">
        <v>121477888704</v>
      </c>
      <c r="J25" s="1" t="s">
        <v>684</v>
      </c>
    </row>
    <row r="26" spans="2:10" s="1" customFormat="1" ht="15" x14ac:dyDescent="0.25">
      <c r="B26" s="68" t="s">
        <v>675</v>
      </c>
      <c r="C26" s="69" t="s">
        <v>422</v>
      </c>
      <c r="D26" s="68">
        <v>1</v>
      </c>
      <c r="E26" s="314">
        <v>1761380650</v>
      </c>
      <c r="F26" s="101">
        <v>1761380650</v>
      </c>
      <c r="G26" s="166">
        <v>225114800000</v>
      </c>
      <c r="H26" s="166">
        <v>-8493832611.1200008</v>
      </c>
      <c r="I26" s="166">
        <v>214403397203.92001</v>
      </c>
    </row>
    <row r="27" spans="2:10" s="1" customFormat="1" ht="15" x14ac:dyDescent="0.25">
      <c r="B27" s="68" t="s">
        <v>544</v>
      </c>
      <c r="C27" s="69" t="s">
        <v>676</v>
      </c>
      <c r="D27" s="68">
        <f>1385+60+2900</f>
        <v>4345</v>
      </c>
      <c r="E27" s="314">
        <v>1000000</v>
      </c>
      <c r="F27" s="101">
        <v>4389610599</v>
      </c>
      <c r="G27" s="166">
        <v>98910000000</v>
      </c>
      <c r="H27" s="166">
        <v>14297856674</v>
      </c>
      <c r="I27" s="166">
        <v>121477888704</v>
      </c>
      <c r="J27" s="1" t="s">
        <v>684</v>
      </c>
    </row>
    <row r="28" spans="2:10" s="1" customFormat="1" ht="15" x14ac:dyDescent="0.25">
      <c r="B28" s="68" t="s">
        <v>677</v>
      </c>
      <c r="C28" s="69" t="s">
        <v>561</v>
      </c>
      <c r="D28" s="68">
        <v>4854</v>
      </c>
      <c r="E28" s="314">
        <v>1000000</v>
      </c>
      <c r="F28" s="101">
        <f>4617987383+15222314</f>
        <v>4633209697</v>
      </c>
      <c r="G28" s="70"/>
      <c r="H28" s="70"/>
      <c r="I28" s="70"/>
    </row>
    <row r="29" spans="2:10" s="1" customFormat="1" ht="15" x14ac:dyDescent="0.25">
      <c r="B29" s="68" t="s">
        <v>562</v>
      </c>
      <c r="C29" s="69" t="s">
        <v>563</v>
      </c>
      <c r="D29" s="68">
        <v>2.6419359999999998</v>
      </c>
      <c r="E29" s="314">
        <v>526560.82695799996</v>
      </c>
      <c r="F29" s="101">
        <v>1391140</v>
      </c>
      <c r="G29" s="70"/>
      <c r="H29" s="70"/>
      <c r="I29" s="70"/>
    </row>
    <row r="30" spans="2:10" s="36" customFormat="1" ht="15" x14ac:dyDescent="0.25">
      <c r="B30" s="64" t="s">
        <v>446</v>
      </c>
      <c r="C30" s="73"/>
      <c r="D30" s="64"/>
      <c r="E30" s="74"/>
      <c r="F30" s="75">
        <f>SUM(F9:F29)</f>
        <v>48249040977</v>
      </c>
      <c r="G30" s="75"/>
      <c r="H30" s="75"/>
      <c r="I30" s="77"/>
    </row>
    <row r="31" spans="2:10" s="1" customFormat="1" ht="15" x14ac:dyDescent="0.25">
      <c r="B31" s="68" t="s">
        <v>678</v>
      </c>
      <c r="C31" s="69" t="s">
        <v>440</v>
      </c>
      <c r="D31" s="78">
        <v>10</v>
      </c>
      <c r="E31" s="103">
        <v>1000</v>
      </c>
      <c r="F31" s="102">
        <v>10070.1</v>
      </c>
      <c r="G31" s="315">
        <v>25025000000</v>
      </c>
      <c r="H31" s="315">
        <v>2814297537</v>
      </c>
      <c r="I31" s="315">
        <v>29187245267</v>
      </c>
      <c r="J31" s="1" t="s">
        <v>441</v>
      </c>
    </row>
    <row r="32" spans="2:10" s="1" customFormat="1" ht="15" x14ac:dyDescent="0.25">
      <c r="B32" s="68" t="s">
        <v>449</v>
      </c>
      <c r="C32" s="69" t="s">
        <v>442</v>
      </c>
      <c r="D32" s="78">
        <v>93</v>
      </c>
      <c r="E32" s="80">
        <v>1000</v>
      </c>
      <c r="F32" s="79">
        <v>8078.26</v>
      </c>
      <c r="G32" s="166">
        <v>277910000000</v>
      </c>
      <c r="H32" s="166">
        <v>31973495747</v>
      </c>
      <c r="I32" s="166">
        <v>656365912643</v>
      </c>
    </row>
    <row r="33" spans="2:14" s="1" customFormat="1" ht="15" x14ac:dyDescent="0.25">
      <c r="B33" s="68" t="s">
        <v>447</v>
      </c>
      <c r="C33" s="69" t="s">
        <v>439</v>
      </c>
      <c r="D33" s="78">
        <v>17</v>
      </c>
      <c r="E33" s="80">
        <v>1000</v>
      </c>
      <c r="F33" s="79">
        <v>17088.400000000001</v>
      </c>
      <c r="G33" s="166">
        <v>1151242860000</v>
      </c>
      <c r="H33" s="166">
        <v>2173308721</v>
      </c>
      <c r="I33" s="166">
        <v>1739139780668.0002</v>
      </c>
    </row>
    <row r="34" spans="2:14" s="1" customFormat="1" ht="15" x14ac:dyDescent="0.25">
      <c r="B34" s="68" t="s">
        <v>448</v>
      </c>
      <c r="C34" s="69" t="s">
        <v>439</v>
      </c>
      <c r="D34" s="78">
        <v>2154</v>
      </c>
      <c r="E34" s="80">
        <v>155000</v>
      </c>
      <c r="F34" s="79">
        <v>2158781.88</v>
      </c>
      <c r="G34" s="166">
        <v>438749092463</v>
      </c>
      <c r="H34" s="166">
        <v>27838854400</v>
      </c>
      <c r="I34" s="166">
        <v>791461418101.99988</v>
      </c>
    </row>
    <row r="35" spans="2:14" s="1" customFormat="1" ht="15" x14ac:dyDescent="0.25">
      <c r="B35" s="68" t="s">
        <v>438</v>
      </c>
      <c r="C35" s="69" t="s">
        <v>679</v>
      </c>
      <c r="D35" s="78">
        <v>1</v>
      </c>
      <c r="E35" s="80">
        <v>2112.0700000000002</v>
      </c>
      <c r="F35" s="79">
        <v>2112.0700000000002</v>
      </c>
      <c r="G35" s="166">
        <v>1720989299372.0002</v>
      </c>
      <c r="H35" s="166">
        <v>88450575461</v>
      </c>
      <c r="I35" s="166">
        <v>3097444463300</v>
      </c>
    </row>
    <row r="36" spans="2:14" s="1" customFormat="1" ht="15" x14ac:dyDescent="0.25">
      <c r="B36" s="68" t="s">
        <v>565</v>
      </c>
      <c r="C36" s="69" t="s">
        <v>679</v>
      </c>
      <c r="D36" s="78">
        <v>1</v>
      </c>
      <c r="E36" s="80">
        <f>+(1589.81*5)+(1012.51*3)+1012.58+442.46</f>
        <v>12441.619999999997</v>
      </c>
      <c r="F36" s="79">
        <f>+E36</f>
        <v>12441.619999999997</v>
      </c>
      <c r="G36" s="166">
        <v>348339600000</v>
      </c>
      <c r="H36" s="166">
        <v>2799575036.7000003</v>
      </c>
      <c r="I36" s="166">
        <v>381904225189.54999</v>
      </c>
    </row>
    <row r="37" spans="2:14" s="1" customFormat="1" ht="15" x14ac:dyDescent="0.25">
      <c r="B37" s="68" t="s">
        <v>680</v>
      </c>
      <c r="C37" s="69" t="s">
        <v>672</v>
      </c>
      <c r="D37" s="78">
        <v>1</v>
      </c>
      <c r="E37" s="80">
        <f>16840.71+50.4</f>
        <v>16891.11</v>
      </c>
      <c r="F37" s="79">
        <v>16891.11</v>
      </c>
      <c r="G37" s="166">
        <v>38218670454</v>
      </c>
      <c r="H37" s="166">
        <v>-2872805789</v>
      </c>
      <c r="I37" s="166">
        <v>55461739550</v>
      </c>
    </row>
    <row r="38" spans="2:14" s="1" customFormat="1" ht="15" x14ac:dyDescent="0.25">
      <c r="B38" s="68" t="s">
        <v>681</v>
      </c>
      <c r="C38" s="69" t="s">
        <v>672</v>
      </c>
      <c r="D38" s="78">
        <v>2</v>
      </c>
      <c r="E38" s="80">
        <f>25500+365.59+10023.58+343.04</f>
        <v>36232.21</v>
      </c>
      <c r="F38" s="79">
        <v>36232.21</v>
      </c>
      <c r="G38" s="166">
        <v>90511953371</v>
      </c>
      <c r="H38" s="166">
        <v>390368000</v>
      </c>
      <c r="I38" s="166">
        <v>122560928373</v>
      </c>
    </row>
    <row r="39" spans="2:14" s="1" customFormat="1" ht="15" x14ac:dyDescent="0.25">
      <c r="B39" s="68" t="s">
        <v>682</v>
      </c>
      <c r="C39" s="69" t="s">
        <v>672</v>
      </c>
      <c r="D39" s="78">
        <v>2</v>
      </c>
      <c r="E39" s="80">
        <f>25000+662.6+25000+662.6</f>
        <v>51325.2</v>
      </c>
      <c r="F39" s="79">
        <v>51325.2</v>
      </c>
      <c r="G39" s="166">
        <v>75000000000</v>
      </c>
      <c r="H39" s="166">
        <v>842099080</v>
      </c>
      <c r="I39" s="166">
        <v>104321948479</v>
      </c>
    </row>
    <row r="40" spans="2:14" s="1" customFormat="1" ht="15" x14ac:dyDescent="0.25">
      <c r="B40" s="68" t="s">
        <v>675</v>
      </c>
      <c r="C40" s="69" t="s">
        <v>672</v>
      </c>
      <c r="D40" s="78">
        <v>1</v>
      </c>
      <c r="E40" s="80">
        <f>50430+2649.88</f>
        <v>53079.88</v>
      </c>
      <c r="F40" s="79">
        <f>+E40</f>
        <v>53079.88</v>
      </c>
      <c r="G40" s="166">
        <v>225114800000</v>
      </c>
      <c r="H40" s="166">
        <v>-8493832611.1200008</v>
      </c>
      <c r="I40" s="166">
        <v>214403397203.92001</v>
      </c>
    </row>
    <row r="41" spans="2:14" s="1" customFormat="1" ht="15" x14ac:dyDescent="0.25">
      <c r="B41" s="68" t="s">
        <v>683</v>
      </c>
      <c r="C41" s="69" t="s">
        <v>672</v>
      </c>
      <c r="D41" s="78">
        <v>1</v>
      </c>
      <c r="E41" s="80">
        <f>19955.4+84.49</f>
        <v>20039.890000000003</v>
      </c>
      <c r="F41" s="79">
        <f>+E41</f>
        <v>20039.890000000003</v>
      </c>
      <c r="G41" s="166">
        <v>71000000000</v>
      </c>
      <c r="H41" s="166">
        <v>5240472589</v>
      </c>
      <c r="I41" s="166">
        <v>135199451383</v>
      </c>
    </row>
    <row r="42" spans="2:14" s="1" customFormat="1" ht="15" x14ac:dyDescent="0.25">
      <c r="B42" s="68" t="s">
        <v>444</v>
      </c>
      <c r="C42" s="69" t="s">
        <v>672</v>
      </c>
      <c r="D42" s="78">
        <v>1</v>
      </c>
      <c r="E42" s="80">
        <f>99999+850.71</f>
        <v>100849.71</v>
      </c>
      <c r="F42" s="79">
        <f>+E42</f>
        <v>100849.71</v>
      </c>
      <c r="G42" s="166">
        <v>399238301861.99994</v>
      </c>
      <c r="H42" s="166">
        <v>5887049368</v>
      </c>
      <c r="I42" s="166">
        <v>625575828144.99988</v>
      </c>
    </row>
    <row r="43" spans="2:14" s="1" customFormat="1" ht="15" x14ac:dyDescent="0.25">
      <c r="B43" s="68" t="s">
        <v>678</v>
      </c>
      <c r="C43" s="69" t="s">
        <v>445</v>
      </c>
      <c r="D43" s="78">
        <v>26</v>
      </c>
      <c r="E43" s="80">
        <v>1000</v>
      </c>
      <c r="F43" s="79">
        <v>28860.52</v>
      </c>
      <c r="G43" s="166">
        <v>25025000000</v>
      </c>
      <c r="H43" s="166">
        <v>2814297537</v>
      </c>
      <c r="I43" s="166">
        <v>29187245267</v>
      </c>
      <c r="J43" s="1" t="s">
        <v>441</v>
      </c>
    </row>
    <row r="44" spans="2:14" s="1" customFormat="1" ht="15" x14ac:dyDescent="0.25">
      <c r="B44" s="68" t="s">
        <v>562</v>
      </c>
      <c r="C44" s="69" t="s">
        <v>563</v>
      </c>
      <c r="D44" s="78">
        <v>3.130071</v>
      </c>
      <c r="E44" s="80">
        <v>102.933587</v>
      </c>
      <c r="F44" s="79">
        <v>322.19</v>
      </c>
      <c r="G44" s="70"/>
      <c r="H44" s="70"/>
      <c r="I44" s="70"/>
    </row>
    <row r="45" spans="2:14" s="1" customFormat="1" ht="15" x14ac:dyDescent="0.25">
      <c r="B45" s="68" t="s">
        <v>677</v>
      </c>
      <c r="C45" s="69" t="s">
        <v>561</v>
      </c>
      <c r="D45" s="78">
        <v>96</v>
      </c>
      <c r="E45" s="80">
        <v>1000</v>
      </c>
      <c r="F45" s="79">
        <v>91092.33</v>
      </c>
      <c r="G45" s="70"/>
      <c r="H45" s="70"/>
      <c r="I45" s="70"/>
    </row>
    <row r="46" spans="2:14" ht="15" x14ac:dyDescent="0.25">
      <c r="B46" s="64" t="s">
        <v>450</v>
      </c>
      <c r="C46" s="73"/>
      <c r="D46" s="64"/>
      <c r="E46" s="81"/>
      <c r="F46" s="82">
        <f>SUM(F31:F45)</f>
        <v>2607265.3699999996</v>
      </c>
      <c r="G46" s="83"/>
      <c r="H46" s="64"/>
      <c r="I46" s="64"/>
      <c r="K46" s="1"/>
      <c r="L46" s="1"/>
      <c r="M46" s="1"/>
      <c r="N46" s="1"/>
    </row>
    <row r="47" spans="2:14" ht="15" x14ac:dyDescent="0.25">
      <c r="B47" s="64" t="s">
        <v>451</v>
      </c>
      <c r="C47" s="73"/>
      <c r="D47" s="64"/>
      <c r="E47" s="81"/>
      <c r="F47" s="82">
        <v>6554.28</v>
      </c>
      <c r="G47" s="64"/>
      <c r="H47" s="64"/>
      <c r="I47" s="64"/>
      <c r="K47" s="1"/>
      <c r="L47" s="1"/>
      <c r="M47" s="1"/>
      <c r="N47" s="1"/>
    </row>
    <row r="48" spans="2:14" ht="15" x14ac:dyDescent="0.25">
      <c r="B48" s="64" t="s">
        <v>452</v>
      </c>
      <c r="C48" s="73"/>
      <c r="D48" s="64"/>
      <c r="E48" s="81"/>
      <c r="F48" s="75">
        <f>+F47*F46</f>
        <v>17088747269.283598</v>
      </c>
      <c r="G48" s="64"/>
      <c r="H48" s="64"/>
      <c r="I48" s="64"/>
      <c r="K48" s="1"/>
      <c r="L48" s="1"/>
      <c r="M48" s="1"/>
      <c r="N48" s="1"/>
    </row>
    <row r="49" spans="2:14" ht="15" x14ac:dyDescent="0.25">
      <c r="B49" s="64" t="s">
        <v>688</v>
      </c>
      <c r="C49" s="65"/>
      <c r="D49" s="66"/>
      <c r="E49" s="65"/>
      <c r="F49" s="75">
        <f>+F48+F30</f>
        <v>65337788246.2836</v>
      </c>
      <c r="G49" s="64"/>
      <c r="H49" s="64"/>
      <c r="I49" s="64"/>
      <c r="K49" s="1"/>
      <c r="L49" s="1"/>
      <c r="M49" s="1"/>
      <c r="N49" s="1"/>
    </row>
    <row r="50" spans="2:14" ht="15" x14ac:dyDescent="0.25">
      <c r="B50" s="64" t="s">
        <v>566</v>
      </c>
      <c r="C50" s="65"/>
      <c r="D50" s="66"/>
      <c r="E50" s="65"/>
      <c r="F50" s="75">
        <v>69260134028</v>
      </c>
      <c r="G50" s="64"/>
      <c r="H50" s="64"/>
      <c r="I50" s="64"/>
      <c r="K50" s="1"/>
      <c r="L50" s="1"/>
      <c r="M50" s="1"/>
      <c r="N50" s="1"/>
    </row>
    <row r="51" spans="2:14" ht="7.5" customHeight="1" x14ac:dyDescent="0.25">
      <c r="B51" s="84"/>
      <c r="C51" s="85"/>
      <c r="D51" s="86"/>
      <c r="E51" s="85"/>
      <c r="F51" s="84"/>
      <c r="G51" s="84"/>
      <c r="H51" s="84"/>
      <c r="I51" s="84"/>
      <c r="K51" s="1"/>
      <c r="L51" s="1"/>
      <c r="M51" s="1"/>
      <c r="N51" s="1"/>
    </row>
    <row r="52" spans="2:14" ht="15" x14ac:dyDescent="0.25">
      <c r="B52" s="64" t="s">
        <v>174</v>
      </c>
      <c r="C52" s="65"/>
      <c r="D52" s="64"/>
      <c r="E52" s="65"/>
      <c r="F52" s="64"/>
      <c r="G52" s="64"/>
      <c r="H52" s="64"/>
      <c r="I52" s="64"/>
      <c r="K52" s="1"/>
      <c r="L52" s="1"/>
      <c r="M52" s="1"/>
      <c r="N52" s="1"/>
    </row>
    <row r="53" spans="2:14" s="1" customFormat="1" ht="15" x14ac:dyDescent="0.25">
      <c r="B53" s="87" t="s">
        <v>93</v>
      </c>
      <c r="C53" s="88" t="s">
        <v>567</v>
      </c>
      <c r="D53" s="89">
        <v>35609</v>
      </c>
      <c r="E53" s="89">
        <v>100000</v>
      </c>
      <c r="F53" s="70">
        <v>3560900000</v>
      </c>
      <c r="G53" s="89"/>
      <c r="H53" s="89"/>
      <c r="I53" s="90"/>
    </row>
    <row r="54" spans="2:14" s="1" customFormat="1" ht="15" x14ac:dyDescent="0.25">
      <c r="B54" s="68" t="s">
        <v>623</v>
      </c>
      <c r="C54" s="262" t="s">
        <v>567</v>
      </c>
      <c r="D54" s="192"/>
      <c r="E54" s="192"/>
      <c r="F54" s="70">
        <v>1351400000</v>
      </c>
      <c r="G54" s="192"/>
      <c r="H54" s="192"/>
      <c r="I54" s="118"/>
    </row>
    <row r="55" spans="2:14" s="1" customFormat="1" ht="15" x14ac:dyDescent="0.25">
      <c r="B55" s="91" t="s">
        <v>568</v>
      </c>
      <c r="C55" s="92" t="s">
        <v>567</v>
      </c>
      <c r="D55" s="93">
        <v>1</v>
      </c>
      <c r="E55" s="93">
        <v>750000000</v>
      </c>
      <c r="F55" s="70">
        <v>750000000</v>
      </c>
      <c r="G55" s="93"/>
      <c r="H55" s="93"/>
      <c r="I55" s="316"/>
    </row>
    <row r="56" spans="2:14" ht="15" x14ac:dyDescent="0.25">
      <c r="B56" s="64" t="s">
        <v>688</v>
      </c>
      <c r="C56" s="64"/>
      <c r="D56" s="64"/>
      <c r="E56" s="64"/>
      <c r="F56" s="75">
        <f>SUM(F53:F55)</f>
        <v>5662300000</v>
      </c>
      <c r="G56" s="94"/>
      <c r="H56" s="94"/>
      <c r="I56" s="94"/>
      <c r="K56" s="1"/>
      <c r="L56" s="1"/>
      <c r="M56" s="1"/>
      <c r="N56" s="1"/>
    </row>
    <row r="57" spans="2:14" ht="15" x14ac:dyDescent="0.25">
      <c r="B57" s="64" t="s">
        <v>566</v>
      </c>
      <c r="C57" s="95"/>
      <c r="D57" s="95"/>
      <c r="E57" s="95"/>
      <c r="F57" s="75">
        <v>5662300000</v>
      </c>
      <c r="G57" s="64"/>
      <c r="H57" s="64"/>
      <c r="I57" s="64"/>
      <c r="K57" s="1"/>
      <c r="L57" s="1"/>
      <c r="M57" s="1"/>
      <c r="N57" s="1"/>
    </row>
    <row r="58" spans="2:14" ht="15" x14ac:dyDescent="0.25">
      <c r="B58" s="1"/>
      <c r="C58" s="96"/>
      <c r="D58" s="97"/>
      <c r="E58" s="96"/>
      <c r="F58" s="1"/>
      <c r="G58" s="1"/>
      <c r="H58" s="1"/>
      <c r="I58" s="1"/>
      <c r="K58" s="1"/>
      <c r="L58" s="1"/>
      <c r="M58" s="1"/>
      <c r="N58" s="1"/>
    </row>
    <row r="59" spans="2:14" ht="45" x14ac:dyDescent="0.25">
      <c r="B59" s="60" t="s">
        <v>453</v>
      </c>
      <c r="C59" s="61" t="s">
        <v>454</v>
      </c>
      <c r="D59" s="60" t="s">
        <v>436</v>
      </c>
      <c r="E59" s="61" t="s">
        <v>435</v>
      </c>
      <c r="F59" s="60" t="s">
        <v>455</v>
      </c>
      <c r="G59" s="1"/>
      <c r="H59" s="1"/>
      <c r="I59" s="1"/>
      <c r="K59" s="1"/>
      <c r="L59" s="1"/>
      <c r="M59" s="1"/>
      <c r="N59" s="1"/>
    </row>
    <row r="60" spans="2:14" ht="15" x14ac:dyDescent="0.25">
      <c r="B60" s="98" t="s">
        <v>456</v>
      </c>
      <c r="C60" s="99"/>
      <c r="D60" s="100"/>
      <c r="E60" s="99"/>
      <c r="F60" s="83"/>
      <c r="G60" s="1"/>
      <c r="H60" s="1"/>
      <c r="I60" s="1"/>
      <c r="K60" s="1"/>
      <c r="L60" s="1"/>
      <c r="M60" s="1"/>
      <c r="N60" s="1"/>
    </row>
    <row r="61" spans="2:14" s="1" customFormat="1" ht="15" x14ac:dyDescent="0.25">
      <c r="B61" s="68" t="s">
        <v>443</v>
      </c>
      <c r="C61" s="101">
        <v>357632849</v>
      </c>
      <c r="D61" s="71">
        <v>357632849</v>
      </c>
      <c r="E61" s="71">
        <v>1000000</v>
      </c>
      <c r="F61" s="71">
        <v>357632849</v>
      </c>
    </row>
    <row r="62" spans="2:14" s="1" customFormat="1" ht="15" x14ac:dyDescent="0.25">
      <c r="B62" s="68" t="s">
        <v>663</v>
      </c>
      <c r="C62" s="101">
        <v>10217360406</v>
      </c>
      <c r="D62" s="70">
        <v>10217360406</v>
      </c>
      <c r="E62" s="70">
        <v>1000000</v>
      </c>
      <c r="F62" s="70">
        <v>10217360406</v>
      </c>
    </row>
    <row r="63" spans="2:14" s="1" customFormat="1" ht="15" x14ac:dyDescent="0.25">
      <c r="B63" s="68" t="s">
        <v>664</v>
      </c>
      <c r="C63" s="101">
        <v>21520706</v>
      </c>
      <c r="D63" s="70">
        <v>21520706</v>
      </c>
      <c r="E63" s="70">
        <v>1000000</v>
      </c>
      <c r="F63" s="70">
        <v>21520706</v>
      </c>
    </row>
    <row r="64" spans="2:14" s="1" customFormat="1" ht="15" x14ac:dyDescent="0.25">
      <c r="B64" s="68" t="s">
        <v>665</v>
      </c>
      <c r="C64" s="101">
        <v>19806554</v>
      </c>
      <c r="D64" s="70">
        <v>19806554</v>
      </c>
      <c r="E64" s="70">
        <v>1000000</v>
      </c>
      <c r="F64" s="70">
        <v>19806554</v>
      </c>
    </row>
    <row r="65" spans="2:6" s="1" customFormat="1" ht="15" x14ac:dyDescent="0.25">
      <c r="B65" s="68" t="s">
        <v>666</v>
      </c>
      <c r="C65" s="101">
        <v>2004796</v>
      </c>
      <c r="D65" s="70">
        <v>2004796</v>
      </c>
      <c r="E65" s="70">
        <v>1000000</v>
      </c>
      <c r="F65" s="70">
        <v>2004796</v>
      </c>
    </row>
    <row r="66" spans="2:6" s="1" customFormat="1" ht="15" x14ac:dyDescent="0.25">
      <c r="B66" s="68" t="s">
        <v>667</v>
      </c>
      <c r="C66" s="101">
        <v>92268415</v>
      </c>
      <c r="D66" s="70">
        <v>92268415</v>
      </c>
      <c r="E66" s="70">
        <v>1000000</v>
      </c>
      <c r="F66" s="70">
        <v>92268415</v>
      </c>
    </row>
    <row r="67" spans="2:6" s="1" customFormat="1" ht="15" x14ac:dyDescent="0.25">
      <c r="B67" s="68" t="s">
        <v>668</v>
      </c>
      <c r="C67" s="101">
        <v>16069372</v>
      </c>
      <c r="D67" s="70">
        <v>16069372</v>
      </c>
      <c r="E67" s="70">
        <v>1000000</v>
      </c>
      <c r="F67" s="70">
        <v>16069372</v>
      </c>
    </row>
    <row r="68" spans="2:6" s="1" customFormat="1" ht="15" x14ac:dyDescent="0.25">
      <c r="B68" s="68" t="s">
        <v>669</v>
      </c>
      <c r="C68" s="101">
        <v>84642096</v>
      </c>
      <c r="D68" s="70">
        <v>84642096</v>
      </c>
      <c r="E68" s="70">
        <v>1000000</v>
      </c>
      <c r="F68" s="70">
        <v>84642096</v>
      </c>
    </row>
    <row r="69" spans="2:6" s="1" customFormat="1" ht="15" x14ac:dyDescent="0.25">
      <c r="B69" s="68" t="s">
        <v>670</v>
      </c>
      <c r="C69" s="101">
        <v>5322660</v>
      </c>
      <c r="D69" s="70">
        <v>5322660</v>
      </c>
      <c r="E69" s="70">
        <v>1000000</v>
      </c>
      <c r="F69" s="70">
        <v>5322660</v>
      </c>
    </row>
    <row r="70" spans="2:6" s="1" customFormat="1" ht="15" x14ac:dyDescent="0.25">
      <c r="B70" s="68" t="s">
        <v>671</v>
      </c>
      <c r="C70" s="101">
        <v>7444348321</v>
      </c>
      <c r="D70" s="70">
        <v>7444348321</v>
      </c>
      <c r="E70" s="70">
        <v>1000000</v>
      </c>
      <c r="F70" s="70">
        <v>7444348321</v>
      </c>
    </row>
    <row r="71" spans="2:6" s="1" customFormat="1" ht="15" x14ac:dyDescent="0.25">
      <c r="B71" s="68" t="s">
        <v>444</v>
      </c>
      <c r="C71" s="101">
        <v>20319410</v>
      </c>
      <c r="D71" s="70">
        <v>20319410</v>
      </c>
      <c r="E71" s="70">
        <v>1000000</v>
      </c>
      <c r="F71" s="70">
        <v>20319410</v>
      </c>
    </row>
    <row r="72" spans="2:6" s="1" customFormat="1" ht="15" x14ac:dyDescent="0.25">
      <c r="B72" s="68" t="s">
        <v>564</v>
      </c>
      <c r="C72" s="101">
        <v>2867823564</v>
      </c>
      <c r="D72" s="70">
        <v>2867823564</v>
      </c>
      <c r="E72" s="70">
        <v>3000000000</v>
      </c>
      <c r="F72" s="70">
        <v>2867823564</v>
      </c>
    </row>
    <row r="73" spans="2:6" s="1" customFormat="1" ht="15" x14ac:dyDescent="0.25">
      <c r="B73" s="68" t="s">
        <v>673</v>
      </c>
      <c r="C73" s="101">
        <v>2718733428</v>
      </c>
      <c r="D73" s="70">
        <v>2718733428</v>
      </c>
      <c r="E73" s="70">
        <v>3000000000</v>
      </c>
      <c r="F73" s="70">
        <v>2718733428</v>
      </c>
    </row>
    <row r="74" spans="2:6" s="1" customFormat="1" ht="15" x14ac:dyDescent="0.25">
      <c r="B74" s="68" t="s">
        <v>448</v>
      </c>
      <c r="C74" s="101">
        <v>3775187544</v>
      </c>
      <c r="D74" s="70">
        <v>3775187544</v>
      </c>
      <c r="E74" s="70">
        <v>4000000000</v>
      </c>
      <c r="F74" s="70">
        <v>3775187544</v>
      </c>
    </row>
    <row r="75" spans="2:6" s="1" customFormat="1" ht="15" x14ac:dyDescent="0.25">
      <c r="B75" s="68" t="s">
        <v>674</v>
      </c>
      <c r="C75" s="101">
        <v>1443053346</v>
      </c>
      <c r="D75" s="70">
        <v>1443053346</v>
      </c>
      <c r="E75" s="70">
        <v>1500000000</v>
      </c>
      <c r="F75" s="70">
        <v>1443053346</v>
      </c>
    </row>
    <row r="76" spans="2:6" s="1" customFormat="1" ht="15" x14ac:dyDescent="0.25">
      <c r="B76" s="68" t="s">
        <v>664</v>
      </c>
      <c r="C76" s="101">
        <v>6841500548</v>
      </c>
      <c r="D76" s="70">
        <v>6841500548</v>
      </c>
      <c r="E76" s="70">
        <v>500000</v>
      </c>
      <c r="F76" s="70">
        <v>6841500548</v>
      </c>
    </row>
    <row r="77" spans="2:6" s="1" customFormat="1" ht="15" x14ac:dyDescent="0.25">
      <c r="B77" s="68" t="s">
        <v>544</v>
      </c>
      <c r="C77" s="101">
        <v>1535854876</v>
      </c>
      <c r="D77" s="70">
        <v>1535854876</v>
      </c>
      <c r="E77" s="70">
        <v>1000000</v>
      </c>
      <c r="F77" s="70">
        <v>1535854876</v>
      </c>
    </row>
    <row r="78" spans="2:6" s="1" customFormat="1" ht="15" x14ac:dyDescent="0.25">
      <c r="B78" s="68" t="s">
        <v>675</v>
      </c>
      <c r="C78" s="101">
        <v>1761380650</v>
      </c>
      <c r="D78" s="70">
        <v>1761380650</v>
      </c>
      <c r="E78" s="70">
        <v>1761380650</v>
      </c>
      <c r="F78" s="70">
        <v>1761380650</v>
      </c>
    </row>
    <row r="79" spans="2:6" s="1" customFormat="1" ht="15" x14ac:dyDescent="0.25">
      <c r="B79" s="68" t="s">
        <v>544</v>
      </c>
      <c r="C79" s="101">
        <v>4389610599</v>
      </c>
      <c r="D79" s="70">
        <v>4389610599</v>
      </c>
      <c r="E79" s="70">
        <v>1000000</v>
      </c>
      <c r="F79" s="70">
        <v>4389610599</v>
      </c>
    </row>
    <row r="80" spans="2:6" s="1" customFormat="1" ht="15" x14ac:dyDescent="0.25">
      <c r="B80" s="68" t="s">
        <v>677</v>
      </c>
      <c r="C80" s="101">
        <v>4633209697</v>
      </c>
      <c r="D80" s="70">
        <v>4633209697</v>
      </c>
      <c r="E80" s="70">
        <v>1000000</v>
      </c>
      <c r="F80" s="70">
        <v>4633209697</v>
      </c>
    </row>
    <row r="81" spans="2:6" s="1" customFormat="1" ht="15" x14ac:dyDescent="0.25">
      <c r="B81" s="68" t="s">
        <v>562</v>
      </c>
      <c r="C81" s="101">
        <v>1391140</v>
      </c>
      <c r="D81" s="70">
        <v>1391140</v>
      </c>
      <c r="E81" s="70">
        <v>526560.82695799996</v>
      </c>
      <c r="F81" s="70">
        <v>1391140</v>
      </c>
    </row>
    <row r="82" spans="2:6" s="1" customFormat="1" ht="15" x14ac:dyDescent="0.25">
      <c r="B82" s="64" t="s">
        <v>446</v>
      </c>
      <c r="C82" s="75">
        <f>SUM(C61:C81)</f>
        <v>48249040977</v>
      </c>
      <c r="D82" s="75">
        <f>SUM(D61:D81)</f>
        <v>48249040977</v>
      </c>
      <c r="E82" s="85"/>
      <c r="F82" s="75">
        <f>SUM(F61:F81)</f>
        <v>48249040977</v>
      </c>
    </row>
    <row r="83" spans="2:6" s="1" customFormat="1" ht="15" x14ac:dyDescent="0.25">
      <c r="B83" s="68" t="s">
        <v>678</v>
      </c>
      <c r="C83" s="102">
        <v>10070.1</v>
      </c>
      <c r="D83" s="102">
        <v>10070.1</v>
      </c>
      <c r="E83" s="103">
        <v>1000</v>
      </c>
      <c r="F83" s="102">
        <v>10070.1</v>
      </c>
    </row>
    <row r="84" spans="2:6" s="1" customFormat="1" ht="15" x14ac:dyDescent="0.25">
      <c r="B84" s="68" t="s">
        <v>449</v>
      </c>
      <c r="C84" s="79">
        <v>8078.26</v>
      </c>
      <c r="D84" s="79">
        <v>8078.26</v>
      </c>
      <c r="E84" s="80">
        <v>1000</v>
      </c>
      <c r="F84" s="79">
        <v>8078.26</v>
      </c>
    </row>
    <row r="85" spans="2:6" s="1" customFormat="1" ht="15" x14ac:dyDescent="0.25">
      <c r="B85" s="68" t="s">
        <v>447</v>
      </c>
      <c r="C85" s="79">
        <v>17088.400000000001</v>
      </c>
      <c r="D85" s="79">
        <v>17088.400000000001</v>
      </c>
      <c r="E85" s="80">
        <v>1000</v>
      </c>
      <c r="F85" s="79">
        <v>17088.400000000001</v>
      </c>
    </row>
    <row r="86" spans="2:6" s="1" customFormat="1" ht="15" x14ac:dyDescent="0.25">
      <c r="B86" s="68" t="s">
        <v>448</v>
      </c>
      <c r="C86" s="79">
        <v>2158781.88</v>
      </c>
      <c r="D86" s="79">
        <v>2158781.88</v>
      </c>
      <c r="E86" s="80">
        <v>155000</v>
      </c>
      <c r="F86" s="79">
        <v>2158781.88</v>
      </c>
    </row>
    <row r="87" spans="2:6" s="1" customFormat="1" ht="15" x14ac:dyDescent="0.25">
      <c r="B87" s="68" t="s">
        <v>438</v>
      </c>
      <c r="C87" s="79">
        <v>2112.0700000000002</v>
      </c>
      <c r="D87" s="79">
        <v>2112.0700000000002</v>
      </c>
      <c r="E87" s="80">
        <v>2112.0700000000002</v>
      </c>
      <c r="F87" s="79">
        <v>2112.0700000000002</v>
      </c>
    </row>
    <row r="88" spans="2:6" s="1" customFormat="1" ht="15" x14ac:dyDescent="0.25">
      <c r="B88" s="68" t="s">
        <v>565</v>
      </c>
      <c r="C88" s="79">
        <v>12441.619999999997</v>
      </c>
      <c r="D88" s="79">
        <v>12441.619999999997</v>
      </c>
      <c r="E88" s="80">
        <v>12441.619999999997</v>
      </c>
      <c r="F88" s="79">
        <v>12441.619999999997</v>
      </c>
    </row>
    <row r="89" spans="2:6" s="1" customFormat="1" ht="15" x14ac:dyDescent="0.25">
      <c r="B89" s="68" t="s">
        <v>680</v>
      </c>
      <c r="C89" s="79">
        <v>16891.11</v>
      </c>
      <c r="D89" s="79">
        <v>16891.11</v>
      </c>
      <c r="E89" s="80">
        <v>16891.11</v>
      </c>
      <c r="F89" s="79">
        <v>16891.11</v>
      </c>
    </row>
    <row r="90" spans="2:6" s="1" customFormat="1" ht="15" x14ac:dyDescent="0.25">
      <c r="B90" s="68" t="s">
        <v>681</v>
      </c>
      <c r="C90" s="79">
        <v>36232.21</v>
      </c>
      <c r="D90" s="79">
        <v>36232.21</v>
      </c>
      <c r="E90" s="80">
        <v>36232.21</v>
      </c>
      <c r="F90" s="79">
        <v>36232.21</v>
      </c>
    </row>
    <row r="91" spans="2:6" s="1" customFormat="1" ht="15" x14ac:dyDescent="0.25">
      <c r="B91" s="68" t="s">
        <v>682</v>
      </c>
      <c r="C91" s="79">
        <v>51325.2</v>
      </c>
      <c r="D91" s="79">
        <v>51325.2</v>
      </c>
      <c r="E91" s="80">
        <v>51325.2</v>
      </c>
      <c r="F91" s="79">
        <v>51325.2</v>
      </c>
    </row>
    <row r="92" spans="2:6" s="1" customFormat="1" ht="15" x14ac:dyDescent="0.25">
      <c r="B92" s="68" t="s">
        <v>675</v>
      </c>
      <c r="C92" s="79">
        <v>53079.88</v>
      </c>
      <c r="D92" s="79">
        <v>53079.88</v>
      </c>
      <c r="E92" s="80">
        <v>53079.88</v>
      </c>
      <c r="F92" s="79">
        <v>53079.88</v>
      </c>
    </row>
    <row r="93" spans="2:6" s="1" customFormat="1" ht="15" x14ac:dyDescent="0.25">
      <c r="B93" s="68" t="s">
        <v>683</v>
      </c>
      <c r="C93" s="79">
        <v>20039.890000000003</v>
      </c>
      <c r="D93" s="79">
        <v>20039.890000000003</v>
      </c>
      <c r="E93" s="80">
        <v>20039.890000000003</v>
      </c>
      <c r="F93" s="79">
        <v>20039.890000000003</v>
      </c>
    </row>
    <row r="94" spans="2:6" s="1" customFormat="1" ht="15" x14ac:dyDescent="0.25">
      <c r="B94" s="68" t="s">
        <v>444</v>
      </c>
      <c r="C94" s="79">
        <v>100849.71</v>
      </c>
      <c r="D94" s="79">
        <v>100849.71</v>
      </c>
      <c r="E94" s="80">
        <v>100849.71</v>
      </c>
      <c r="F94" s="79">
        <v>100849.71</v>
      </c>
    </row>
    <row r="95" spans="2:6" s="1" customFormat="1" ht="15" x14ac:dyDescent="0.25">
      <c r="B95" s="68" t="s">
        <v>678</v>
      </c>
      <c r="C95" s="79">
        <v>28860.52</v>
      </c>
      <c r="D95" s="79">
        <v>28860.52</v>
      </c>
      <c r="E95" s="80">
        <v>1000</v>
      </c>
      <c r="F95" s="79">
        <v>28860.52</v>
      </c>
    </row>
    <row r="96" spans="2:6" s="1" customFormat="1" ht="15" x14ac:dyDescent="0.25">
      <c r="B96" s="68" t="s">
        <v>562</v>
      </c>
      <c r="C96" s="79">
        <v>322.19</v>
      </c>
      <c r="D96" s="79">
        <v>322.19</v>
      </c>
      <c r="E96" s="80">
        <v>102.933587</v>
      </c>
      <c r="F96" s="79">
        <v>322.19</v>
      </c>
    </row>
    <row r="97" spans="2:14" s="1" customFormat="1" ht="15" x14ac:dyDescent="0.25">
      <c r="B97" s="68" t="s">
        <v>677</v>
      </c>
      <c r="C97" s="79">
        <v>91092.33</v>
      </c>
      <c r="D97" s="79">
        <v>91092.33</v>
      </c>
      <c r="E97" s="80">
        <v>1000</v>
      </c>
      <c r="F97" s="79">
        <v>91092.33</v>
      </c>
    </row>
    <row r="98" spans="2:14" ht="15" x14ac:dyDescent="0.25">
      <c r="B98" s="64" t="s">
        <v>450</v>
      </c>
      <c r="C98" s="82">
        <v>2607265.3699999996</v>
      </c>
      <c r="D98" s="82">
        <v>2607265.3699999996</v>
      </c>
      <c r="E98" s="81"/>
      <c r="F98" s="82">
        <v>2607265.3699999996</v>
      </c>
      <c r="G98" s="1"/>
      <c r="H98" s="1"/>
      <c r="I98" s="1"/>
      <c r="K98" s="1"/>
      <c r="L98" s="1"/>
      <c r="M98" s="1"/>
      <c r="N98" s="1"/>
    </row>
    <row r="99" spans="2:14" ht="15" x14ac:dyDescent="0.25">
      <c r="B99" s="64" t="s">
        <v>451</v>
      </c>
      <c r="C99" s="82">
        <v>6554.28</v>
      </c>
      <c r="D99" s="82">
        <v>6554.28</v>
      </c>
      <c r="E99" s="104"/>
      <c r="F99" s="82">
        <v>6554.28</v>
      </c>
      <c r="G99" s="1"/>
      <c r="H99" s="1"/>
      <c r="I99" s="1"/>
      <c r="K99" s="1"/>
      <c r="L99" s="1"/>
      <c r="M99" s="1"/>
      <c r="N99" s="1"/>
    </row>
    <row r="100" spans="2:14" ht="15" x14ac:dyDescent="0.25">
      <c r="B100" s="64" t="s">
        <v>452</v>
      </c>
      <c r="C100" s="75">
        <v>17088747269.283598</v>
      </c>
      <c r="D100" s="75">
        <v>17088747269.283598</v>
      </c>
      <c r="E100" s="85"/>
      <c r="F100" s="75">
        <v>17088747269.283598</v>
      </c>
      <c r="G100" s="1"/>
      <c r="H100" s="1"/>
      <c r="I100" s="1"/>
      <c r="K100" s="1"/>
      <c r="L100" s="1"/>
      <c r="M100" s="1"/>
      <c r="N100" s="1"/>
    </row>
    <row r="101" spans="2:14" ht="15" x14ac:dyDescent="0.25">
      <c r="B101" s="64" t="s">
        <v>688</v>
      </c>
      <c r="C101" s="65">
        <v>65337788246.2836</v>
      </c>
      <c r="D101" s="65">
        <v>65337788246.2836</v>
      </c>
      <c r="E101" s="65"/>
      <c r="F101" s="65">
        <v>65337788246.2836</v>
      </c>
      <c r="G101" s="1"/>
      <c r="H101" s="1"/>
      <c r="I101" s="1"/>
      <c r="K101" s="1"/>
      <c r="L101" s="1"/>
      <c r="M101" s="1"/>
      <c r="N101" s="1"/>
    </row>
    <row r="102" spans="2:14" ht="15" x14ac:dyDescent="0.25">
      <c r="B102" s="64" t="s">
        <v>566</v>
      </c>
      <c r="C102" s="75">
        <v>69260134027.639465</v>
      </c>
      <c r="D102" s="75">
        <v>69260134027.639465</v>
      </c>
      <c r="E102" s="65"/>
      <c r="F102" s="75">
        <v>69260134027.639465</v>
      </c>
      <c r="G102" s="1"/>
      <c r="H102" s="1"/>
      <c r="I102" s="1"/>
      <c r="K102" s="1"/>
      <c r="L102" s="1"/>
      <c r="M102" s="1"/>
      <c r="N102" s="1"/>
    </row>
    <row r="103" spans="2:14" ht="7.5" customHeight="1" x14ac:dyDescent="0.25">
      <c r="B103" s="84"/>
      <c r="C103" s="85"/>
      <c r="D103" s="86"/>
      <c r="E103" s="85"/>
      <c r="F103" s="84"/>
      <c r="G103" s="1"/>
      <c r="H103" s="1"/>
      <c r="I103" s="1"/>
      <c r="K103" s="1"/>
      <c r="L103" s="1"/>
      <c r="M103" s="1"/>
      <c r="N103" s="1"/>
    </row>
    <row r="104" spans="2:14" ht="15" x14ac:dyDescent="0.25">
      <c r="B104" s="64" t="s">
        <v>457</v>
      </c>
      <c r="C104" s="65"/>
      <c r="D104" s="64"/>
      <c r="E104" s="65"/>
      <c r="F104" s="64"/>
      <c r="G104" s="1"/>
      <c r="H104" s="1"/>
      <c r="I104" s="1"/>
      <c r="K104" s="1"/>
      <c r="L104" s="1"/>
      <c r="M104" s="1"/>
      <c r="N104" s="1"/>
    </row>
    <row r="105" spans="2:14" s="1" customFormat="1" ht="15" x14ac:dyDescent="0.25">
      <c r="B105" s="87" t="s">
        <v>93</v>
      </c>
      <c r="C105" s="105">
        <v>3560900000</v>
      </c>
      <c r="D105" s="71">
        <v>3560900000</v>
      </c>
      <c r="E105" s="105">
        <v>1000000</v>
      </c>
      <c r="F105" s="70">
        <v>4912300000</v>
      </c>
    </row>
    <row r="106" spans="2:14" s="1" customFormat="1" ht="15" x14ac:dyDescent="0.25">
      <c r="B106" s="68" t="s">
        <v>623</v>
      </c>
      <c r="C106" s="263">
        <v>1351400000</v>
      </c>
      <c r="D106" s="70">
        <v>1351400000</v>
      </c>
      <c r="E106" s="263"/>
      <c r="F106" s="70"/>
    </row>
    <row r="107" spans="2:14" s="1" customFormat="1" ht="15" x14ac:dyDescent="0.25">
      <c r="B107" s="91" t="s">
        <v>568</v>
      </c>
      <c r="C107" s="106">
        <v>750000000</v>
      </c>
      <c r="D107" s="72">
        <v>750000000</v>
      </c>
      <c r="E107" s="106">
        <v>200000000</v>
      </c>
      <c r="F107" s="70">
        <v>750000000</v>
      </c>
    </row>
    <row r="108" spans="2:14" ht="15" x14ac:dyDescent="0.25">
      <c r="B108" s="64" t="s">
        <v>688</v>
      </c>
      <c r="C108" s="94">
        <f>SUM(C105:C107)</f>
        <v>5662300000</v>
      </c>
      <c r="D108" s="94">
        <f>SUM(D105:D107)</f>
        <v>5662300000</v>
      </c>
      <c r="E108" s="64"/>
      <c r="F108" s="94">
        <f>SUM(F105:F107)</f>
        <v>5662300000</v>
      </c>
      <c r="G108" s="1"/>
      <c r="H108" s="1"/>
      <c r="I108" s="1"/>
      <c r="K108" s="1"/>
      <c r="L108" s="1"/>
      <c r="M108" s="1"/>
      <c r="N108" s="1"/>
    </row>
    <row r="109" spans="2:14" ht="15" x14ac:dyDescent="0.25">
      <c r="B109" s="64" t="s">
        <v>566</v>
      </c>
      <c r="C109" s="107">
        <v>5662300000</v>
      </c>
      <c r="D109" s="317">
        <v>5662300000</v>
      </c>
      <c r="E109" s="95"/>
      <c r="F109" s="75">
        <v>5662300000</v>
      </c>
      <c r="G109" s="1"/>
      <c r="H109" s="1"/>
      <c r="I109" s="1"/>
      <c r="K109" s="1"/>
      <c r="L109" s="1"/>
      <c r="M109" s="1"/>
      <c r="N109" s="1"/>
    </row>
    <row r="110" spans="2:14" ht="15" x14ac:dyDescent="0.25">
      <c r="B110" s="1"/>
      <c r="C110" s="1"/>
      <c r="D110" s="1"/>
      <c r="E110" s="1"/>
      <c r="F110" s="1"/>
      <c r="G110" s="1"/>
      <c r="H110" s="1"/>
      <c r="I110" s="1"/>
      <c r="K110" s="1"/>
      <c r="L110" s="1"/>
      <c r="M110" s="1"/>
      <c r="N110" s="1"/>
    </row>
    <row r="111" spans="2:14" ht="45" x14ac:dyDescent="0.2">
      <c r="B111" s="60" t="s">
        <v>458</v>
      </c>
      <c r="C111" s="60" t="s">
        <v>459</v>
      </c>
      <c r="D111" s="60" t="s">
        <v>460</v>
      </c>
      <c r="E111" s="60" t="s">
        <v>461</v>
      </c>
      <c r="F111" s="63"/>
      <c r="G111" s="63"/>
      <c r="H111" s="63"/>
      <c r="I111" s="63"/>
      <c r="J111" s="62"/>
      <c r="K111" s="63"/>
      <c r="L111" s="63"/>
      <c r="M111" s="63"/>
    </row>
    <row r="112" spans="2:14" ht="15" x14ac:dyDescent="0.25">
      <c r="B112" s="108">
        <v>1</v>
      </c>
      <c r="C112" s="109">
        <v>200000000</v>
      </c>
      <c r="D112" s="109">
        <v>369164803</v>
      </c>
      <c r="E112" s="109">
        <v>750000000</v>
      </c>
      <c r="F112" s="1"/>
      <c r="G112" s="1"/>
      <c r="H112" s="1"/>
      <c r="I112" s="1"/>
      <c r="K112" s="1"/>
      <c r="L112" s="1"/>
      <c r="M112" s="1"/>
    </row>
    <row r="113" spans="2:13" ht="15" x14ac:dyDescent="0.25">
      <c r="B113" s="64" t="s">
        <v>688</v>
      </c>
      <c r="C113" s="75">
        <f t="shared" ref="C113:E114" si="0">SUM(C112)</f>
        <v>200000000</v>
      </c>
      <c r="D113" s="75">
        <f t="shared" si="0"/>
        <v>369164803</v>
      </c>
      <c r="E113" s="75">
        <f t="shared" si="0"/>
        <v>750000000</v>
      </c>
      <c r="F113" s="36"/>
      <c r="G113" s="36"/>
      <c r="H113" s="36"/>
      <c r="I113" s="36"/>
      <c r="J113" s="59"/>
      <c r="K113" s="36"/>
      <c r="L113" s="36"/>
      <c r="M113" s="36"/>
    </row>
    <row r="114" spans="2:13" ht="15" x14ac:dyDescent="0.25">
      <c r="B114" s="64" t="s">
        <v>566</v>
      </c>
      <c r="C114" s="75">
        <f t="shared" si="0"/>
        <v>200000000</v>
      </c>
      <c r="D114" s="75">
        <f t="shared" si="0"/>
        <v>369164803</v>
      </c>
      <c r="E114" s="75">
        <f t="shared" si="0"/>
        <v>750000000</v>
      </c>
      <c r="F114" s="36"/>
      <c r="G114" s="36"/>
      <c r="H114" s="36"/>
      <c r="I114" s="36"/>
      <c r="J114" s="59"/>
      <c r="K114" s="36"/>
      <c r="L114" s="36"/>
      <c r="M114" s="36"/>
    </row>
  </sheetData>
  <mergeCells count="6">
    <mergeCell ref="K10:M15"/>
    <mergeCell ref="B2:I2"/>
    <mergeCell ref="B6:F6"/>
    <mergeCell ref="G6:I6"/>
    <mergeCell ref="B3:I3"/>
    <mergeCell ref="B4:I4"/>
  </mergeCells>
  <hyperlinks>
    <hyperlink ref="A1" location="ÍNDICE!A1" display="Indice" xr:uid="{7A0B7356-4396-4B6E-9AE7-7158DBE129CF}"/>
  </hyperlinks>
  <pageMargins left="0.25" right="0.25" top="0.75" bottom="0.75" header="0.3" footer="0.3"/>
  <pageSetup paperSize="9" scale="4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499D-8F80-4B6B-927C-7270281210DD}">
  <sheetPr>
    <pageSetUpPr fitToPage="1"/>
  </sheetPr>
  <dimension ref="A1:M18"/>
  <sheetViews>
    <sheetView showGridLines="0" topLeftCell="C1" zoomScaleNormal="100" workbookViewId="0">
      <selection activeCell="F20" sqref="F20"/>
    </sheetView>
  </sheetViews>
  <sheetFormatPr baseColWidth="10" defaultColWidth="11.42578125" defaultRowHeight="15" x14ac:dyDescent="0.25"/>
  <cols>
    <col min="1" max="1" width="2.85546875" style="41" customWidth="1"/>
    <col min="2" max="2" width="29" style="41" bestFit="1" customWidth="1"/>
    <col min="3" max="3" width="18.28515625" style="41" bestFit="1" customWidth="1"/>
    <col min="4" max="4" width="14.5703125" style="41" bestFit="1" customWidth="1"/>
    <col min="5" max="5" width="12.7109375" style="41" bestFit="1" customWidth="1"/>
    <col min="6" max="6" width="14.85546875" style="41" customWidth="1"/>
    <col min="7" max="7" width="16.42578125" style="41" bestFit="1" customWidth="1"/>
    <col min="8" max="8" width="15.140625" style="41" customWidth="1"/>
    <col min="9" max="10" width="11.5703125" style="41" bestFit="1" customWidth="1"/>
    <col min="11" max="11" width="15.5703125" style="41" customWidth="1"/>
    <col min="12" max="12" width="17.5703125" style="41" bestFit="1" customWidth="1"/>
    <col min="13" max="13" width="19.28515625" style="41" bestFit="1" customWidth="1"/>
    <col min="14" max="14" width="2.85546875" style="41" customWidth="1"/>
    <col min="15" max="16384" width="11.42578125" style="41"/>
  </cols>
  <sheetData>
    <row r="1" spans="1:13" x14ac:dyDescent="0.25">
      <c r="A1" s="2" t="s">
        <v>20</v>
      </c>
    </row>
    <row r="2" spans="1:13" x14ac:dyDescent="0.25">
      <c r="A2" s="2"/>
      <c r="B2" s="439" t="s">
        <v>585</v>
      </c>
      <c r="C2" s="439"/>
      <c r="D2" s="439"/>
      <c r="E2" s="439"/>
      <c r="F2" s="439"/>
      <c r="G2" s="439"/>
      <c r="H2" s="439"/>
      <c r="I2" s="439"/>
      <c r="J2" s="439"/>
      <c r="K2" s="439"/>
      <c r="L2" s="439"/>
      <c r="M2" s="439"/>
    </row>
    <row r="3" spans="1:13" x14ac:dyDescent="0.25">
      <c r="B3" s="440" t="s">
        <v>114</v>
      </c>
      <c r="C3" s="440"/>
      <c r="D3" s="440"/>
      <c r="E3" s="440"/>
      <c r="F3" s="440"/>
      <c r="G3" s="440"/>
      <c r="H3" s="440"/>
      <c r="I3" s="440"/>
      <c r="J3" s="440"/>
      <c r="K3" s="440"/>
      <c r="L3" s="440"/>
      <c r="M3" s="440"/>
    </row>
    <row r="4" spans="1:13" x14ac:dyDescent="0.25">
      <c r="B4" s="440" t="s">
        <v>654</v>
      </c>
      <c r="C4" s="440"/>
      <c r="D4" s="440"/>
      <c r="E4" s="440"/>
      <c r="F4" s="440"/>
      <c r="G4" s="440"/>
      <c r="H4" s="440"/>
      <c r="I4" s="440"/>
      <c r="J4" s="440"/>
      <c r="K4" s="440"/>
      <c r="L4" s="440"/>
      <c r="M4" s="440"/>
    </row>
    <row r="5" spans="1:13" x14ac:dyDescent="0.25">
      <c r="B5" s="441" t="str">
        <f>+[2]EEP!A10</f>
        <v>(En Guaraníes)</v>
      </c>
      <c r="C5" s="441"/>
      <c r="D5" s="441"/>
      <c r="E5" s="441"/>
      <c r="F5" s="441"/>
      <c r="G5" s="441"/>
      <c r="H5" s="441"/>
      <c r="I5" s="441"/>
      <c r="J5" s="441"/>
      <c r="K5" s="441"/>
      <c r="L5" s="441"/>
      <c r="M5" s="441"/>
    </row>
    <row r="6" spans="1:13" x14ac:dyDescent="0.25">
      <c r="B6" s="442" t="s">
        <v>462</v>
      </c>
      <c r="C6" s="444" t="s">
        <v>463</v>
      </c>
      <c r="D6" s="444"/>
      <c r="E6" s="444"/>
      <c r="F6" s="444"/>
      <c r="G6" s="444"/>
      <c r="H6" s="444" t="s">
        <v>464</v>
      </c>
      <c r="I6" s="444"/>
      <c r="J6" s="444"/>
      <c r="K6" s="444"/>
      <c r="L6" s="444"/>
      <c r="M6" s="445" t="s">
        <v>465</v>
      </c>
    </row>
    <row r="7" spans="1:13" ht="48" customHeight="1" x14ac:dyDescent="0.25">
      <c r="B7" s="443"/>
      <c r="C7" s="42" t="s">
        <v>466</v>
      </c>
      <c r="D7" s="43" t="s">
        <v>467</v>
      </c>
      <c r="E7" s="43" t="s">
        <v>468</v>
      </c>
      <c r="F7" s="42" t="s">
        <v>469</v>
      </c>
      <c r="G7" s="43" t="s">
        <v>470</v>
      </c>
      <c r="H7" s="44" t="s">
        <v>471</v>
      </c>
      <c r="I7" s="44" t="s">
        <v>467</v>
      </c>
      <c r="J7" s="45" t="s">
        <v>468</v>
      </c>
      <c r="K7" s="42" t="s">
        <v>472</v>
      </c>
      <c r="L7" s="45" t="s">
        <v>473</v>
      </c>
      <c r="M7" s="446"/>
    </row>
    <row r="8" spans="1:13" x14ac:dyDescent="0.25">
      <c r="B8" s="46" t="s">
        <v>474</v>
      </c>
      <c r="C8" s="47"/>
      <c r="D8" s="47"/>
      <c r="E8" s="47"/>
      <c r="F8" s="47"/>
      <c r="G8" s="47"/>
      <c r="H8" s="48"/>
      <c r="I8" s="47"/>
      <c r="J8" s="47"/>
      <c r="K8" s="47"/>
      <c r="L8" s="47"/>
      <c r="M8" s="47"/>
    </row>
    <row r="9" spans="1:13" x14ac:dyDescent="0.25">
      <c r="B9" s="49" t="s">
        <v>475</v>
      </c>
      <c r="C9" s="50">
        <v>488187690</v>
      </c>
      <c r="D9" s="50">
        <v>0</v>
      </c>
      <c r="E9" s="51">
        <v>0</v>
      </c>
      <c r="F9" s="50">
        <v>0</v>
      </c>
      <c r="G9" s="50">
        <v>488187690</v>
      </c>
      <c r="H9" s="50">
        <v>-98888339</v>
      </c>
      <c r="I9" s="51">
        <v>0</v>
      </c>
      <c r="J9" s="50">
        <v>0</v>
      </c>
      <c r="K9" s="50">
        <v>0</v>
      </c>
      <c r="L9" s="50">
        <v>-111383243</v>
      </c>
      <c r="M9" s="50">
        <v>376804447</v>
      </c>
    </row>
    <row r="10" spans="1:13" x14ac:dyDescent="0.25">
      <c r="B10" s="49" t="s">
        <v>476</v>
      </c>
      <c r="C10" s="50">
        <v>321856196</v>
      </c>
      <c r="D10" s="50">
        <v>0</v>
      </c>
      <c r="E10" s="51">
        <v>0</v>
      </c>
      <c r="F10" s="50">
        <v>0</v>
      </c>
      <c r="G10" s="50">
        <v>321856196</v>
      </c>
      <c r="H10" s="50">
        <v>-63837489</v>
      </c>
      <c r="I10" s="51">
        <v>0</v>
      </c>
      <c r="J10" s="50">
        <v>0</v>
      </c>
      <c r="K10" s="50">
        <v>0</v>
      </c>
      <c r="L10" s="50">
        <v>-113617443</v>
      </c>
      <c r="M10" s="50">
        <v>208238753</v>
      </c>
    </row>
    <row r="11" spans="1:13" x14ac:dyDescent="0.25">
      <c r="B11" s="49" t="s">
        <v>477</v>
      </c>
      <c r="C11" s="50">
        <v>366851969</v>
      </c>
      <c r="D11" s="50">
        <v>3431389</v>
      </c>
      <c r="E11" s="51">
        <v>0</v>
      </c>
      <c r="F11" s="50">
        <v>0</v>
      </c>
      <c r="G11" s="50">
        <v>370283358</v>
      </c>
      <c r="H11" s="50">
        <v>-175858630</v>
      </c>
      <c r="I11" s="51">
        <v>0</v>
      </c>
      <c r="J11" s="50">
        <v>0</v>
      </c>
      <c r="K11" s="50">
        <v>0</v>
      </c>
      <c r="L11" s="50">
        <v>-194209147</v>
      </c>
      <c r="M11" s="50">
        <v>176074211</v>
      </c>
    </row>
    <row r="12" spans="1:13" x14ac:dyDescent="0.25">
      <c r="B12" s="49" t="s">
        <v>478</v>
      </c>
      <c r="C12" s="50">
        <v>1140034165</v>
      </c>
      <c r="D12" s="50">
        <v>0</v>
      </c>
      <c r="E12" s="51">
        <v>0</v>
      </c>
      <c r="F12" s="50">
        <v>0</v>
      </c>
      <c r="G12" s="50">
        <v>1140034165</v>
      </c>
      <c r="H12" s="50">
        <v>-235253012</v>
      </c>
      <c r="I12" s="51">
        <v>0</v>
      </c>
      <c r="J12" s="50">
        <v>0</v>
      </c>
      <c r="K12" s="50">
        <v>0</v>
      </c>
      <c r="L12" s="50">
        <v>-264622895</v>
      </c>
      <c r="M12" s="50">
        <v>875411270</v>
      </c>
    </row>
    <row r="13" spans="1:13" x14ac:dyDescent="0.25">
      <c r="B13" s="49" t="s">
        <v>479</v>
      </c>
      <c r="C13" s="50">
        <v>629617356</v>
      </c>
      <c r="D13" s="50">
        <v>0</v>
      </c>
      <c r="E13" s="51">
        <v>0</v>
      </c>
      <c r="F13" s="50">
        <v>0</v>
      </c>
      <c r="G13" s="50">
        <v>629617356</v>
      </c>
      <c r="H13" s="50">
        <v>-309478109</v>
      </c>
      <c r="I13" s="51">
        <v>0</v>
      </c>
      <c r="J13" s="50">
        <v>0</v>
      </c>
      <c r="K13" s="50">
        <v>0</v>
      </c>
      <c r="L13" s="50">
        <v>-336718022</v>
      </c>
      <c r="M13" s="50">
        <v>292899334</v>
      </c>
    </row>
    <row r="14" spans="1:13" x14ac:dyDescent="0.25">
      <c r="B14" s="49" t="s">
        <v>480</v>
      </c>
      <c r="C14" s="50">
        <v>192205759</v>
      </c>
      <c r="D14" s="50">
        <v>-192205759</v>
      </c>
      <c r="E14" s="51">
        <v>0</v>
      </c>
      <c r="F14" s="50">
        <v>0</v>
      </c>
      <c r="G14" s="50">
        <v>0</v>
      </c>
      <c r="H14" s="50">
        <v>-47339666</v>
      </c>
      <c r="I14" s="51">
        <v>0</v>
      </c>
      <c r="J14" s="50">
        <v>0</v>
      </c>
      <c r="K14" s="50">
        <v>0</v>
      </c>
      <c r="L14" s="50">
        <v>0</v>
      </c>
      <c r="M14" s="50">
        <v>0</v>
      </c>
    </row>
    <row r="15" spans="1:13" x14ac:dyDescent="0.25">
      <c r="B15" s="49" t="s">
        <v>481</v>
      </c>
      <c r="C15" s="50">
        <v>26735570</v>
      </c>
      <c r="D15" s="50">
        <v>0</v>
      </c>
      <c r="E15" s="51"/>
      <c r="F15" s="50"/>
      <c r="G15" s="50">
        <v>26735570</v>
      </c>
      <c r="H15" s="50">
        <v>-12932613</v>
      </c>
      <c r="I15" s="51"/>
      <c r="J15" s="50"/>
      <c r="K15" s="50"/>
      <c r="L15" s="50">
        <v>-13642155</v>
      </c>
      <c r="M15" s="50">
        <v>13093415</v>
      </c>
    </row>
    <row r="16" spans="1:13" s="265" customFormat="1" x14ac:dyDescent="0.25">
      <c r="B16" s="52" t="s">
        <v>655</v>
      </c>
      <c r="C16" s="50">
        <v>0</v>
      </c>
      <c r="D16" s="50">
        <v>192205759</v>
      </c>
      <c r="E16" s="53">
        <v>0</v>
      </c>
      <c r="F16" s="54">
        <v>0</v>
      </c>
      <c r="G16" s="50">
        <v>192205759</v>
      </c>
      <c r="H16" s="50">
        <v>0</v>
      </c>
      <c r="I16" s="53">
        <v>0</v>
      </c>
      <c r="J16" s="54">
        <v>0</v>
      </c>
      <c r="K16" s="54">
        <v>0</v>
      </c>
      <c r="L16" s="54">
        <v>-52327535</v>
      </c>
      <c r="M16" s="54">
        <v>139878224</v>
      </c>
    </row>
    <row r="17" spans="2:13" x14ac:dyDescent="0.25">
      <c r="B17" s="55" t="s">
        <v>652</v>
      </c>
      <c r="C17" s="56">
        <f>SUM(C9:C16)</f>
        <v>3165488705</v>
      </c>
      <c r="D17" s="56">
        <f>SUM(D9:D16)</f>
        <v>3431389</v>
      </c>
      <c r="E17" s="56">
        <f t="shared" ref="E17:K17" si="0">SUM(E9:E16)</f>
        <v>0</v>
      </c>
      <c r="F17" s="56">
        <f t="shared" si="0"/>
        <v>0</v>
      </c>
      <c r="G17" s="56">
        <f>SUM(G9:G16)</f>
        <v>3168920094</v>
      </c>
      <c r="H17" s="56">
        <f t="shared" si="0"/>
        <v>-943587858</v>
      </c>
      <c r="I17" s="56">
        <f t="shared" si="0"/>
        <v>0</v>
      </c>
      <c r="J17" s="56">
        <f t="shared" si="0"/>
        <v>0</v>
      </c>
      <c r="K17" s="56">
        <f t="shared" si="0"/>
        <v>0</v>
      </c>
      <c r="L17" s="56">
        <f>SUM(L9:L16)</f>
        <v>-1086520440</v>
      </c>
      <c r="M17" s="56">
        <f>+G17+L17</f>
        <v>2082399654</v>
      </c>
    </row>
    <row r="18" spans="2:13" x14ac:dyDescent="0.25">
      <c r="B18" s="55" t="s">
        <v>558</v>
      </c>
      <c r="C18" s="56">
        <v>2980144213</v>
      </c>
      <c r="D18" s="56">
        <v>120019078</v>
      </c>
      <c r="E18" s="56">
        <v>-2524424</v>
      </c>
      <c r="F18" s="56">
        <v>67849838</v>
      </c>
      <c r="G18" s="56">
        <f>+C18+D18+E18+F18</f>
        <v>3165488705</v>
      </c>
      <c r="H18" s="56">
        <v>-565645193</v>
      </c>
      <c r="I18" s="56">
        <v>0</v>
      </c>
      <c r="J18" s="56">
        <v>0</v>
      </c>
      <c r="K18" s="56">
        <v>-377942665</v>
      </c>
      <c r="L18" s="56">
        <f>+H18+I18-J18+K18</f>
        <v>-943587858</v>
      </c>
      <c r="M18" s="56">
        <f>+G18+L18</f>
        <v>2221900847</v>
      </c>
    </row>
  </sheetData>
  <mergeCells count="8">
    <mergeCell ref="B2:M2"/>
    <mergeCell ref="B3:M3"/>
    <mergeCell ref="B4:M4"/>
    <mergeCell ref="B5:M5"/>
    <mergeCell ref="B6:B7"/>
    <mergeCell ref="C6:G6"/>
    <mergeCell ref="H6:L6"/>
    <mergeCell ref="M6:M7"/>
  </mergeCells>
  <hyperlinks>
    <hyperlink ref="A1" location="ÍNDICE!A1" display="Indice" xr:uid="{7E6813C3-57F3-4F8F-8ACB-7368D6E6A7AB}"/>
  </hyperlinks>
  <pageMargins left="0.25" right="0.25" top="0.75" bottom="0.75" header="0.3" footer="0.3"/>
  <pageSetup paperSize="9"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D4AFB-987E-49B8-A57D-C17B7484B387}">
  <sheetPr>
    <pageSetUpPr fitToPage="1"/>
  </sheetPr>
  <dimension ref="A1:N433"/>
  <sheetViews>
    <sheetView showGridLines="0" topLeftCell="A376" zoomScaleNormal="100" workbookViewId="0">
      <selection activeCell="B2" sqref="B2:N24"/>
    </sheetView>
  </sheetViews>
  <sheetFormatPr baseColWidth="10" defaultColWidth="11.42578125" defaultRowHeight="15" x14ac:dyDescent="0.25"/>
  <cols>
    <col min="1" max="1" width="2.85546875" style="1" customWidth="1"/>
    <col min="2" max="2" width="49.42578125" style="1" bestFit="1" customWidth="1"/>
    <col min="3" max="4" width="6.7109375" style="1" customWidth="1"/>
    <col min="5" max="5" width="11.42578125" style="1"/>
    <col min="6" max="6" width="9.140625" style="1" customWidth="1"/>
    <col min="7" max="7" width="11.140625" style="1" customWidth="1"/>
    <col min="8" max="8" width="9.7109375" style="1" customWidth="1"/>
    <col min="9" max="9" width="10" style="1" customWidth="1"/>
    <col min="10" max="10" width="9.42578125" style="1" customWidth="1"/>
    <col min="11" max="11" width="12.5703125" style="1" customWidth="1"/>
    <col min="12" max="12" width="17.140625" style="1" bestFit="1" customWidth="1"/>
    <col min="13" max="13" width="14.85546875" style="1" customWidth="1"/>
    <col min="14" max="14" width="11.42578125" style="1"/>
    <col min="15" max="15" width="2.85546875" style="1" customWidth="1"/>
    <col min="16" max="16384" width="11.42578125" style="1"/>
  </cols>
  <sheetData>
    <row r="1" spans="1:14" x14ac:dyDescent="0.25">
      <c r="A1" s="2" t="s">
        <v>20</v>
      </c>
    </row>
    <row r="2" spans="1:14" x14ac:dyDescent="0.25">
      <c r="A2" s="2"/>
      <c r="B2" s="439" t="s">
        <v>586</v>
      </c>
      <c r="C2" s="439"/>
      <c r="D2" s="439"/>
      <c r="E2" s="439"/>
      <c r="F2" s="439"/>
      <c r="G2" s="439"/>
      <c r="H2" s="439"/>
      <c r="I2" s="439"/>
      <c r="J2" s="439"/>
      <c r="K2" s="439"/>
      <c r="L2" s="439"/>
      <c r="M2" s="439"/>
      <c r="N2" s="439"/>
    </row>
    <row r="3" spans="1:14" x14ac:dyDescent="0.25">
      <c r="B3" s="367" t="s">
        <v>114</v>
      </c>
      <c r="C3" s="367"/>
      <c r="D3" s="367"/>
      <c r="E3" s="367"/>
      <c r="F3" s="367"/>
      <c r="G3" s="367"/>
      <c r="H3" s="367"/>
      <c r="I3" s="367"/>
      <c r="J3" s="367"/>
      <c r="K3" s="367"/>
      <c r="L3" s="367"/>
      <c r="M3" s="367"/>
      <c r="N3" s="367"/>
    </row>
    <row r="4" spans="1:14" x14ac:dyDescent="0.25">
      <c r="B4" s="447" t="s">
        <v>656</v>
      </c>
      <c r="C4" s="447"/>
      <c r="D4" s="447"/>
      <c r="E4" s="447"/>
      <c r="F4" s="447"/>
      <c r="G4" s="447"/>
      <c r="H4" s="447"/>
      <c r="I4" s="447"/>
      <c r="J4" s="447"/>
      <c r="K4" s="447"/>
      <c r="L4" s="447"/>
      <c r="M4" s="447"/>
      <c r="N4" s="447"/>
    </row>
    <row r="5" spans="1:14" ht="15.75" thickBot="1" x14ac:dyDescent="0.3"/>
    <row r="6" spans="1:14" ht="15" customHeight="1" thickBot="1" x14ac:dyDescent="0.3">
      <c r="B6" s="450" t="s">
        <v>482</v>
      </c>
      <c r="C6" s="451"/>
      <c r="D6" s="451"/>
      <c r="E6" s="451"/>
      <c r="F6" s="451"/>
      <c r="G6" s="451"/>
      <c r="H6" s="451"/>
      <c r="I6" s="451"/>
      <c r="J6" s="451"/>
      <c r="K6" s="451"/>
      <c r="L6" s="451"/>
      <c r="M6" s="451"/>
      <c r="N6" s="452"/>
    </row>
    <row r="7" spans="1:14" ht="38.25" customHeight="1" thickBot="1" x14ac:dyDescent="0.3">
      <c r="B7" s="453" t="s">
        <v>483</v>
      </c>
      <c r="C7" s="460" t="s">
        <v>484</v>
      </c>
      <c r="D7" s="461"/>
      <c r="E7" s="460" t="s">
        <v>485</v>
      </c>
      <c r="F7" s="461"/>
      <c r="G7" s="453" t="s">
        <v>70</v>
      </c>
      <c r="H7" s="453" t="s">
        <v>486</v>
      </c>
      <c r="I7" s="453" t="s">
        <v>487</v>
      </c>
      <c r="J7" s="453" t="s">
        <v>488</v>
      </c>
      <c r="K7" s="453" t="s">
        <v>489</v>
      </c>
      <c r="L7" s="453" t="s">
        <v>64</v>
      </c>
      <c r="M7" s="453" t="s">
        <v>490</v>
      </c>
      <c r="N7" s="453" t="s">
        <v>491</v>
      </c>
    </row>
    <row r="8" spans="1:14" ht="18.75" customHeight="1" thickBot="1" x14ac:dyDescent="0.3">
      <c r="B8" s="454"/>
      <c r="C8" s="3" t="s">
        <v>492</v>
      </c>
      <c r="D8" s="3" t="s">
        <v>493</v>
      </c>
      <c r="E8" s="261" t="s">
        <v>492</v>
      </c>
      <c r="F8" s="260" t="s">
        <v>493</v>
      </c>
      <c r="G8" s="454"/>
      <c r="H8" s="454"/>
      <c r="I8" s="454"/>
      <c r="J8" s="454"/>
      <c r="K8" s="454"/>
      <c r="L8" s="454"/>
      <c r="M8" s="454"/>
      <c r="N8" s="454"/>
    </row>
    <row r="9" spans="1:14" x14ac:dyDescent="0.25">
      <c r="B9" s="4" t="s">
        <v>47</v>
      </c>
      <c r="C9" s="5">
        <v>1</v>
      </c>
      <c r="D9" s="5">
        <v>3</v>
      </c>
      <c r="E9" s="6">
        <v>1</v>
      </c>
      <c r="F9" s="6">
        <f>+((E9)+(L9/K9))-1</f>
        <v>250</v>
      </c>
      <c r="G9" s="7">
        <f t="shared" ref="G9:G72" si="0">+F9-E9+1</f>
        <v>250</v>
      </c>
      <c r="H9" s="8" t="s">
        <v>76</v>
      </c>
      <c r="I9" s="8">
        <v>5</v>
      </c>
      <c r="J9" s="9">
        <f>+I9*G9</f>
        <v>1250</v>
      </c>
      <c r="K9" s="6">
        <v>1000000</v>
      </c>
      <c r="L9" s="6">
        <v>250000000</v>
      </c>
      <c r="M9" s="10">
        <f t="shared" ref="M9:M42" si="1">+L9/$L$218</f>
        <v>1.6934227460543249E-2</v>
      </c>
      <c r="N9" s="11">
        <f t="shared" ref="N9:N42" si="2">+J9/$J$218</f>
        <v>4.6296296296296294E-2</v>
      </c>
    </row>
    <row r="10" spans="1:14" ht="15" customHeight="1" x14ac:dyDescent="0.25">
      <c r="B10" s="12" t="s">
        <v>45</v>
      </c>
      <c r="C10" s="13">
        <v>3</v>
      </c>
      <c r="D10" s="13">
        <v>5</v>
      </c>
      <c r="E10" s="14">
        <f>+F9+1</f>
        <v>251</v>
      </c>
      <c r="F10" s="14">
        <f t="shared" ref="F10:F73" si="3">+((E10)+(L10/K10))-1</f>
        <v>500</v>
      </c>
      <c r="G10" s="15">
        <f t="shared" si="0"/>
        <v>250</v>
      </c>
      <c r="H10" s="16" t="s">
        <v>76</v>
      </c>
      <c r="I10" s="16">
        <v>5</v>
      </c>
      <c r="J10" s="17">
        <f t="shared" ref="J10:J142" si="4">+I10*G10</f>
        <v>1250</v>
      </c>
      <c r="K10" s="14">
        <v>1000000</v>
      </c>
      <c r="L10" s="14">
        <v>250000000</v>
      </c>
      <c r="M10" s="18">
        <f t="shared" si="1"/>
        <v>1.6934227460543249E-2</v>
      </c>
      <c r="N10" s="19">
        <f t="shared" si="2"/>
        <v>4.6296296296296294E-2</v>
      </c>
    </row>
    <row r="11" spans="1:14" x14ac:dyDescent="0.25">
      <c r="B11" s="12" t="s">
        <v>43</v>
      </c>
      <c r="C11" s="13">
        <v>6</v>
      </c>
      <c r="D11" s="13">
        <v>8</v>
      </c>
      <c r="E11" s="14">
        <f t="shared" ref="E11:E12" si="5">+F10+1</f>
        <v>501</v>
      </c>
      <c r="F11" s="14">
        <f t="shared" si="3"/>
        <v>750</v>
      </c>
      <c r="G11" s="15">
        <f t="shared" si="0"/>
        <v>250</v>
      </c>
      <c r="H11" s="16" t="s">
        <v>76</v>
      </c>
      <c r="I11" s="16">
        <v>5</v>
      </c>
      <c r="J11" s="17">
        <f t="shared" si="4"/>
        <v>1250</v>
      </c>
      <c r="K11" s="14">
        <v>1000000</v>
      </c>
      <c r="L11" s="14">
        <v>250000000</v>
      </c>
      <c r="M11" s="18">
        <f t="shared" si="1"/>
        <v>1.6934227460543249E-2</v>
      </c>
      <c r="N11" s="19">
        <f t="shared" si="2"/>
        <v>4.6296296296296294E-2</v>
      </c>
    </row>
    <row r="12" spans="1:14" x14ac:dyDescent="0.25">
      <c r="B12" s="12" t="s">
        <v>494</v>
      </c>
      <c r="C12" s="13">
        <v>8</v>
      </c>
      <c r="D12" s="13">
        <v>10</v>
      </c>
      <c r="E12" s="14">
        <f t="shared" si="5"/>
        <v>751</v>
      </c>
      <c r="F12" s="14">
        <f t="shared" si="3"/>
        <v>1000</v>
      </c>
      <c r="G12" s="15">
        <f t="shared" si="0"/>
        <v>250</v>
      </c>
      <c r="H12" s="16" t="s">
        <v>76</v>
      </c>
      <c r="I12" s="16">
        <v>5</v>
      </c>
      <c r="J12" s="17">
        <f t="shared" si="4"/>
        <v>1250</v>
      </c>
      <c r="K12" s="14">
        <v>1000000</v>
      </c>
      <c r="L12" s="14">
        <v>250000000</v>
      </c>
      <c r="M12" s="18">
        <f t="shared" si="1"/>
        <v>1.6934227460543249E-2</v>
      </c>
      <c r="N12" s="19">
        <f t="shared" si="2"/>
        <v>4.6296296296296294E-2</v>
      </c>
    </row>
    <row r="13" spans="1:14" x14ac:dyDescent="0.25">
      <c r="B13" s="12" t="s">
        <v>47</v>
      </c>
      <c r="C13" s="13">
        <v>41</v>
      </c>
      <c r="D13" s="13">
        <v>45</v>
      </c>
      <c r="E13" s="14">
        <v>4001</v>
      </c>
      <c r="F13" s="14">
        <f t="shared" si="3"/>
        <v>4500</v>
      </c>
      <c r="G13" s="15">
        <f t="shared" si="0"/>
        <v>500</v>
      </c>
      <c r="H13" s="16" t="s">
        <v>76</v>
      </c>
      <c r="I13" s="16">
        <v>5</v>
      </c>
      <c r="J13" s="17">
        <f t="shared" si="4"/>
        <v>2500</v>
      </c>
      <c r="K13" s="14">
        <v>1000000</v>
      </c>
      <c r="L13" s="14">
        <v>500000000</v>
      </c>
      <c r="M13" s="18">
        <f t="shared" si="1"/>
        <v>3.3868454921086498E-2</v>
      </c>
      <c r="N13" s="19">
        <f t="shared" si="2"/>
        <v>9.2592592592592587E-2</v>
      </c>
    </row>
    <row r="14" spans="1:14" x14ac:dyDescent="0.25">
      <c r="B14" s="12" t="s">
        <v>45</v>
      </c>
      <c r="C14" s="13">
        <v>46</v>
      </c>
      <c r="D14" s="13">
        <v>50</v>
      </c>
      <c r="E14" s="14">
        <f>+F13+1</f>
        <v>4501</v>
      </c>
      <c r="F14" s="14">
        <f t="shared" si="3"/>
        <v>5000</v>
      </c>
      <c r="G14" s="15">
        <f t="shared" si="0"/>
        <v>500</v>
      </c>
      <c r="H14" s="16" t="s">
        <v>76</v>
      </c>
      <c r="I14" s="16">
        <v>5</v>
      </c>
      <c r="J14" s="17">
        <f t="shared" si="4"/>
        <v>2500</v>
      </c>
      <c r="K14" s="14">
        <v>1000000</v>
      </c>
      <c r="L14" s="14">
        <v>500000000</v>
      </c>
      <c r="M14" s="18">
        <f t="shared" si="1"/>
        <v>3.3868454921086498E-2</v>
      </c>
      <c r="N14" s="19">
        <f t="shared" si="2"/>
        <v>9.2592592592592587E-2</v>
      </c>
    </row>
    <row r="15" spans="1:14" x14ac:dyDescent="0.25">
      <c r="B15" s="12" t="s">
        <v>43</v>
      </c>
      <c r="C15" s="13">
        <v>51</v>
      </c>
      <c r="D15" s="13">
        <v>55</v>
      </c>
      <c r="E15" s="14">
        <f t="shared" ref="E15:E20" si="6">+F14+1</f>
        <v>5001</v>
      </c>
      <c r="F15" s="14">
        <f t="shared" si="3"/>
        <v>5500</v>
      </c>
      <c r="G15" s="15">
        <f t="shared" si="0"/>
        <v>500</v>
      </c>
      <c r="H15" s="16" t="s">
        <v>76</v>
      </c>
      <c r="I15" s="16">
        <v>5</v>
      </c>
      <c r="J15" s="17">
        <f t="shared" si="4"/>
        <v>2500</v>
      </c>
      <c r="K15" s="14">
        <v>1000000</v>
      </c>
      <c r="L15" s="14">
        <v>500000000</v>
      </c>
      <c r="M15" s="18">
        <f t="shared" si="1"/>
        <v>3.3868454921086498E-2</v>
      </c>
      <c r="N15" s="19">
        <f t="shared" si="2"/>
        <v>9.2592592592592587E-2</v>
      </c>
    </row>
    <row r="16" spans="1:14" x14ac:dyDescent="0.25">
      <c r="B16" s="12" t="s">
        <v>494</v>
      </c>
      <c r="C16" s="13">
        <v>56</v>
      </c>
      <c r="D16" s="13">
        <v>60</v>
      </c>
      <c r="E16" s="14">
        <f t="shared" si="6"/>
        <v>5501</v>
      </c>
      <c r="F16" s="14">
        <f t="shared" si="3"/>
        <v>6000</v>
      </c>
      <c r="G16" s="15">
        <f t="shared" si="0"/>
        <v>500</v>
      </c>
      <c r="H16" s="16" t="s">
        <v>76</v>
      </c>
      <c r="I16" s="16">
        <v>5</v>
      </c>
      <c r="J16" s="17">
        <f t="shared" si="4"/>
        <v>2500</v>
      </c>
      <c r="K16" s="14">
        <v>1000000</v>
      </c>
      <c r="L16" s="14">
        <v>500000000</v>
      </c>
      <c r="M16" s="18">
        <f t="shared" si="1"/>
        <v>3.3868454921086498E-2</v>
      </c>
      <c r="N16" s="19">
        <f t="shared" si="2"/>
        <v>9.2592592592592587E-2</v>
      </c>
    </row>
    <row r="17" spans="2:14" x14ac:dyDescent="0.25">
      <c r="B17" s="12" t="s">
        <v>47</v>
      </c>
      <c r="C17" s="13">
        <v>61</v>
      </c>
      <c r="D17" s="13">
        <v>63</v>
      </c>
      <c r="E17" s="14">
        <f t="shared" si="6"/>
        <v>6001</v>
      </c>
      <c r="F17" s="14">
        <f t="shared" si="3"/>
        <v>6250</v>
      </c>
      <c r="G17" s="15">
        <f t="shared" si="0"/>
        <v>250</v>
      </c>
      <c r="H17" s="16" t="s">
        <v>76</v>
      </c>
      <c r="I17" s="16">
        <v>5</v>
      </c>
      <c r="J17" s="17">
        <f t="shared" si="4"/>
        <v>1250</v>
      </c>
      <c r="K17" s="14">
        <v>1000000</v>
      </c>
      <c r="L17" s="14">
        <v>250000000</v>
      </c>
      <c r="M17" s="18">
        <f t="shared" si="1"/>
        <v>1.6934227460543249E-2</v>
      </c>
      <c r="N17" s="19">
        <f t="shared" si="2"/>
        <v>4.6296296296296294E-2</v>
      </c>
    </row>
    <row r="18" spans="2:14" x14ac:dyDescent="0.25">
      <c r="B18" s="12" t="s">
        <v>45</v>
      </c>
      <c r="C18" s="13">
        <v>63</v>
      </c>
      <c r="D18" s="13">
        <v>65</v>
      </c>
      <c r="E18" s="14">
        <f t="shared" si="6"/>
        <v>6251</v>
      </c>
      <c r="F18" s="14">
        <f t="shared" si="3"/>
        <v>6500</v>
      </c>
      <c r="G18" s="15">
        <f t="shared" si="0"/>
        <v>250</v>
      </c>
      <c r="H18" s="16" t="s">
        <v>76</v>
      </c>
      <c r="I18" s="16">
        <v>5</v>
      </c>
      <c r="J18" s="17">
        <f t="shared" si="4"/>
        <v>1250</v>
      </c>
      <c r="K18" s="14">
        <v>1000000</v>
      </c>
      <c r="L18" s="14">
        <v>250000000</v>
      </c>
      <c r="M18" s="18">
        <f t="shared" si="1"/>
        <v>1.6934227460543249E-2</v>
      </c>
      <c r="N18" s="19">
        <f t="shared" si="2"/>
        <v>4.6296296296296294E-2</v>
      </c>
    </row>
    <row r="19" spans="2:14" x14ac:dyDescent="0.25">
      <c r="B19" s="12" t="s">
        <v>43</v>
      </c>
      <c r="C19" s="13">
        <v>66</v>
      </c>
      <c r="D19" s="13">
        <v>68</v>
      </c>
      <c r="E19" s="14">
        <f t="shared" si="6"/>
        <v>6501</v>
      </c>
      <c r="F19" s="14">
        <f t="shared" si="3"/>
        <v>6750</v>
      </c>
      <c r="G19" s="15">
        <f t="shared" si="0"/>
        <v>250</v>
      </c>
      <c r="H19" s="16" t="s">
        <v>76</v>
      </c>
      <c r="I19" s="16">
        <v>5</v>
      </c>
      <c r="J19" s="17">
        <f t="shared" si="4"/>
        <v>1250</v>
      </c>
      <c r="K19" s="14">
        <v>1000000</v>
      </c>
      <c r="L19" s="14">
        <v>250000000</v>
      </c>
      <c r="M19" s="18">
        <f t="shared" si="1"/>
        <v>1.6934227460543249E-2</v>
      </c>
      <c r="N19" s="19">
        <f t="shared" si="2"/>
        <v>4.6296296296296294E-2</v>
      </c>
    </row>
    <row r="20" spans="2:14" x14ac:dyDescent="0.25">
      <c r="B20" s="12" t="s">
        <v>494</v>
      </c>
      <c r="C20" s="13">
        <v>68</v>
      </c>
      <c r="D20" s="13">
        <v>70</v>
      </c>
      <c r="E20" s="14">
        <f t="shared" si="6"/>
        <v>6751</v>
      </c>
      <c r="F20" s="14">
        <f t="shared" si="3"/>
        <v>7000</v>
      </c>
      <c r="G20" s="15">
        <f t="shared" si="0"/>
        <v>250</v>
      </c>
      <c r="H20" s="16" t="s">
        <v>76</v>
      </c>
      <c r="I20" s="16">
        <v>5</v>
      </c>
      <c r="J20" s="17">
        <f t="shared" si="4"/>
        <v>1250</v>
      </c>
      <c r="K20" s="14">
        <v>1000000</v>
      </c>
      <c r="L20" s="14">
        <v>250000000</v>
      </c>
      <c r="M20" s="18">
        <f t="shared" si="1"/>
        <v>1.6934227460543249E-2</v>
      </c>
      <c r="N20" s="19">
        <f t="shared" si="2"/>
        <v>4.6296296296296294E-2</v>
      </c>
    </row>
    <row r="21" spans="2:14" x14ac:dyDescent="0.25">
      <c r="B21" s="12" t="s">
        <v>495</v>
      </c>
      <c r="C21" s="13">
        <v>31</v>
      </c>
      <c r="D21" s="13">
        <v>31</v>
      </c>
      <c r="E21" s="14">
        <v>3001</v>
      </c>
      <c r="F21" s="14">
        <f t="shared" si="3"/>
        <v>3075</v>
      </c>
      <c r="G21" s="15">
        <f t="shared" si="0"/>
        <v>75</v>
      </c>
      <c r="H21" s="16" t="s">
        <v>77</v>
      </c>
      <c r="I21" s="16">
        <v>1</v>
      </c>
      <c r="J21" s="17">
        <f t="shared" si="4"/>
        <v>75</v>
      </c>
      <c r="K21" s="14">
        <v>1000000</v>
      </c>
      <c r="L21" s="14">
        <v>75000000</v>
      </c>
      <c r="M21" s="18">
        <f t="shared" si="1"/>
        <v>5.0802682381629752E-3</v>
      </c>
      <c r="N21" s="19">
        <f t="shared" si="2"/>
        <v>2.7777777777777779E-3</v>
      </c>
    </row>
    <row r="22" spans="2:14" x14ac:dyDescent="0.25">
      <c r="B22" s="12" t="s">
        <v>496</v>
      </c>
      <c r="C22" s="13">
        <v>31</v>
      </c>
      <c r="D22" s="13">
        <v>32</v>
      </c>
      <c r="E22" s="14">
        <f>+F21+1</f>
        <v>3076</v>
      </c>
      <c r="F22" s="14">
        <f t="shared" si="3"/>
        <v>3113</v>
      </c>
      <c r="G22" s="15">
        <f t="shared" si="0"/>
        <v>38</v>
      </c>
      <c r="H22" s="16" t="str">
        <f>+H21</f>
        <v>OS</v>
      </c>
      <c r="I22" s="16">
        <v>1</v>
      </c>
      <c r="J22" s="17">
        <f t="shared" si="4"/>
        <v>38</v>
      </c>
      <c r="K22" s="14">
        <v>1000000</v>
      </c>
      <c r="L22" s="14">
        <v>38000000</v>
      </c>
      <c r="M22" s="18">
        <f t="shared" si="1"/>
        <v>2.5740025740025739E-3</v>
      </c>
      <c r="N22" s="19">
        <f t="shared" si="2"/>
        <v>1.4074074074074073E-3</v>
      </c>
    </row>
    <row r="23" spans="2:14" x14ac:dyDescent="0.25">
      <c r="B23" s="12" t="s">
        <v>497</v>
      </c>
      <c r="C23" s="13">
        <v>32</v>
      </c>
      <c r="D23" s="13">
        <v>32</v>
      </c>
      <c r="E23" s="14">
        <f t="shared" ref="E23:E36" si="7">+F22+1</f>
        <v>3114</v>
      </c>
      <c r="F23" s="14">
        <f t="shared" si="3"/>
        <v>3188</v>
      </c>
      <c r="G23" s="15">
        <f t="shared" si="0"/>
        <v>75</v>
      </c>
      <c r="H23" s="16" t="str">
        <f>+H22</f>
        <v>OS</v>
      </c>
      <c r="I23" s="16">
        <v>1</v>
      </c>
      <c r="J23" s="17">
        <f t="shared" si="4"/>
        <v>75</v>
      </c>
      <c r="K23" s="14">
        <v>1000000</v>
      </c>
      <c r="L23" s="14">
        <v>75000000</v>
      </c>
      <c r="M23" s="18">
        <f t="shared" si="1"/>
        <v>5.0802682381629752E-3</v>
      </c>
      <c r="N23" s="19">
        <f t="shared" si="2"/>
        <v>2.7777777777777779E-3</v>
      </c>
    </row>
    <row r="24" spans="2:14" x14ac:dyDescent="0.25">
      <c r="B24" s="12" t="s">
        <v>498</v>
      </c>
      <c r="C24" s="13">
        <v>32</v>
      </c>
      <c r="D24" s="13">
        <v>33</v>
      </c>
      <c r="E24" s="14">
        <f t="shared" si="7"/>
        <v>3189</v>
      </c>
      <c r="F24" s="14">
        <f t="shared" si="3"/>
        <v>3213</v>
      </c>
      <c r="G24" s="15">
        <f t="shared" si="0"/>
        <v>25</v>
      </c>
      <c r="H24" s="16" t="str">
        <f t="shared" ref="H24:H87" si="8">+H23</f>
        <v>OS</v>
      </c>
      <c r="I24" s="16">
        <v>1</v>
      </c>
      <c r="J24" s="17">
        <f t="shared" si="4"/>
        <v>25</v>
      </c>
      <c r="K24" s="14">
        <v>1000000</v>
      </c>
      <c r="L24" s="14">
        <v>25000000</v>
      </c>
      <c r="M24" s="18">
        <f t="shared" si="1"/>
        <v>1.6934227460543251E-3</v>
      </c>
      <c r="N24" s="19">
        <f t="shared" si="2"/>
        <v>9.2592592592592596E-4</v>
      </c>
    </row>
    <row r="25" spans="2:14" x14ac:dyDescent="0.25">
      <c r="B25" s="12" t="s">
        <v>499</v>
      </c>
      <c r="C25" s="13">
        <v>33</v>
      </c>
      <c r="D25" s="13">
        <v>33</v>
      </c>
      <c r="E25" s="14">
        <f t="shared" si="7"/>
        <v>3214</v>
      </c>
      <c r="F25" s="14">
        <f t="shared" si="3"/>
        <v>3288</v>
      </c>
      <c r="G25" s="15">
        <f t="shared" si="0"/>
        <v>75</v>
      </c>
      <c r="H25" s="16" t="str">
        <f t="shared" si="8"/>
        <v>OS</v>
      </c>
      <c r="I25" s="16">
        <v>1</v>
      </c>
      <c r="J25" s="17">
        <f t="shared" si="4"/>
        <v>75</v>
      </c>
      <c r="K25" s="14">
        <v>1000000</v>
      </c>
      <c r="L25" s="14">
        <v>75000000</v>
      </c>
      <c r="M25" s="18">
        <f t="shared" si="1"/>
        <v>5.0802682381629752E-3</v>
      </c>
      <c r="N25" s="19">
        <f t="shared" si="2"/>
        <v>2.7777777777777779E-3</v>
      </c>
    </row>
    <row r="26" spans="2:14" x14ac:dyDescent="0.25">
      <c r="B26" s="12" t="s">
        <v>500</v>
      </c>
      <c r="C26" s="13">
        <v>33</v>
      </c>
      <c r="D26" s="13">
        <v>34</v>
      </c>
      <c r="E26" s="14">
        <f t="shared" si="7"/>
        <v>3289</v>
      </c>
      <c r="F26" s="14">
        <f t="shared" si="3"/>
        <v>3338</v>
      </c>
      <c r="G26" s="15">
        <f t="shared" si="0"/>
        <v>50</v>
      </c>
      <c r="H26" s="16" t="str">
        <f t="shared" si="8"/>
        <v>OS</v>
      </c>
      <c r="I26" s="16">
        <v>1</v>
      </c>
      <c r="J26" s="17">
        <f t="shared" si="4"/>
        <v>50</v>
      </c>
      <c r="K26" s="14">
        <v>1000000</v>
      </c>
      <c r="L26" s="14">
        <v>50000000</v>
      </c>
      <c r="M26" s="18">
        <f t="shared" si="1"/>
        <v>3.3868454921086501E-3</v>
      </c>
      <c r="N26" s="19">
        <f t="shared" si="2"/>
        <v>1.8518518518518519E-3</v>
      </c>
    </row>
    <row r="27" spans="2:14" x14ac:dyDescent="0.25">
      <c r="B27" s="12" t="s">
        <v>501</v>
      </c>
      <c r="C27" s="13">
        <v>34</v>
      </c>
      <c r="D27" s="13">
        <v>35</v>
      </c>
      <c r="E27" s="14">
        <f t="shared" si="7"/>
        <v>3339</v>
      </c>
      <c r="F27" s="14">
        <f t="shared" si="3"/>
        <v>3458</v>
      </c>
      <c r="G27" s="15">
        <f t="shared" si="0"/>
        <v>120</v>
      </c>
      <c r="H27" s="16" t="str">
        <f t="shared" si="8"/>
        <v>OS</v>
      </c>
      <c r="I27" s="16">
        <v>1</v>
      </c>
      <c r="J27" s="17">
        <f t="shared" si="4"/>
        <v>120</v>
      </c>
      <c r="K27" s="14">
        <v>1000000</v>
      </c>
      <c r="L27" s="14">
        <v>120000000</v>
      </c>
      <c r="M27" s="18">
        <f t="shared" si="1"/>
        <v>8.1284291810607597E-3</v>
      </c>
      <c r="N27" s="19">
        <f t="shared" si="2"/>
        <v>4.4444444444444444E-3</v>
      </c>
    </row>
    <row r="28" spans="2:14" x14ac:dyDescent="0.25">
      <c r="B28" s="12" t="s">
        <v>502</v>
      </c>
      <c r="C28" s="13">
        <v>35</v>
      </c>
      <c r="D28" s="13">
        <v>36</v>
      </c>
      <c r="E28" s="14">
        <f t="shared" si="7"/>
        <v>3459</v>
      </c>
      <c r="F28" s="14">
        <f t="shared" si="3"/>
        <v>3521</v>
      </c>
      <c r="G28" s="15">
        <f t="shared" si="0"/>
        <v>63</v>
      </c>
      <c r="H28" s="16" t="str">
        <f t="shared" si="8"/>
        <v>OS</v>
      </c>
      <c r="I28" s="16">
        <v>1</v>
      </c>
      <c r="J28" s="17">
        <f t="shared" si="4"/>
        <v>63</v>
      </c>
      <c r="K28" s="14">
        <v>1000000</v>
      </c>
      <c r="L28" s="14">
        <v>63000000</v>
      </c>
      <c r="M28" s="18">
        <f t="shared" si="1"/>
        <v>4.2674253200568994E-3</v>
      </c>
      <c r="N28" s="19">
        <f t="shared" si="2"/>
        <v>2.3333333333333335E-3</v>
      </c>
    </row>
    <row r="29" spans="2:14" x14ac:dyDescent="0.25">
      <c r="B29" s="12" t="s">
        <v>52</v>
      </c>
      <c r="C29" s="13">
        <v>36</v>
      </c>
      <c r="D29" s="13">
        <v>36</v>
      </c>
      <c r="E29" s="14">
        <f t="shared" si="7"/>
        <v>3522</v>
      </c>
      <c r="F29" s="14">
        <f t="shared" si="3"/>
        <v>3571</v>
      </c>
      <c r="G29" s="15">
        <f t="shared" si="0"/>
        <v>50</v>
      </c>
      <c r="H29" s="16" t="str">
        <f t="shared" si="8"/>
        <v>OS</v>
      </c>
      <c r="I29" s="16">
        <v>1</v>
      </c>
      <c r="J29" s="17">
        <f t="shared" si="4"/>
        <v>50</v>
      </c>
      <c r="K29" s="14">
        <v>1000000</v>
      </c>
      <c r="L29" s="14">
        <v>50000000</v>
      </c>
      <c r="M29" s="18">
        <f t="shared" si="1"/>
        <v>3.3868454921086501E-3</v>
      </c>
      <c r="N29" s="19">
        <f t="shared" si="2"/>
        <v>1.8518518518518519E-3</v>
      </c>
    </row>
    <row r="30" spans="2:14" x14ac:dyDescent="0.25">
      <c r="B30" s="12" t="s">
        <v>503</v>
      </c>
      <c r="C30" s="13">
        <v>36</v>
      </c>
      <c r="D30" s="13">
        <v>37</v>
      </c>
      <c r="E30" s="14">
        <f t="shared" si="7"/>
        <v>3572</v>
      </c>
      <c r="F30" s="14">
        <f t="shared" si="3"/>
        <v>3671</v>
      </c>
      <c r="G30" s="15">
        <f t="shared" si="0"/>
        <v>100</v>
      </c>
      <c r="H30" s="16" t="str">
        <f t="shared" si="8"/>
        <v>OS</v>
      </c>
      <c r="I30" s="16">
        <v>1</v>
      </c>
      <c r="J30" s="17">
        <f t="shared" si="4"/>
        <v>100</v>
      </c>
      <c r="K30" s="14">
        <v>1000000</v>
      </c>
      <c r="L30" s="14">
        <v>100000000</v>
      </c>
      <c r="M30" s="18">
        <f t="shared" si="1"/>
        <v>6.7736909842173003E-3</v>
      </c>
      <c r="N30" s="19">
        <f t="shared" si="2"/>
        <v>3.7037037037037038E-3</v>
      </c>
    </row>
    <row r="31" spans="2:14" x14ac:dyDescent="0.25">
      <c r="B31" s="12" t="s">
        <v>504</v>
      </c>
      <c r="C31" s="13">
        <v>37</v>
      </c>
      <c r="D31" s="13">
        <v>40</v>
      </c>
      <c r="E31" s="14">
        <f t="shared" si="7"/>
        <v>3672</v>
      </c>
      <c r="F31" s="14">
        <f t="shared" si="3"/>
        <v>3921</v>
      </c>
      <c r="G31" s="15">
        <f t="shared" si="0"/>
        <v>250</v>
      </c>
      <c r="H31" s="16" t="str">
        <f t="shared" si="8"/>
        <v>OS</v>
      </c>
      <c r="I31" s="16">
        <v>1</v>
      </c>
      <c r="J31" s="17">
        <f t="shared" si="4"/>
        <v>250</v>
      </c>
      <c r="K31" s="14">
        <v>1000000</v>
      </c>
      <c r="L31" s="14">
        <v>250000000</v>
      </c>
      <c r="M31" s="18">
        <f t="shared" si="1"/>
        <v>1.6934227460543249E-2</v>
      </c>
      <c r="N31" s="19">
        <f t="shared" si="2"/>
        <v>9.2592592592592587E-3</v>
      </c>
    </row>
    <row r="32" spans="2:14" x14ac:dyDescent="0.25">
      <c r="B32" s="12" t="s">
        <v>505</v>
      </c>
      <c r="C32" s="13">
        <v>40</v>
      </c>
      <c r="D32" s="13">
        <v>40</v>
      </c>
      <c r="E32" s="14">
        <f t="shared" si="7"/>
        <v>3922</v>
      </c>
      <c r="F32" s="14">
        <f t="shared" si="3"/>
        <v>3971</v>
      </c>
      <c r="G32" s="15">
        <f t="shared" si="0"/>
        <v>50</v>
      </c>
      <c r="H32" s="16" t="str">
        <f t="shared" si="8"/>
        <v>OS</v>
      </c>
      <c r="I32" s="16">
        <v>1</v>
      </c>
      <c r="J32" s="17">
        <f t="shared" si="4"/>
        <v>50</v>
      </c>
      <c r="K32" s="14">
        <v>1000000</v>
      </c>
      <c r="L32" s="14">
        <v>50000000</v>
      </c>
      <c r="M32" s="18">
        <f t="shared" si="1"/>
        <v>3.3868454921086501E-3</v>
      </c>
      <c r="N32" s="19">
        <f t="shared" si="2"/>
        <v>1.8518518518518519E-3</v>
      </c>
    </row>
    <row r="33" spans="2:14" x14ac:dyDescent="0.25">
      <c r="B33" s="12" t="s">
        <v>506</v>
      </c>
      <c r="C33" s="13">
        <v>40</v>
      </c>
      <c r="D33" s="13">
        <v>40</v>
      </c>
      <c r="E33" s="14">
        <f t="shared" si="7"/>
        <v>3972</v>
      </c>
      <c r="F33" s="14">
        <f t="shared" si="3"/>
        <v>3986</v>
      </c>
      <c r="G33" s="15">
        <f t="shared" si="0"/>
        <v>15</v>
      </c>
      <c r="H33" s="16" t="str">
        <f t="shared" si="8"/>
        <v>OS</v>
      </c>
      <c r="I33" s="16">
        <v>1</v>
      </c>
      <c r="J33" s="17">
        <f t="shared" si="4"/>
        <v>15</v>
      </c>
      <c r="K33" s="14">
        <v>1000000</v>
      </c>
      <c r="L33" s="14">
        <v>15000000</v>
      </c>
      <c r="M33" s="18">
        <f t="shared" si="1"/>
        <v>1.016053647632595E-3</v>
      </c>
      <c r="N33" s="19">
        <f t="shared" si="2"/>
        <v>5.5555555555555556E-4</v>
      </c>
    </row>
    <row r="34" spans="2:14" x14ac:dyDescent="0.25">
      <c r="B34" s="12" t="s">
        <v>353</v>
      </c>
      <c r="C34" s="13">
        <v>40</v>
      </c>
      <c r="D34" s="13">
        <v>40</v>
      </c>
      <c r="E34" s="14">
        <f t="shared" si="7"/>
        <v>3987</v>
      </c>
      <c r="F34" s="14">
        <f t="shared" si="3"/>
        <v>3991</v>
      </c>
      <c r="G34" s="15">
        <f t="shared" si="0"/>
        <v>5</v>
      </c>
      <c r="H34" s="16" t="str">
        <f t="shared" si="8"/>
        <v>OS</v>
      </c>
      <c r="I34" s="16">
        <v>1</v>
      </c>
      <c r="J34" s="17">
        <f t="shared" si="4"/>
        <v>5</v>
      </c>
      <c r="K34" s="14">
        <v>1000000</v>
      </c>
      <c r="L34" s="14">
        <v>5000000</v>
      </c>
      <c r="M34" s="18">
        <f t="shared" si="1"/>
        <v>3.38684549210865E-4</v>
      </c>
      <c r="N34" s="19">
        <f t="shared" si="2"/>
        <v>1.8518518518518518E-4</v>
      </c>
    </row>
    <row r="35" spans="2:14" x14ac:dyDescent="0.25">
      <c r="B35" s="12" t="s">
        <v>53</v>
      </c>
      <c r="C35" s="13">
        <v>40</v>
      </c>
      <c r="D35" s="13">
        <v>40</v>
      </c>
      <c r="E35" s="14">
        <f t="shared" si="7"/>
        <v>3992</v>
      </c>
      <c r="F35" s="14">
        <f t="shared" si="3"/>
        <v>3996</v>
      </c>
      <c r="G35" s="15">
        <f t="shared" si="0"/>
        <v>5</v>
      </c>
      <c r="H35" s="16" t="str">
        <f t="shared" si="8"/>
        <v>OS</v>
      </c>
      <c r="I35" s="16">
        <v>1</v>
      </c>
      <c r="J35" s="17">
        <f t="shared" si="4"/>
        <v>5</v>
      </c>
      <c r="K35" s="14">
        <v>1000000</v>
      </c>
      <c r="L35" s="14">
        <v>5000000</v>
      </c>
      <c r="M35" s="18">
        <f t="shared" si="1"/>
        <v>3.38684549210865E-4</v>
      </c>
      <c r="N35" s="19">
        <f t="shared" si="2"/>
        <v>1.8518518518518518E-4</v>
      </c>
    </row>
    <row r="36" spans="2:14" x14ac:dyDescent="0.25">
      <c r="B36" s="12" t="s">
        <v>55</v>
      </c>
      <c r="C36" s="13">
        <v>40</v>
      </c>
      <c r="D36" s="13">
        <v>40</v>
      </c>
      <c r="E36" s="14">
        <f t="shared" si="7"/>
        <v>3997</v>
      </c>
      <c r="F36" s="14">
        <f t="shared" si="3"/>
        <v>4000</v>
      </c>
      <c r="G36" s="15">
        <f t="shared" si="0"/>
        <v>4</v>
      </c>
      <c r="H36" s="16" t="str">
        <f t="shared" si="8"/>
        <v>OS</v>
      </c>
      <c r="I36" s="16">
        <v>1</v>
      </c>
      <c r="J36" s="17">
        <f t="shared" si="4"/>
        <v>4</v>
      </c>
      <c r="K36" s="14">
        <v>1000000</v>
      </c>
      <c r="L36" s="14">
        <v>4000000</v>
      </c>
      <c r="M36" s="18">
        <f t="shared" si="1"/>
        <v>2.70947639368692E-4</v>
      </c>
      <c r="N36" s="19">
        <f t="shared" si="2"/>
        <v>1.4814814814814815E-4</v>
      </c>
    </row>
    <row r="37" spans="2:14" x14ac:dyDescent="0.25">
      <c r="B37" s="12" t="s">
        <v>505</v>
      </c>
      <c r="C37" s="13">
        <v>91</v>
      </c>
      <c r="D37" s="13">
        <v>91</v>
      </c>
      <c r="E37" s="14">
        <v>9001</v>
      </c>
      <c r="F37" s="14">
        <f t="shared" si="3"/>
        <v>9077</v>
      </c>
      <c r="G37" s="15">
        <f t="shared" si="0"/>
        <v>77</v>
      </c>
      <c r="H37" s="16" t="str">
        <f t="shared" si="8"/>
        <v>OS</v>
      </c>
      <c r="I37" s="16">
        <v>1</v>
      </c>
      <c r="J37" s="17">
        <f t="shared" si="4"/>
        <v>77</v>
      </c>
      <c r="K37" s="14">
        <v>1000000</v>
      </c>
      <c r="L37" s="14">
        <v>77000000</v>
      </c>
      <c r="M37" s="18">
        <f t="shared" si="1"/>
        <v>5.2157420578473213E-3</v>
      </c>
      <c r="N37" s="19">
        <f t="shared" si="2"/>
        <v>2.8518518518518519E-3</v>
      </c>
    </row>
    <row r="38" spans="2:14" x14ac:dyDescent="0.25">
      <c r="B38" s="12" t="s">
        <v>497</v>
      </c>
      <c r="C38" s="13">
        <v>91</v>
      </c>
      <c r="D38" s="13">
        <v>92</v>
      </c>
      <c r="E38" s="14">
        <f>+F37+1</f>
        <v>9078</v>
      </c>
      <c r="F38" s="14">
        <f t="shared" si="3"/>
        <v>9127</v>
      </c>
      <c r="G38" s="15">
        <f t="shared" si="0"/>
        <v>50</v>
      </c>
      <c r="H38" s="16" t="str">
        <f t="shared" si="8"/>
        <v>OS</v>
      </c>
      <c r="I38" s="16">
        <v>1</v>
      </c>
      <c r="J38" s="17">
        <f t="shared" si="4"/>
        <v>50</v>
      </c>
      <c r="K38" s="14">
        <v>1000000</v>
      </c>
      <c r="L38" s="14">
        <v>50000000</v>
      </c>
      <c r="M38" s="18">
        <f t="shared" si="1"/>
        <v>3.3868454921086501E-3</v>
      </c>
      <c r="N38" s="19">
        <f t="shared" si="2"/>
        <v>1.8518518518518519E-3</v>
      </c>
    </row>
    <row r="39" spans="2:14" x14ac:dyDescent="0.25">
      <c r="B39" s="12" t="s">
        <v>507</v>
      </c>
      <c r="C39" s="13">
        <v>92</v>
      </c>
      <c r="D39" s="13">
        <v>92</v>
      </c>
      <c r="E39" s="14">
        <f t="shared" ref="E39:E101" si="9">+F38+1</f>
        <v>9128</v>
      </c>
      <c r="F39" s="14">
        <f t="shared" si="3"/>
        <v>9152</v>
      </c>
      <c r="G39" s="15">
        <f t="shared" si="0"/>
        <v>25</v>
      </c>
      <c r="H39" s="16" t="str">
        <f t="shared" si="8"/>
        <v>OS</v>
      </c>
      <c r="I39" s="16">
        <v>1</v>
      </c>
      <c r="J39" s="17">
        <f t="shared" si="4"/>
        <v>25</v>
      </c>
      <c r="K39" s="14">
        <v>1000000</v>
      </c>
      <c r="L39" s="14">
        <v>25000000</v>
      </c>
      <c r="M39" s="18">
        <f t="shared" si="1"/>
        <v>1.6934227460543251E-3</v>
      </c>
      <c r="N39" s="19">
        <f t="shared" si="2"/>
        <v>9.2592592592592596E-4</v>
      </c>
    </row>
    <row r="40" spans="2:14" x14ac:dyDescent="0.25">
      <c r="B40" s="12" t="s">
        <v>508</v>
      </c>
      <c r="C40" s="13">
        <v>92</v>
      </c>
      <c r="D40" s="13">
        <v>92</v>
      </c>
      <c r="E40" s="14">
        <f t="shared" si="9"/>
        <v>9153</v>
      </c>
      <c r="F40" s="14">
        <f t="shared" si="3"/>
        <v>9187</v>
      </c>
      <c r="G40" s="15">
        <f t="shared" si="0"/>
        <v>35</v>
      </c>
      <c r="H40" s="16" t="str">
        <f t="shared" si="8"/>
        <v>OS</v>
      </c>
      <c r="I40" s="16">
        <v>1</v>
      </c>
      <c r="J40" s="17">
        <f t="shared" si="4"/>
        <v>35</v>
      </c>
      <c r="K40" s="14">
        <v>1000000</v>
      </c>
      <c r="L40" s="14">
        <v>35000000</v>
      </c>
      <c r="M40" s="18">
        <f t="shared" si="1"/>
        <v>2.3707918444760552E-3</v>
      </c>
      <c r="N40" s="19">
        <f t="shared" si="2"/>
        <v>1.2962962962962963E-3</v>
      </c>
    </row>
    <row r="41" spans="2:14" x14ac:dyDescent="0.25">
      <c r="B41" s="12" t="s">
        <v>500</v>
      </c>
      <c r="C41" s="13">
        <v>92</v>
      </c>
      <c r="D41" s="13">
        <v>93</v>
      </c>
      <c r="E41" s="14">
        <f t="shared" si="9"/>
        <v>9188</v>
      </c>
      <c r="F41" s="14">
        <f t="shared" si="3"/>
        <v>9217</v>
      </c>
      <c r="G41" s="15">
        <f t="shared" si="0"/>
        <v>30</v>
      </c>
      <c r="H41" s="16" t="str">
        <f t="shared" si="8"/>
        <v>OS</v>
      </c>
      <c r="I41" s="16">
        <v>1</v>
      </c>
      <c r="J41" s="17">
        <f t="shared" si="4"/>
        <v>30</v>
      </c>
      <c r="K41" s="14">
        <v>1000000</v>
      </c>
      <c r="L41" s="14">
        <v>30000000</v>
      </c>
      <c r="M41" s="18">
        <f t="shared" si="1"/>
        <v>2.0321072952651899E-3</v>
      </c>
      <c r="N41" s="19">
        <f t="shared" si="2"/>
        <v>1.1111111111111111E-3</v>
      </c>
    </row>
    <row r="42" spans="2:14" x14ac:dyDescent="0.25">
      <c r="B42" s="12" t="s">
        <v>504</v>
      </c>
      <c r="C42" s="13">
        <v>93</v>
      </c>
      <c r="D42" s="13">
        <v>93</v>
      </c>
      <c r="E42" s="14">
        <f t="shared" si="9"/>
        <v>9218</v>
      </c>
      <c r="F42" s="14">
        <f t="shared" si="3"/>
        <v>9272</v>
      </c>
      <c r="G42" s="15">
        <f t="shared" si="0"/>
        <v>55</v>
      </c>
      <c r="H42" s="16" t="str">
        <f t="shared" si="8"/>
        <v>OS</v>
      </c>
      <c r="I42" s="16">
        <v>1</v>
      </c>
      <c r="J42" s="17">
        <f t="shared" si="4"/>
        <v>55</v>
      </c>
      <c r="K42" s="14">
        <v>1000000</v>
      </c>
      <c r="L42" s="14">
        <v>55000000</v>
      </c>
      <c r="M42" s="18">
        <f t="shared" si="1"/>
        <v>3.725530041319515E-3</v>
      </c>
      <c r="N42" s="19">
        <f t="shared" si="2"/>
        <v>2.0370370370370369E-3</v>
      </c>
    </row>
    <row r="43" spans="2:14" x14ac:dyDescent="0.25">
      <c r="B43" s="12" t="s">
        <v>499</v>
      </c>
      <c r="C43" s="13">
        <v>93</v>
      </c>
      <c r="D43" s="13">
        <v>94</v>
      </c>
      <c r="E43" s="14">
        <f>+F42+1</f>
        <v>9273</v>
      </c>
      <c r="F43" s="14">
        <f t="shared" si="3"/>
        <v>9322</v>
      </c>
      <c r="G43" s="15">
        <f t="shared" si="0"/>
        <v>50</v>
      </c>
      <c r="H43" s="16" t="str">
        <f>+H42</f>
        <v>OS</v>
      </c>
      <c r="I43" s="16">
        <v>1</v>
      </c>
      <c r="J43" s="17">
        <f t="shared" si="4"/>
        <v>50</v>
      </c>
      <c r="K43" s="14">
        <v>1000000</v>
      </c>
      <c r="L43" s="14">
        <v>50000000</v>
      </c>
      <c r="M43" s="18">
        <f t="shared" ref="M43:M74" si="10">+L43/$L$218</f>
        <v>3.3868454921086501E-3</v>
      </c>
      <c r="N43" s="19">
        <f t="shared" ref="N43:N74" si="11">+J43/$J$218</f>
        <v>1.8518518518518519E-3</v>
      </c>
    </row>
    <row r="44" spans="2:14" x14ac:dyDescent="0.25">
      <c r="B44" s="12" t="s">
        <v>498</v>
      </c>
      <c r="C44" s="13">
        <v>94</v>
      </c>
      <c r="D44" s="13">
        <v>94</v>
      </c>
      <c r="E44" s="14">
        <f t="shared" si="9"/>
        <v>9323</v>
      </c>
      <c r="F44" s="14">
        <f t="shared" si="3"/>
        <v>9385</v>
      </c>
      <c r="G44" s="15">
        <f t="shared" si="0"/>
        <v>63</v>
      </c>
      <c r="H44" s="16" t="str">
        <f t="shared" si="8"/>
        <v>OS</v>
      </c>
      <c r="I44" s="16">
        <v>1</v>
      </c>
      <c r="J44" s="17">
        <f t="shared" si="4"/>
        <v>63</v>
      </c>
      <c r="K44" s="14">
        <v>1000000</v>
      </c>
      <c r="L44" s="14">
        <v>63000000</v>
      </c>
      <c r="M44" s="18">
        <f t="shared" si="10"/>
        <v>4.2674253200568994E-3</v>
      </c>
      <c r="N44" s="19">
        <f t="shared" si="11"/>
        <v>2.3333333333333335E-3</v>
      </c>
    </row>
    <row r="45" spans="2:14" x14ac:dyDescent="0.25">
      <c r="B45" s="12" t="s">
        <v>509</v>
      </c>
      <c r="C45" s="13">
        <v>94</v>
      </c>
      <c r="D45" s="13">
        <v>94</v>
      </c>
      <c r="E45" s="14">
        <f t="shared" si="9"/>
        <v>9386</v>
      </c>
      <c r="F45" s="14">
        <f t="shared" si="3"/>
        <v>9400</v>
      </c>
      <c r="G45" s="15">
        <f t="shared" si="0"/>
        <v>15</v>
      </c>
      <c r="H45" s="16" t="str">
        <f t="shared" si="8"/>
        <v>OS</v>
      </c>
      <c r="I45" s="16">
        <v>1</v>
      </c>
      <c r="J45" s="17">
        <f t="shared" si="4"/>
        <v>15</v>
      </c>
      <c r="K45" s="14">
        <v>1000000</v>
      </c>
      <c r="L45" s="14">
        <v>15000000</v>
      </c>
      <c r="M45" s="18">
        <f t="shared" si="10"/>
        <v>1.016053647632595E-3</v>
      </c>
      <c r="N45" s="19">
        <f t="shared" si="11"/>
        <v>5.5555555555555556E-4</v>
      </c>
    </row>
    <row r="46" spans="2:14" x14ac:dyDescent="0.25">
      <c r="B46" s="12" t="s">
        <v>503</v>
      </c>
      <c r="C46" s="13">
        <v>95</v>
      </c>
      <c r="D46" s="13">
        <v>95</v>
      </c>
      <c r="E46" s="14">
        <f t="shared" si="9"/>
        <v>9401</v>
      </c>
      <c r="F46" s="14">
        <f t="shared" si="3"/>
        <v>9500</v>
      </c>
      <c r="G46" s="15">
        <f t="shared" si="0"/>
        <v>100</v>
      </c>
      <c r="H46" s="16" t="str">
        <f t="shared" si="8"/>
        <v>OS</v>
      </c>
      <c r="I46" s="16">
        <v>1</v>
      </c>
      <c r="J46" s="17">
        <f t="shared" si="4"/>
        <v>100</v>
      </c>
      <c r="K46" s="14">
        <v>1000000</v>
      </c>
      <c r="L46" s="14">
        <v>100000000</v>
      </c>
      <c r="M46" s="18">
        <f t="shared" si="10"/>
        <v>6.7736909842173003E-3</v>
      </c>
      <c r="N46" s="19">
        <f t="shared" si="11"/>
        <v>3.7037037037037038E-3</v>
      </c>
    </row>
    <row r="47" spans="2:14" x14ac:dyDescent="0.25">
      <c r="B47" s="12" t="s">
        <v>496</v>
      </c>
      <c r="C47" s="13">
        <v>96</v>
      </c>
      <c r="D47" s="13">
        <v>96</v>
      </c>
      <c r="E47" s="14">
        <f t="shared" si="9"/>
        <v>9501</v>
      </c>
      <c r="F47" s="14">
        <f t="shared" si="3"/>
        <v>9520</v>
      </c>
      <c r="G47" s="15">
        <f t="shared" si="0"/>
        <v>20</v>
      </c>
      <c r="H47" s="16" t="str">
        <f t="shared" si="8"/>
        <v>OS</v>
      </c>
      <c r="I47" s="16">
        <v>1</v>
      </c>
      <c r="J47" s="17">
        <f t="shared" si="4"/>
        <v>20</v>
      </c>
      <c r="K47" s="14">
        <v>1000000</v>
      </c>
      <c r="L47" s="14">
        <v>20000000</v>
      </c>
      <c r="M47" s="18">
        <f t="shared" si="10"/>
        <v>1.35473819684346E-3</v>
      </c>
      <c r="N47" s="19">
        <f t="shared" si="11"/>
        <v>7.407407407407407E-4</v>
      </c>
    </row>
    <row r="48" spans="2:14" x14ac:dyDescent="0.25">
      <c r="B48" s="12" t="s">
        <v>501</v>
      </c>
      <c r="C48" s="13">
        <v>96</v>
      </c>
      <c r="D48" s="13">
        <v>96</v>
      </c>
      <c r="E48" s="14">
        <f t="shared" si="9"/>
        <v>9521</v>
      </c>
      <c r="F48" s="14">
        <f t="shared" si="3"/>
        <v>9584</v>
      </c>
      <c r="G48" s="15">
        <f t="shared" si="0"/>
        <v>64</v>
      </c>
      <c r="H48" s="16" t="str">
        <f t="shared" si="8"/>
        <v>OS</v>
      </c>
      <c r="I48" s="16">
        <v>1</v>
      </c>
      <c r="J48" s="17">
        <f t="shared" si="4"/>
        <v>64</v>
      </c>
      <c r="K48" s="14">
        <v>1000000</v>
      </c>
      <c r="L48" s="14">
        <v>64000000</v>
      </c>
      <c r="M48" s="18">
        <f t="shared" si="10"/>
        <v>4.335162229899072E-3</v>
      </c>
      <c r="N48" s="19">
        <f t="shared" si="11"/>
        <v>2.3703703703703703E-3</v>
      </c>
    </row>
    <row r="49" spans="2:14" x14ac:dyDescent="0.25">
      <c r="B49" s="12" t="s">
        <v>494</v>
      </c>
      <c r="C49" s="13">
        <v>96</v>
      </c>
      <c r="D49" s="13">
        <v>96</v>
      </c>
      <c r="E49" s="14">
        <f t="shared" si="9"/>
        <v>9585</v>
      </c>
      <c r="F49" s="14">
        <f t="shared" si="3"/>
        <v>9587</v>
      </c>
      <c r="G49" s="15">
        <f t="shared" si="0"/>
        <v>3</v>
      </c>
      <c r="H49" s="16" t="str">
        <f t="shared" si="8"/>
        <v>OS</v>
      </c>
      <c r="I49" s="16">
        <v>1</v>
      </c>
      <c r="J49" s="17">
        <f t="shared" si="4"/>
        <v>3</v>
      </c>
      <c r="K49" s="14">
        <v>1000000</v>
      </c>
      <c r="L49" s="14">
        <v>3000000</v>
      </c>
      <c r="M49" s="18">
        <f t="shared" si="10"/>
        <v>2.03210729526519E-4</v>
      </c>
      <c r="N49" s="19">
        <f t="shared" si="11"/>
        <v>1.1111111111111112E-4</v>
      </c>
    </row>
    <row r="50" spans="2:14" x14ac:dyDescent="0.25">
      <c r="B50" s="12" t="s">
        <v>43</v>
      </c>
      <c r="C50" s="13">
        <v>96</v>
      </c>
      <c r="D50" s="13">
        <v>96</v>
      </c>
      <c r="E50" s="14">
        <f t="shared" si="9"/>
        <v>9588</v>
      </c>
      <c r="F50" s="14">
        <f t="shared" si="3"/>
        <v>9590</v>
      </c>
      <c r="G50" s="15">
        <f t="shared" si="0"/>
        <v>3</v>
      </c>
      <c r="H50" s="16" t="str">
        <f t="shared" si="8"/>
        <v>OS</v>
      </c>
      <c r="I50" s="16">
        <v>1</v>
      </c>
      <c r="J50" s="17">
        <f t="shared" si="4"/>
        <v>3</v>
      </c>
      <c r="K50" s="14">
        <v>1000000</v>
      </c>
      <c r="L50" s="14">
        <v>3000000</v>
      </c>
      <c r="M50" s="18">
        <f t="shared" si="10"/>
        <v>2.03210729526519E-4</v>
      </c>
      <c r="N50" s="19">
        <f t="shared" si="11"/>
        <v>1.1111111111111112E-4</v>
      </c>
    </row>
    <row r="51" spans="2:14" x14ac:dyDescent="0.25">
      <c r="B51" s="12" t="s">
        <v>45</v>
      </c>
      <c r="C51" s="13">
        <v>96</v>
      </c>
      <c r="D51" s="13">
        <v>96</v>
      </c>
      <c r="E51" s="14">
        <f t="shared" si="9"/>
        <v>9591</v>
      </c>
      <c r="F51" s="14">
        <f t="shared" si="3"/>
        <v>9593</v>
      </c>
      <c r="G51" s="15">
        <f t="shared" si="0"/>
        <v>3</v>
      </c>
      <c r="H51" s="16" t="str">
        <f t="shared" si="8"/>
        <v>OS</v>
      </c>
      <c r="I51" s="16">
        <v>1</v>
      </c>
      <c r="J51" s="17">
        <f t="shared" si="4"/>
        <v>3</v>
      </c>
      <c r="K51" s="14">
        <v>1000000</v>
      </c>
      <c r="L51" s="14">
        <v>3000000</v>
      </c>
      <c r="M51" s="18">
        <f t="shared" si="10"/>
        <v>2.03210729526519E-4</v>
      </c>
      <c r="N51" s="19">
        <f t="shared" si="11"/>
        <v>1.1111111111111112E-4</v>
      </c>
    </row>
    <row r="52" spans="2:14" x14ac:dyDescent="0.25">
      <c r="B52" s="12" t="s">
        <v>47</v>
      </c>
      <c r="C52" s="13">
        <v>96</v>
      </c>
      <c r="D52" s="13">
        <v>96</v>
      </c>
      <c r="E52" s="14">
        <f t="shared" si="9"/>
        <v>9594</v>
      </c>
      <c r="F52" s="14">
        <f t="shared" si="3"/>
        <v>9596</v>
      </c>
      <c r="G52" s="15">
        <f t="shared" si="0"/>
        <v>3</v>
      </c>
      <c r="H52" s="16" t="str">
        <f t="shared" si="8"/>
        <v>OS</v>
      </c>
      <c r="I52" s="16">
        <v>1</v>
      </c>
      <c r="J52" s="17">
        <f t="shared" si="4"/>
        <v>3</v>
      </c>
      <c r="K52" s="14">
        <v>1000000</v>
      </c>
      <c r="L52" s="14">
        <v>3000000</v>
      </c>
      <c r="M52" s="18">
        <f t="shared" si="10"/>
        <v>2.03210729526519E-4</v>
      </c>
      <c r="N52" s="19">
        <f t="shared" si="11"/>
        <v>1.1111111111111112E-4</v>
      </c>
    </row>
    <row r="53" spans="2:14" x14ac:dyDescent="0.25">
      <c r="B53" s="12" t="s">
        <v>495</v>
      </c>
      <c r="C53" s="13">
        <v>96</v>
      </c>
      <c r="D53" s="13">
        <v>97</v>
      </c>
      <c r="E53" s="14">
        <f t="shared" si="9"/>
        <v>9597</v>
      </c>
      <c r="F53" s="14">
        <f t="shared" si="3"/>
        <v>9634</v>
      </c>
      <c r="G53" s="15">
        <f t="shared" si="0"/>
        <v>38</v>
      </c>
      <c r="H53" s="16" t="str">
        <f t="shared" si="8"/>
        <v>OS</v>
      </c>
      <c r="I53" s="16">
        <v>1</v>
      </c>
      <c r="J53" s="17">
        <f t="shared" si="4"/>
        <v>38</v>
      </c>
      <c r="K53" s="14">
        <v>1000000</v>
      </c>
      <c r="L53" s="14">
        <v>38000000</v>
      </c>
      <c r="M53" s="18">
        <f t="shared" si="10"/>
        <v>2.5740025740025739E-3</v>
      </c>
      <c r="N53" s="19">
        <f t="shared" si="11"/>
        <v>1.4074074074074073E-3</v>
      </c>
    </row>
    <row r="54" spans="2:14" x14ac:dyDescent="0.25">
      <c r="B54" s="12" t="s">
        <v>496</v>
      </c>
      <c r="C54" s="13">
        <v>97</v>
      </c>
      <c r="D54" s="13">
        <v>97</v>
      </c>
      <c r="E54" s="14">
        <f t="shared" si="9"/>
        <v>9635</v>
      </c>
      <c r="F54" s="14">
        <f t="shared" si="3"/>
        <v>9653</v>
      </c>
      <c r="G54" s="15">
        <f t="shared" si="0"/>
        <v>19</v>
      </c>
      <c r="H54" s="16" t="str">
        <f t="shared" si="8"/>
        <v>OS</v>
      </c>
      <c r="I54" s="16">
        <v>1</v>
      </c>
      <c r="J54" s="17">
        <f t="shared" si="4"/>
        <v>19</v>
      </c>
      <c r="K54" s="14">
        <v>1000000</v>
      </c>
      <c r="L54" s="14">
        <v>19000000</v>
      </c>
      <c r="M54" s="18">
        <f t="shared" si="10"/>
        <v>1.287001287001287E-3</v>
      </c>
      <c r="N54" s="19">
        <f t="shared" si="11"/>
        <v>7.0370370370370367E-4</v>
      </c>
    </row>
    <row r="55" spans="2:14" x14ac:dyDescent="0.25">
      <c r="B55" s="12" t="s">
        <v>497</v>
      </c>
      <c r="C55" s="13">
        <v>97</v>
      </c>
      <c r="D55" s="13">
        <v>97</v>
      </c>
      <c r="E55" s="14">
        <f t="shared" si="9"/>
        <v>9654</v>
      </c>
      <c r="F55" s="14">
        <f t="shared" si="3"/>
        <v>9691</v>
      </c>
      <c r="G55" s="15">
        <f t="shared" si="0"/>
        <v>38</v>
      </c>
      <c r="H55" s="16" t="str">
        <f t="shared" si="8"/>
        <v>OS</v>
      </c>
      <c r="I55" s="16">
        <v>1</v>
      </c>
      <c r="J55" s="17">
        <f t="shared" si="4"/>
        <v>38</v>
      </c>
      <c r="K55" s="14">
        <v>1000000</v>
      </c>
      <c r="L55" s="14">
        <v>38000000</v>
      </c>
      <c r="M55" s="18">
        <f t="shared" si="10"/>
        <v>2.5740025740025739E-3</v>
      </c>
      <c r="N55" s="19">
        <f t="shared" si="11"/>
        <v>1.4074074074074073E-3</v>
      </c>
    </row>
    <row r="56" spans="2:14" x14ac:dyDescent="0.25">
      <c r="B56" s="12" t="s">
        <v>498</v>
      </c>
      <c r="C56" s="13">
        <v>97</v>
      </c>
      <c r="D56" s="13">
        <v>98</v>
      </c>
      <c r="E56" s="14">
        <f t="shared" si="9"/>
        <v>9692</v>
      </c>
      <c r="F56" s="14">
        <f t="shared" si="3"/>
        <v>9703</v>
      </c>
      <c r="G56" s="15">
        <f t="shared" si="0"/>
        <v>12</v>
      </c>
      <c r="H56" s="16" t="str">
        <f t="shared" si="8"/>
        <v>OS</v>
      </c>
      <c r="I56" s="16">
        <v>1</v>
      </c>
      <c r="J56" s="17">
        <f t="shared" si="4"/>
        <v>12</v>
      </c>
      <c r="K56" s="14">
        <v>1000000</v>
      </c>
      <c r="L56" s="14">
        <v>12000000</v>
      </c>
      <c r="M56" s="18">
        <f t="shared" si="10"/>
        <v>8.1284291810607601E-4</v>
      </c>
      <c r="N56" s="19">
        <f t="shared" si="11"/>
        <v>4.4444444444444447E-4</v>
      </c>
    </row>
    <row r="57" spans="2:14" x14ac:dyDescent="0.25">
      <c r="B57" s="12" t="s">
        <v>499</v>
      </c>
      <c r="C57" s="13">
        <v>98</v>
      </c>
      <c r="D57" s="13">
        <v>98</v>
      </c>
      <c r="E57" s="14">
        <f t="shared" si="9"/>
        <v>9704</v>
      </c>
      <c r="F57" s="14">
        <f t="shared" si="3"/>
        <v>9741</v>
      </c>
      <c r="G57" s="15">
        <f t="shared" si="0"/>
        <v>38</v>
      </c>
      <c r="H57" s="16" t="str">
        <f t="shared" si="8"/>
        <v>OS</v>
      </c>
      <c r="I57" s="16">
        <v>1</v>
      </c>
      <c r="J57" s="17">
        <f t="shared" si="4"/>
        <v>38</v>
      </c>
      <c r="K57" s="14">
        <v>1000000</v>
      </c>
      <c r="L57" s="14">
        <v>38000000</v>
      </c>
      <c r="M57" s="18">
        <f t="shared" si="10"/>
        <v>2.5740025740025739E-3</v>
      </c>
      <c r="N57" s="19">
        <f t="shared" si="11"/>
        <v>1.4074074074074073E-3</v>
      </c>
    </row>
    <row r="58" spans="2:14" x14ac:dyDescent="0.25">
      <c r="B58" s="12" t="s">
        <v>500</v>
      </c>
      <c r="C58" s="13">
        <v>98</v>
      </c>
      <c r="D58" s="13">
        <v>98</v>
      </c>
      <c r="E58" s="14">
        <f t="shared" si="9"/>
        <v>9742</v>
      </c>
      <c r="F58" s="14">
        <f t="shared" si="3"/>
        <v>9766</v>
      </c>
      <c r="G58" s="15">
        <f t="shared" si="0"/>
        <v>25</v>
      </c>
      <c r="H58" s="16" t="str">
        <f t="shared" si="8"/>
        <v>OS</v>
      </c>
      <c r="I58" s="16">
        <v>1</v>
      </c>
      <c r="J58" s="17">
        <f t="shared" si="4"/>
        <v>25</v>
      </c>
      <c r="K58" s="14">
        <v>1000000</v>
      </c>
      <c r="L58" s="14">
        <v>25000000</v>
      </c>
      <c r="M58" s="18">
        <f t="shared" si="10"/>
        <v>1.6934227460543251E-3</v>
      </c>
      <c r="N58" s="19">
        <f t="shared" si="11"/>
        <v>9.2592592592592596E-4</v>
      </c>
    </row>
    <row r="59" spans="2:14" x14ac:dyDescent="0.25">
      <c r="B59" s="12" t="s">
        <v>501</v>
      </c>
      <c r="C59" s="13">
        <v>98</v>
      </c>
      <c r="D59" s="13">
        <v>99</v>
      </c>
      <c r="E59" s="14">
        <f t="shared" si="9"/>
        <v>9767</v>
      </c>
      <c r="F59" s="14">
        <f t="shared" si="3"/>
        <v>9827</v>
      </c>
      <c r="G59" s="15">
        <f t="shared" si="0"/>
        <v>61</v>
      </c>
      <c r="H59" s="16" t="str">
        <f t="shared" si="8"/>
        <v>OS</v>
      </c>
      <c r="I59" s="16">
        <v>1</v>
      </c>
      <c r="J59" s="17">
        <f t="shared" si="4"/>
        <v>61</v>
      </c>
      <c r="K59" s="14">
        <v>1000000</v>
      </c>
      <c r="L59" s="14">
        <v>61000000</v>
      </c>
      <c r="M59" s="18">
        <f t="shared" si="10"/>
        <v>4.1319515003725533E-3</v>
      </c>
      <c r="N59" s="19">
        <f t="shared" si="11"/>
        <v>2.2592592592592595E-3</v>
      </c>
    </row>
    <row r="60" spans="2:14" x14ac:dyDescent="0.25">
      <c r="B60" s="12" t="s">
        <v>502</v>
      </c>
      <c r="C60" s="13">
        <v>99</v>
      </c>
      <c r="D60" s="13">
        <v>99</v>
      </c>
      <c r="E60" s="14">
        <f t="shared" si="9"/>
        <v>9828</v>
      </c>
      <c r="F60" s="14">
        <f t="shared" si="3"/>
        <v>9859</v>
      </c>
      <c r="G60" s="15">
        <f t="shared" si="0"/>
        <v>32</v>
      </c>
      <c r="H60" s="16" t="str">
        <f t="shared" si="8"/>
        <v>OS</v>
      </c>
      <c r="I60" s="16">
        <v>1</v>
      </c>
      <c r="J60" s="17">
        <f t="shared" si="4"/>
        <v>32</v>
      </c>
      <c r="K60" s="14">
        <v>1000000</v>
      </c>
      <c r="L60" s="14">
        <v>32000000</v>
      </c>
      <c r="M60" s="18">
        <f t="shared" si="10"/>
        <v>2.167581114949536E-3</v>
      </c>
      <c r="N60" s="19">
        <f t="shared" si="11"/>
        <v>1.1851851851851852E-3</v>
      </c>
    </row>
    <row r="61" spans="2:14" x14ac:dyDescent="0.25">
      <c r="B61" s="12" t="s">
        <v>52</v>
      </c>
      <c r="C61" s="13">
        <v>99</v>
      </c>
      <c r="D61" s="13">
        <v>99</v>
      </c>
      <c r="E61" s="14">
        <f>+F60+1</f>
        <v>9860</v>
      </c>
      <c r="F61" s="14">
        <f t="shared" si="3"/>
        <v>9884</v>
      </c>
      <c r="G61" s="15">
        <f t="shared" si="0"/>
        <v>25</v>
      </c>
      <c r="H61" s="16" t="str">
        <f>+H60</f>
        <v>OS</v>
      </c>
      <c r="I61" s="16">
        <v>1</v>
      </c>
      <c r="J61" s="17">
        <f t="shared" si="4"/>
        <v>25</v>
      </c>
      <c r="K61" s="14">
        <v>1000000</v>
      </c>
      <c r="L61" s="14">
        <v>25000000</v>
      </c>
      <c r="M61" s="18">
        <f t="shared" si="10"/>
        <v>1.6934227460543251E-3</v>
      </c>
      <c r="N61" s="19">
        <f t="shared" si="11"/>
        <v>9.2592592592592596E-4</v>
      </c>
    </row>
    <row r="62" spans="2:14" x14ac:dyDescent="0.25">
      <c r="B62" s="12" t="s">
        <v>503</v>
      </c>
      <c r="C62" s="13">
        <v>99</v>
      </c>
      <c r="D62" s="13">
        <v>100</v>
      </c>
      <c r="E62" s="14">
        <f t="shared" si="9"/>
        <v>9885</v>
      </c>
      <c r="F62" s="14">
        <f t="shared" si="3"/>
        <v>9934</v>
      </c>
      <c r="G62" s="15">
        <f t="shared" si="0"/>
        <v>50</v>
      </c>
      <c r="H62" s="16" t="str">
        <f t="shared" si="8"/>
        <v>OS</v>
      </c>
      <c r="I62" s="16">
        <v>1</v>
      </c>
      <c r="J62" s="17">
        <f t="shared" si="4"/>
        <v>50</v>
      </c>
      <c r="K62" s="14">
        <v>1000000</v>
      </c>
      <c r="L62" s="14">
        <v>50000000</v>
      </c>
      <c r="M62" s="18">
        <f t="shared" si="10"/>
        <v>3.3868454921086501E-3</v>
      </c>
      <c r="N62" s="19">
        <f t="shared" si="11"/>
        <v>1.8518518518518519E-3</v>
      </c>
    </row>
    <row r="63" spans="2:14" x14ac:dyDescent="0.25">
      <c r="B63" s="12" t="s">
        <v>504</v>
      </c>
      <c r="C63" s="13">
        <v>100</v>
      </c>
      <c r="D63" s="13">
        <v>101</v>
      </c>
      <c r="E63" s="14">
        <f t="shared" si="9"/>
        <v>9935</v>
      </c>
      <c r="F63" s="14">
        <f t="shared" si="3"/>
        <v>10062</v>
      </c>
      <c r="G63" s="15">
        <f t="shared" si="0"/>
        <v>128</v>
      </c>
      <c r="H63" s="16" t="str">
        <f t="shared" si="8"/>
        <v>OS</v>
      </c>
      <c r="I63" s="16">
        <v>1</v>
      </c>
      <c r="J63" s="17">
        <f t="shared" si="4"/>
        <v>128</v>
      </c>
      <c r="K63" s="14">
        <v>1000000</v>
      </c>
      <c r="L63" s="14">
        <v>128000000</v>
      </c>
      <c r="M63" s="18">
        <f t="shared" si="10"/>
        <v>8.6703244597981441E-3</v>
      </c>
      <c r="N63" s="19">
        <f t="shared" si="11"/>
        <v>4.7407407407407407E-3</v>
      </c>
    </row>
    <row r="64" spans="2:14" x14ac:dyDescent="0.25">
      <c r="B64" s="12" t="s">
        <v>505</v>
      </c>
      <c r="C64" s="13">
        <v>101</v>
      </c>
      <c r="D64" s="13">
        <v>101</v>
      </c>
      <c r="E64" s="14">
        <f t="shared" si="9"/>
        <v>10063</v>
      </c>
      <c r="F64" s="14">
        <f t="shared" si="3"/>
        <v>10087</v>
      </c>
      <c r="G64" s="15">
        <f t="shared" si="0"/>
        <v>25</v>
      </c>
      <c r="H64" s="16" t="str">
        <f t="shared" si="8"/>
        <v>OS</v>
      </c>
      <c r="I64" s="16">
        <v>1</v>
      </c>
      <c r="J64" s="17">
        <f t="shared" si="4"/>
        <v>25</v>
      </c>
      <c r="K64" s="14">
        <v>1000000</v>
      </c>
      <c r="L64" s="14">
        <v>25000000</v>
      </c>
      <c r="M64" s="18">
        <f t="shared" si="10"/>
        <v>1.6934227460543251E-3</v>
      </c>
      <c r="N64" s="19">
        <f t="shared" si="11"/>
        <v>9.2592592592592596E-4</v>
      </c>
    </row>
    <row r="65" spans="2:14" x14ac:dyDescent="0.25">
      <c r="B65" s="12" t="s">
        <v>506</v>
      </c>
      <c r="C65" s="13">
        <v>101</v>
      </c>
      <c r="D65" s="13">
        <v>101</v>
      </c>
      <c r="E65" s="14">
        <f t="shared" si="9"/>
        <v>10088</v>
      </c>
      <c r="F65" s="14">
        <f t="shared" si="3"/>
        <v>10094</v>
      </c>
      <c r="G65" s="15">
        <f t="shared" si="0"/>
        <v>7</v>
      </c>
      <c r="H65" s="16" t="str">
        <f t="shared" si="8"/>
        <v>OS</v>
      </c>
      <c r="I65" s="16">
        <v>1</v>
      </c>
      <c r="J65" s="17">
        <f t="shared" si="4"/>
        <v>7</v>
      </c>
      <c r="K65" s="14">
        <v>1000000</v>
      </c>
      <c r="L65" s="14">
        <v>7000000</v>
      </c>
      <c r="M65" s="18">
        <f t="shared" si="10"/>
        <v>4.74158368895211E-4</v>
      </c>
      <c r="N65" s="19">
        <f t="shared" si="11"/>
        <v>2.5925925925925926E-4</v>
      </c>
    </row>
    <row r="66" spans="2:14" x14ac:dyDescent="0.25">
      <c r="B66" s="12" t="s">
        <v>353</v>
      </c>
      <c r="C66" s="13">
        <v>101</v>
      </c>
      <c r="D66" s="13">
        <v>101</v>
      </c>
      <c r="E66" s="14">
        <f t="shared" si="9"/>
        <v>10095</v>
      </c>
      <c r="F66" s="14">
        <f t="shared" si="3"/>
        <v>10096</v>
      </c>
      <c r="G66" s="15">
        <f t="shared" si="0"/>
        <v>2</v>
      </c>
      <c r="H66" s="16" t="str">
        <f t="shared" si="8"/>
        <v>OS</v>
      </c>
      <c r="I66" s="16">
        <v>1</v>
      </c>
      <c r="J66" s="17">
        <f t="shared" si="4"/>
        <v>2</v>
      </c>
      <c r="K66" s="14">
        <v>1000000</v>
      </c>
      <c r="L66" s="14">
        <v>2000000</v>
      </c>
      <c r="M66" s="18">
        <f t="shared" si="10"/>
        <v>1.35473819684346E-4</v>
      </c>
      <c r="N66" s="19">
        <f t="shared" si="11"/>
        <v>7.4074074074074073E-5</v>
      </c>
    </row>
    <row r="67" spans="2:14" x14ac:dyDescent="0.25">
      <c r="B67" s="12" t="s">
        <v>53</v>
      </c>
      <c r="C67" s="13">
        <v>101</v>
      </c>
      <c r="D67" s="13">
        <v>101</v>
      </c>
      <c r="E67" s="14">
        <f t="shared" si="9"/>
        <v>10097</v>
      </c>
      <c r="F67" s="14">
        <f t="shared" si="3"/>
        <v>10098</v>
      </c>
      <c r="G67" s="15">
        <f t="shared" si="0"/>
        <v>2</v>
      </c>
      <c r="H67" s="16" t="str">
        <f t="shared" si="8"/>
        <v>OS</v>
      </c>
      <c r="I67" s="16">
        <v>1</v>
      </c>
      <c r="J67" s="17">
        <f t="shared" si="4"/>
        <v>2</v>
      </c>
      <c r="K67" s="14">
        <v>1000000</v>
      </c>
      <c r="L67" s="14">
        <v>2000000</v>
      </c>
      <c r="M67" s="18">
        <f t="shared" si="10"/>
        <v>1.35473819684346E-4</v>
      </c>
      <c r="N67" s="19">
        <f t="shared" si="11"/>
        <v>7.4074074074074073E-5</v>
      </c>
    </row>
    <row r="68" spans="2:14" x14ac:dyDescent="0.25">
      <c r="B68" s="12" t="s">
        <v>55</v>
      </c>
      <c r="C68" s="13">
        <v>101</v>
      </c>
      <c r="D68" s="13">
        <v>101</v>
      </c>
      <c r="E68" s="14">
        <f t="shared" si="9"/>
        <v>10099</v>
      </c>
      <c r="F68" s="14">
        <f t="shared" si="3"/>
        <v>10100</v>
      </c>
      <c r="G68" s="15">
        <f t="shared" si="0"/>
        <v>2</v>
      </c>
      <c r="H68" s="16" t="str">
        <f t="shared" si="8"/>
        <v>OS</v>
      </c>
      <c r="I68" s="16">
        <v>1</v>
      </c>
      <c r="J68" s="17">
        <f t="shared" si="4"/>
        <v>2</v>
      </c>
      <c r="K68" s="14">
        <v>1000000</v>
      </c>
      <c r="L68" s="14">
        <v>2000000</v>
      </c>
      <c r="M68" s="18">
        <f t="shared" si="10"/>
        <v>1.35473819684346E-4</v>
      </c>
      <c r="N68" s="19">
        <f t="shared" si="11"/>
        <v>7.4074074074074073E-5</v>
      </c>
    </row>
    <row r="69" spans="2:14" x14ac:dyDescent="0.25">
      <c r="B69" s="12" t="s">
        <v>47</v>
      </c>
      <c r="C69" s="13">
        <v>102</v>
      </c>
      <c r="D69" s="13">
        <v>103</v>
      </c>
      <c r="E69" s="14">
        <f t="shared" si="9"/>
        <v>10101</v>
      </c>
      <c r="F69" s="14">
        <f t="shared" si="3"/>
        <v>10244</v>
      </c>
      <c r="G69" s="15">
        <f t="shared" si="0"/>
        <v>144</v>
      </c>
      <c r="H69" s="16" t="str">
        <f t="shared" si="8"/>
        <v>OS</v>
      </c>
      <c r="I69" s="16">
        <v>1</v>
      </c>
      <c r="J69" s="17">
        <f t="shared" si="4"/>
        <v>144</v>
      </c>
      <c r="K69" s="14">
        <v>1000000</v>
      </c>
      <c r="L69" s="14">
        <v>144000000</v>
      </c>
      <c r="M69" s="18">
        <f t="shared" si="10"/>
        <v>9.7541150172729112E-3</v>
      </c>
      <c r="N69" s="19">
        <f t="shared" si="11"/>
        <v>5.3333333333333332E-3</v>
      </c>
    </row>
    <row r="70" spans="2:14" x14ac:dyDescent="0.25">
      <c r="B70" s="12" t="s">
        <v>45</v>
      </c>
      <c r="C70" s="13">
        <v>103</v>
      </c>
      <c r="D70" s="13">
        <v>104</v>
      </c>
      <c r="E70" s="14">
        <f t="shared" si="9"/>
        <v>10245</v>
      </c>
      <c r="F70" s="14">
        <f t="shared" si="3"/>
        <v>10388</v>
      </c>
      <c r="G70" s="15">
        <f t="shared" si="0"/>
        <v>144</v>
      </c>
      <c r="H70" s="16" t="str">
        <f t="shared" si="8"/>
        <v>OS</v>
      </c>
      <c r="I70" s="16">
        <v>1</v>
      </c>
      <c r="J70" s="17">
        <f t="shared" si="4"/>
        <v>144</v>
      </c>
      <c r="K70" s="14">
        <v>1000000</v>
      </c>
      <c r="L70" s="14">
        <v>144000000</v>
      </c>
      <c r="M70" s="18">
        <f t="shared" si="10"/>
        <v>9.7541150172729112E-3</v>
      </c>
      <c r="N70" s="19">
        <f t="shared" si="11"/>
        <v>5.3333333333333332E-3</v>
      </c>
    </row>
    <row r="71" spans="2:14" x14ac:dyDescent="0.25">
      <c r="B71" s="12" t="s">
        <v>43</v>
      </c>
      <c r="C71" s="13">
        <v>104</v>
      </c>
      <c r="D71" s="13">
        <v>106</v>
      </c>
      <c r="E71" s="14">
        <f t="shared" si="9"/>
        <v>10389</v>
      </c>
      <c r="F71" s="14">
        <f t="shared" si="3"/>
        <v>10532</v>
      </c>
      <c r="G71" s="15">
        <f t="shared" si="0"/>
        <v>144</v>
      </c>
      <c r="H71" s="16" t="str">
        <f t="shared" si="8"/>
        <v>OS</v>
      </c>
      <c r="I71" s="16">
        <v>1</v>
      </c>
      <c r="J71" s="17">
        <f t="shared" si="4"/>
        <v>144</v>
      </c>
      <c r="K71" s="14">
        <v>1000000</v>
      </c>
      <c r="L71" s="14">
        <v>144000000</v>
      </c>
      <c r="M71" s="18">
        <f t="shared" si="10"/>
        <v>9.7541150172729112E-3</v>
      </c>
      <c r="N71" s="19">
        <f t="shared" si="11"/>
        <v>5.3333333333333332E-3</v>
      </c>
    </row>
    <row r="72" spans="2:14" x14ac:dyDescent="0.25">
      <c r="B72" s="12" t="s">
        <v>494</v>
      </c>
      <c r="C72" s="13">
        <v>106</v>
      </c>
      <c r="D72" s="13">
        <v>107</v>
      </c>
      <c r="E72" s="14">
        <f t="shared" si="9"/>
        <v>10533</v>
      </c>
      <c r="F72" s="14">
        <f t="shared" si="3"/>
        <v>10676</v>
      </c>
      <c r="G72" s="15">
        <f t="shared" si="0"/>
        <v>144</v>
      </c>
      <c r="H72" s="16" t="str">
        <f t="shared" si="8"/>
        <v>OS</v>
      </c>
      <c r="I72" s="16">
        <v>1</v>
      </c>
      <c r="J72" s="17">
        <f t="shared" si="4"/>
        <v>144</v>
      </c>
      <c r="K72" s="14">
        <v>1000000</v>
      </c>
      <c r="L72" s="14">
        <v>144000000</v>
      </c>
      <c r="M72" s="18">
        <f t="shared" si="10"/>
        <v>9.7541150172729112E-3</v>
      </c>
      <c r="N72" s="19">
        <f t="shared" si="11"/>
        <v>5.3333333333333332E-3</v>
      </c>
    </row>
    <row r="73" spans="2:14" x14ac:dyDescent="0.25">
      <c r="B73" s="12" t="s">
        <v>47</v>
      </c>
      <c r="C73" s="13">
        <v>107</v>
      </c>
      <c r="D73" s="13">
        <v>109</v>
      </c>
      <c r="E73" s="14">
        <f t="shared" si="9"/>
        <v>10677</v>
      </c>
      <c r="F73" s="14">
        <f t="shared" si="3"/>
        <v>10806</v>
      </c>
      <c r="G73" s="15">
        <f t="shared" ref="G73:G136" si="12">+F73-E73+1</f>
        <v>130</v>
      </c>
      <c r="H73" s="16" t="str">
        <f t="shared" si="8"/>
        <v>OS</v>
      </c>
      <c r="I73" s="16">
        <v>1</v>
      </c>
      <c r="J73" s="17">
        <f t="shared" si="4"/>
        <v>130</v>
      </c>
      <c r="K73" s="14">
        <v>1000000</v>
      </c>
      <c r="L73" s="14">
        <v>130000000</v>
      </c>
      <c r="M73" s="18">
        <f t="shared" si="10"/>
        <v>8.8057982794824893E-3</v>
      </c>
      <c r="N73" s="19">
        <f t="shared" si="11"/>
        <v>4.8148148148148152E-3</v>
      </c>
    </row>
    <row r="74" spans="2:14" x14ac:dyDescent="0.25">
      <c r="B74" s="12" t="s">
        <v>45</v>
      </c>
      <c r="C74" s="13">
        <v>109</v>
      </c>
      <c r="D74" s="13">
        <v>110</v>
      </c>
      <c r="E74" s="14">
        <f t="shared" si="9"/>
        <v>10807</v>
      </c>
      <c r="F74" s="14">
        <f t="shared" ref="F74:F137" si="13">+((E74)+(L74/K74))-1</f>
        <v>10936</v>
      </c>
      <c r="G74" s="15">
        <f t="shared" si="12"/>
        <v>130</v>
      </c>
      <c r="H74" s="16" t="str">
        <f t="shared" si="8"/>
        <v>OS</v>
      </c>
      <c r="I74" s="16">
        <v>1</v>
      </c>
      <c r="J74" s="17">
        <f t="shared" si="4"/>
        <v>130</v>
      </c>
      <c r="K74" s="14">
        <v>1000000</v>
      </c>
      <c r="L74" s="14">
        <v>130000000</v>
      </c>
      <c r="M74" s="18">
        <f t="shared" si="10"/>
        <v>8.8057982794824893E-3</v>
      </c>
      <c r="N74" s="19">
        <f t="shared" si="11"/>
        <v>4.8148148148148152E-3</v>
      </c>
    </row>
    <row r="75" spans="2:14" x14ac:dyDescent="0.25">
      <c r="B75" s="12" t="s">
        <v>43</v>
      </c>
      <c r="C75" s="13">
        <v>110</v>
      </c>
      <c r="D75" s="13">
        <v>111</v>
      </c>
      <c r="E75" s="14">
        <f t="shared" si="9"/>
        <v>10937</v>
      </c>
      <c r="F75" s="14">
        <f t="shared" si="13"/>
        <v>11066</v>
      </c>
      <c r="G75" s="15">
        <f t="shared" si="12"/>
        <v>130</v>
      </c>
      <c r="H75" s="16" t="str">
        <f t="shared" si="8"/>
        <v>OS</v>
      </c>
      <c r="I75" s="16">
        <v>1</v>
      </c>
      <c r="J75" s="17">
        <f t="shared" si="4"/>
        <v>130</v>
      </c>
      <c r="K75" s="14">
        <v>1000000</v>
      </c>
      <c r="L75" s="14">
        <v>130000000</v>
      </c>
      <c r="M75" s="18">
        <f t="shared" ref="M75:M106" si="14">+L75/$L$218</f>
        <v>8.8057982794824893E-3</v>
      </c>
      <c r="N75" s="19">
        <f t="shared" ref="N75:N106" si="15">+J75/$J$218</f>
        <v>4.8148148148148152E-3</v>
      </c>
    </row>
    <row r="76" spans="2:14" x14ac:dyDescent="0.25">
      <c r="B76" s="12" t="s">
        <v>494</v>
      </c>
      <c r="C76" s="13">
        <v>111</v>
      </c>
      <c r="D76" s="13">
        <v>112</v>
      </c>
      <c r="E76" s="14">
        <f t="shared" si="9"/>
        <v>11067</v>
      </c>
      <c r="F76" s="14">
        <f t="shared" si="13"/>
        <v>11196</v>
      </c>
      <c r="G76" s="15">
        <f t="shared" si="12"/>
        <v>130</v>
      </c>
      <c r="H76" s="16" t="str">
        <f t="shared" si="8"/>
        <v>OS</v>
      </c>
      <c r="I76" s="16">
        <v>1</v>
      </c>
      <c r="J76" s="17">
        <f t="shared" si="4"/>
        <v>130</v>
      </c>
      <c r="K76" s="14">
        <v>1000000</v>
      </c>
      <c r="L76" s="14">
        <v>130000000</v>
      </c>
      <c r="M76" s="18">
        <f t="shared" si="14"/>
        <v>8.8057982794824893E-3</v>
      </c>
      <c r="N76" s="19">
        <f t="shared" si="15"/>
        <v>4.8148148148148152E-3</v>
      </c>
    </row>
    <row r="77" spans="2:14" x14ac:dyDescent="0.25">
      <c r="B77" s="12" t="s">
        <v>495</v>
      </c>
      <c r="C77" s="13">
        <v>112</v>
      </c>
      <c r="D77" s="13">
        <v>113</v>
      </c>
      <c r="E77" s="14">
        <f>+F76+1</f>
        <v>11197</v>
      </c>
      <c r="F77" s="14">
        <f t="shared" si="13"/>
        <v>11214</v>
      </c>
      <c r="G77" s="15">
        <f t="shared" si="12"/>
        <v>18</v>
      </c>
      <c r="H77" s="16" t="str">
        <f>+H76</f>
        <v>OS</v>
      </c>
      <c r="I77" s="16">
        <v>1</v>
      </c>
      <c r="J77" s="17">
        <f t="shared" si="4"/>
        <v>18</v>
      </c>
      <c r="K77" s="14">
        <v>1000000</v>
      </c>
      <c r="L77" s="14">
        <v>18000000</v>
      </c>
      <c r="M77" s="18">
        <f t="shared" si="14"/>
        <v>1.2192643771591139E-3</v>
      </c>
      <c r="N77" s="19">
        <f t="shared" si="15"/>
        <v>6.6666666666666664E-4</v>
      </c>
    </row>
    <row r="78" spans="2:14" x14ac:dyDescent="0.25">
      <c r="B78" s="12" t="s">
        <v>497</v>
      </c>
      <c r="C78" s="13">
        <v>113</v>
      </c>
      <c r="D78" s="13">
        <v>113</v>
      </c>
      <c r="E78" s="14">
        <f>+F77+1</f>
        <v>11215</v>
      </c>
      <c r="F78" s="14">
        <f t="shared" si="13"/>
        <v>11240</v>
      </c>
      <c r="G78" s="15">
        <f t="shared" si="12"/>
        <v>26</v>
      </c>
      <c r="H78" s="16" t="str">
        <f>+H77</f>
        <v>OS</v>
      </c>
      <c r="I78" s="16">
        <v>1</v>
      </c>
      <c r="J78" s="17">
        <f t="shared" si="4"/>
        <v>26</v>
      </c>
      <c r="K78" s="14">
        <v>1000000</v>
      </c>
      <c r="L78" s="14">
        <v>26000000</v>
      </c>
      <c r="M78" s="18">
        <f t="shared" si="14"/>
        <v>1.7611596558964979E-3</v>
      </c>
      <c r="N78" s="19">
        <f t="shared" si="15"/>
        <v>9.6296296296296299E-4</v>
      </c>
    </row>
    <row r="79" spans="2:14" x14ac:dyDescent="0.25">
      <c r="B79" s="12" t="s">
        <v>498</v>
      </c>
      <c r="C79" s="13">
        <v>113</v>
      </c>
      <c r="D79" s="13">
        <v>113</v>
      </c>
      <c r="E79" s="14">
        <f t="shared" si="9"/>
        <v>11241</v>
      </c>
      <c r="F79" s="14">
        <f t="shared" si="13"/>
        <v>11256</v>
      </c>
      <c r="G79" s="15">
        <f t="shared" si="12"/>
        <v>16</v>
      </c>
      <c r="H79" s="16" t="str">
        <f t="shared" si="8"/>
        <v>OS</v>
      </c>
      <c r="I79" s="16">
        <v>1</v>
      </c>
      <c r="J79" s="17">
        <f t="shared" si="4"/>
        <v>16</v>
      </c>
      <c r="K79" s="14">
        <v>1000000</v>
      </c>
      <c r="L79" s="14">
        <v>16000000</v>
      </c>
      <c r="M79" s="18">
        <f t="shared" si="14"/>
        <v>1.083790557474768E-3</v>
      </c>
      <c r="N79" s="19">
        <f t="shared" si="15"/>
        <v>5.9259259259259258E-4</v>
      </c>
    </row>
    <row r="80" spans="2:14" x14ac:dyDescent="0.25">
      <c r="B80" s="12" t="s">
        <v>499</v>
      </c>
      <c r="C80" s="13">
        <v>113</v>
      </c>
      <c r="D80" s="13">
        <v>113</v>
      </c>
      <c r="E80" s="14">
        <f t="shared" si="9"/>
        <v>11257</v>
      </c>
      <c r="F80" s="14">
        <f t="shared" si="13"/>
        <v>11281</v>
      </c>
      <c r="G80" s="15">
        <f t="shared" si="12"/>
        <v>25</v>
      </c>
      <c r="H80" s="16" t="str">
        <f t="shared" si="8"/>
        <v>OS</v>
      </c>
      <c r="I80" s="16">
        <v>1</v>
      </c>
      <c r="J80" s="17">
        <f t="shared" si="4"/>
        <v>25</v>
      </c>
      <c r="K80" s="14">
        <v>1000000</v>
      </c>
      <c r="L80" s="14">
        <v>25000000</v>
      </c>
      <c r="M80" s="18">
        <f t="shared" si="14"/>
        <v>1.6934227460543251E-3</v>
      </c>
      <c r="N80" s="19">
        <f t="shared" si="15"/>
        <v>9.2592592592592596E-4</v>
      </c>
    </row>
    <row r="81" spans="2:14" x14ac:dyDescent="0.25">
      <c r="B81" s="12" t="s">
        <v>500</v>
      </c>
      <c r="C81" s="13">
        <v>113</v>
      </c>
      <c r="D81" s="13">
        <v>113</v>
      </c>
      <c r="E81" s="14">
        <f t="shared" si="9"/>
        <v>11282</v>
      </c>
      <c r="F81" s="14">
        <f t="shared" si="13"/>
        <v>11297</v>
      </c>
      <c r="G81" s="15">
        <f t="shared" si="12"/>
        <v>16</v>
      </c>
      <c r="H81" s="16" t="str">
        <f t="shared" si="8"/>
        <v>OS</v>
      </c>
      <c r="I81" s="16">
        <v>1</v>
      </c>
      <c r="J81" s="17">
        <f t="shared" si="4"/>
        <v>16</v>
      </c>
      <c r="K81" s="14">
        <v>1000000</v>
      </c>
      <c r="L81" s="14">
        <v>16000000</v>
      </c>
      <c r="M81" s="18">
        <f t="shared" si="14"/>
        <v>1.083790557474768E-3</v>
      </c>
      <c r="N81" s="19">
        <f t="shared" si="15"/>
        <v>5.9259259259259258E-4</v>
      </c>
    </row>
    <row r="82" spans="2:14" x14ac:dyDescent="0.25">
      <c r="B82" s="12" t="s">
        <v>501</v>
      </c>
      <c r="C82" s="13">
        <v>113</v>
      </c>
      <c r="D82" s="13">
        <v>114</v>
      </c>
      <c r="E82" s="14">
        <f t="shared" si="9"/>
        <v>11298</v>
      </c>
      <c r="F82" s="14">
        <f t="shared" si="13"/>
        <v>11335</v>
      </c>
      <c r="G82" s="15">
        <f t="shared" si="12"/>
        <v>38</v>
      </c>
      <c r="H82" s="16" t="str">
        <f t="shared" si="8"/>
        <v>OS</v>
      </c>
      <c r="I82" s="16">
        <v>1</v>
      </c>
      <c r="J82" s="17">
        <f t="shared" si="4"/>
        <v>38</v>
      </c>
      <c r="K82" s="14">
        <v>1000000</v>
      </c>
      <c r="L82" s="14">
        <v>38000000</v>
      </c>
      <c r="M82" s="18">
        <f t="shared" si="14"/>
        <v>2.5740025740025739E-3</v>
      </c>
      <c r="N82" s="19">
        <f t="shared" si="15"/>
        <v>1.4074074074074073E-3</v>
      </c>
    </row>
    <row r="83" spans="2:14" x14ac:dyDescent="0.25">
      <c r="B83" s="12" t="s">
        <v>502</v>
      </c>
      <c r="C83" s="13">
        <v>114</v>
      </c>
      <c r="D83" s="13">
        <v>114</v>
      </c>
      <c r="E83" s="14">
        <f t="shared" si="9"/>
        <v>11336</v>
      </c>
      <c r="F83" s="14">
        <f t="shared" si="13"/>
        <v>11350</v>
      </c>
      <c r="G83" s="15">
        <f t="shared" si="12"/>
        <v>15</v>
      </c>
      <c r="H83" s="16" t="str">
        <f t="shared" si="8"/>
        <v>OS</v>
      </c>
      <c r="I83" s="16">
        <v>1</v>
      </c>
      <c r="J83" s="17">
        <f t="shared" si="4"/>
        <v>15</v>
      </c>
      <c r="K83" s="14">
        <v>1000000</v>
      </c>
      <c r="L83" s="14">
        <v>15000000</v>
      </c>
      <c r="M83" s="18">
        <f t="shared" si="14"/>
        <v>1.016053647632595E-3</v>
      </c>
      <c r="N83" s="19">
        <f t="shared" si="15"/>
        <v>5.5555555555555556E-4</v>
      </c>
    </row>
    <row r="84" spans="2:14" x14ac:dyDescent="0.25">
      <c r="B84" s="12" t="s">
        <v>503</v>
      </c>
      <c r="C84" s="13">
        <v>114</v>
      </c>
      <c r="D84" s="13">
        <v>114</v>
      </c>
      <c r="E84" s="14">
        <f t="shared" si="9"/>
        <v>11351</v>
      </c>
      <c r="F84" s="14">
        <f t="shared" si="13"/>
        <v>11373</v>
      </c>
      <c r="G84" s="15">
        <f t="shared" si="12"/>
        <v>23</v>
      </c>
      <c r="H84" s="16" t="str">
        <f t="shared" si="8"/>
        <v>OS</v>
      </c>
      <c r="I84" s="16">
        <v>1</v>
      </c>
      <c r="J84" s="17">
        <f t="shared" si="4"/>
        <v>23</v>
      </c>
      <c r="K84" s="14">
        <v>1000000</v>
      </c>
      <c r="L84" s="14">
        <v>23000000</v>
      </c>
      <c r="M84" s="18">
        <f t="shared" si="14"/>
        <v>1.557948926369979E-3</v>
      </c>
      <c r="N84" s="19">
        <f t="shared" si="15"/>
        <v>8.518518518518519E-4</v>
      </c>
    </row>
    <row r="85" spans="2:14" x14ac:dyDescent="0.25">
      <c r="B85" s="12" t="s">
        <v>504</v>
      </c>
      <c r="C85" s="13">
        <v>114</v>
      </c>
      <c r="D85" s="13">
        <v>115</v>
      </c>
      <c r="E85" s="14">
        <f t="shared" si="9"/>
        <v>11374</v>
      </c>
      <c r="F85" s="14">
        <f t="shared" si="13"/>
        <v>11441</v>
      </c>
      <c r="G85" s="15">
        <f t="shared" si="12"/>
        <v>68</v>
      </c>
      <c r="H85" s="16" t="str">
        <f t="shared" si="8"/>
        <v>OS</v>
      </c>
      <c r="I85" s="16">
        <v>1</v>
      </c>
      <c r="J85" s="17">
        <f t="shared" si="4"/>
        <v>68</v>
      </c>
      <c r="K85" s="14">
        <v>1000000</v>
      </c>
      <c r="L85" s="14">
        <v>68000000</v>
      </c>
      <c r="M85" s="18">
        <f t="shared" si="14"/>
        <v>4.6061098692677643E-3</v>
      </c>
      <c r="N85" s="19">
        <f t="shared" si="15"/>
        <v>2.5185185185185185E-3</v>
      </c>
    </row>
    <row r="86" spans="2:14" x14ac:dyDescent="0.25">
      <c r="B86" s="12" t="s">
        <v>505</v>
      </c>
      <c r="C86" s="13">
        <v>115</v>
      </c>
      <c r="D86" s="13">
        <v>115</v>
      </c>
      <c r="E86" s="14">
        <f t="shared" si="9"/>
        <v>11442</v>
      </c>
      <c r="F86" s="14">
        <f t="shared" si="13"/>
        <v>11465</v>
      </c>
      <c r="G86" s="15">
        <f t="shared" si="12"/>
        <v>24</v>
      </c>
      <c r="H86" s="16" t="str">
        <f t="shared" si="8"/>
        <v>OS</v>
      </c>
      <c r="I86" s="16">
        <v>1</v>
      </c>
      <c r="J86" s="17">
        <f t="shared" si="4"/>
        <v>24</v>
      </c>
      <c r="K86" s="14">
        <v>1000000</v>
      </c>
      <c r="L86" s="14">
        <v>24000000</v>
      </c>
      <c r="M86" s="18">
        <f t="shared" si="14"/>
        <v>1.625685836212152E-3</v>
      </c>
      <c r="N86" s="19">
        <f t="shared" si="15"/>
        <v>8.8888888888888893E-4</v>
      </c>
    </row>
    <row r="87" spans="2:14" x14ac:dyDescent="0.25">
      <c r="B87" s="12" t="s">
        <v>506</v>
      </c>
      <c r="C87" s="13">
        <v>115</v>
      </c>
      <c r="D87" s="13">
        <v>115</v>
      </c>
      <c r="E87" s="14">
        <f t="shared" si="9"/>
        <v>11466</v>
      </c>
      <c r="F87" s="14">
        <f t="shared" si="13"/>
        <v>11468</v>
      </c>
      <c r="G87" s="15">
        <f t="shared" si="12"/>
        <v>3</v>
      </c>
      <c r="H87" s="16" t="str">
        <f t="shared" si="8"/>
        <v>OS</v>
      </c>
      <c r="I87" s="16">
        <v>1</v>
      </c>
      <c r="J87" s="17">
        <f t="shared" si="4"/>
        <v>3</v>
      </c>
      <c r="K87" s="14">
        <v>1000000</v>
      </c>
      <c r="L87" s="14">
        <v>3000000</v>
      </c>
      <c r="M87" s="18">
        <f t="shared" si="14"/>
        <v>2.03210729526519E-4</v>
      </c>
      <c r="N87" s="19">
        <f t="shared" si="15"/>
        <v>1.1111111111111112E-4</v>
      </c>
    </row>
    <row r="88" spans="2:14" x14ac:dyDescent="0.25">
      <c r="B88" s="12" t="s">
        <v>353</v>
      </c>
      <c r="C88" s="13">
        <v>115</v>
      </c>
      <c r="D88" s="13">
        <v>115</v>
      </c>
      <c r="E88" s="14">
        <f t="shared" si="9"/>
        <v>11469</v>
      </c>
      <c r="F88" s="14">
        <f t="shared" si="13"/>
        <v>11470</v>
      </c>
      <c r="G88" s="15">
        <f t="shared" si="12"/>
        <v>2</v>
      </c>
      <c r="H88" s="16" t="str">
        <f t="shared" ref="H88:H96" si="16">+H87</f>
        <v>OS</v>
      </c>
      <c r="I88" s="16">
        <v>1</v>
      </c>
      <c r="J88" s="17">
        <f t="shared" si="4"/>
        <v>2</v>
      </c>
      <c r="K88" s="14">
        <v>1000000</v>
      </c>
      <c r="L88" s="14">
        <v>2000000</v>
      </c>
      <c r="M88" s="18">
        <f t="shared" si="14"/>
        <v>1.35473819684346E-4</v>
      </c>
      <c r="N88" s="19">
        <f t="shared" si="15"/>
        <v>7.4074074074074073E-5</v>
      </c>
    </row>
    <row r="89" spans="2:14" x14ac:dyDescent="0.25">
      <c r="B89" s="12" t="s">
        <v>53</v>
      </c>
      <c r="C89" s="13">
        <v>115</v>
      </c>
      <c r="D89" s="13">
        <v>115</v>
      </c>
      <c r="E89" s="14">
        <f t="shared" si="9"/>
        <v>11471</v>
      </c>
      <c r="F89" s="14">
        <f t="shared" si="13"/>
        <v>11472</v>
      </c>
      <c r="G89" s="15">
        <f t="shared" si="12"/>
        <v>2</v>
      </c>
      <c r="H89" s="16" t="str">
        <f t="shared" si="16"/>
        <v>OS</v>
      </c>
      <c r="I89" s="16">
        <v>1</v>
      </c>
      <c r="J89" s="17">
        <f t="shared" si="4"/>
        <v>2</v>
      </c>
      <c r="K89" s="14">
        <v>1000000</v>
      </c>
      <c r="L89" s="14">
        <v>2000000</v>
      </c>
      <c r="M89" s="18">
        <f t="shared" si="14"/>
        <v>1.35473819684346E-4</v>
      </c>
      <c r="N89" s="19">
        <f t="shared" si="15"/>
        <v>7.4074074074074073E-5</v>
      </c>
    </row>
    <row r="90" spans="2:14" x14ac:dyDescent="0.25">
      <c r="B90" s="12" t="s">
        <v>55</v>
      </c>
      <c r="C90" s="13">
        <v>115</v>
      </c>
      <c r="D90" s="13">
        <v>115</v>
      </c>
      <c r="E90" s="14">
        <f t="shared" si="9"/>
        <v>11473</v>
      </c>
      <c r="F90" s="14">
        <f t="shared" si="13"/>
        <v>11474</v>
      </c>
      <c r="G90" s="15">
        <f t="shared" si="12"/>
        <v>2</v>
      </c>
      <c r="H90" s="16" t="str">
        <f t="shared" si="16"/>
        <v>OS</v>
      </c>
      <c r="I90" s="16">
        <v>1</v>
      </c>
      <c r="J90" s="17">
        <f t="shared" si="4"/>
        <v>2</v>
      </c>
      <c r="K90" s="14">
        <v>1000000</v>
      </c>
      <c r="L90" s="14">
        <v>2000000</v>
      </c>
      <c r="M90" s="18">
        <f t="shared" si="14"/>
        <v>1.35473819684346E-4</v>
      </c>
      <c r="N90" s="19">
        <f t="shared" si="15"/>
        <v>7.4074074074074073E-5</v>
      </c>
    </row>
    <row r="91" spans="2:14" x14ac:dyDescent="0.25">
      <c r="B91" s="12" t="s">
        <v>507</v>
      </c>
      <c r="C91" s="13">
        <v>115</v>
      </c>
      <c r="D91" s="13">
        <v>115</v>
      </c>
      <c r="E91" s="14">
        <f t="shared" si="9"/>
        <v>11475</v>
      </c>
      <c r="F91" s="14">
        <f t="shared" si="13"/>
        <v>11478</v>
      </c>
      <c r="G91" s="15">
        <f t="shared" si="12"/>
        <v>4</v>
      </c>
      <c r="H91" s="16" t="str">
        <f t="shared" si="16"/>
        <v>OS</v>
      </c>
      <c r="I91" s="16">
        <v>1</v>
      </c>
      <c r="J91" s="17">
        <f t="shared" si="4"/>
        <v>4</v>
      </c>
      <c r="K91" s="14">
        <v>1000000</v>
      </c>
      <c r="L91" s="14">
        <v>4000000</v>
      </c>
      <c r="M91" s="18">
        <f t="shared" si="14"/>
        <v>2.70947639368692E-4</v>
      </c>
      <c r="N91" s="19">
        <f t="shared" si="15"/>
        <v>1.4814814814814815E-4</v>
      </c>
    </row>
    <row r="92" spans="2:14" x14ac:dyDescent="0.25">
      <c r="B92" s="12" t="s">
        <v>508</v>
      </c>
      <c r="C92" s="13">
        <v>115</v>
      </c>
      <c r="D92" s="13">
        <v>115</v>
      </c>
      <c r="E92" s="14">
        <f t="shared" si="9"/>
        <v>11479</v>
      </c>
      <c r="F92" s="14">
        <f t="shared" si="13"/>
        <v>11483</v>
      </c>
      <c r="G92" s="15">
        <f t="shared" si="12"/>
        <v>5</v>
      </c>
      <c r="H92" s="16" t="str">
        <f t="shared" si="16"/>
        <v>OS</v>
      </c>
      <c r="I92" s="16">
        <v>1</v>
      </c>
      <c r="J92" s="17">
        <f t="shared" si="4"/>
        <v>5</v>
      </c>
      <c r="K92" s="14">
        <v>1000000</v>
      </c>
      <c r="L92" s="14">
        <v>5000000</v>
      </c>
      <c r="M92" s="18">
        <f t="shared" si="14"/>
        <v>3.38684549210865E-4</v>
      </c>
      <c r="N92" s="19">
        <f t="shared" si="15"/>
        <v>1.8518518518518518E-4</v>
      </c>
    </row>
    <row r="93" spans="2:14" x14ac:dyDescent="0.25">
      <c r="B93" s="12" t="s">
        <v>509</v>
      </c>
      <c r="C93" s="13">
        <v>115</v>
      </c>
      <c r="D93" s="13">
        <v>115</v>
      </c>
      <c r="E93" s="14">
        <f t="shared" si="9"/>
        <v>11484</v>
      </c>
      <c r="F93" s="14">
        <f t="shared" si="13"/>
        <v>11485</v>
      </c>
      <c r="G93" s="15">
        <f t="shared" si="12"/>
        <v>2</v>
      </c>
      <c r="H93" s="16" t="str">
        <f t="shared" si="16"/>
        <v>OS</v>
      </c>
      <c r="I93" s="16">
        <v>1</v>
      </c>
      <c r="J93" s="17">
        <f t="shared" si="4"/>
        <v>2</v>
      </c>
      <c r="K93" s="14">
        <v>1000000</v>
      </c>
      <c r="L93" s="14">
        <v>2000000</v>
      </c>
      <c r="M93" s="18">
        <f t="shared" si="14"/>
        <v>1.35473819684346E-4</v>
      </c>
      <c r="N93" s="19">
        <f t="shared" si="15"/>
        <v>7.4074074074074073E-5</v>
      </c>
    </row>
    <row r="94" spans="2:14" x14ac:dyDescent="0.25">
      <c r="B94" s="12" t="s">
        <v>503</v>
      </c>
      <c r="C94" s="13">
        <v>115</v>
      </c>
      <c r="D94" s="13">
        <v>115</v>
      </c>
      <c r="E94" s="14">
        <f t="shared" si="9"/>
        <v>11486</v>
      </c>
      <c r="F94" s="14">
        <f t="shared" si="13"/>
        <v>11500</v>
      </c>
      <c r="G94" s="15">
        <f t="shared" si="12"/>
        <v>15</v>
      </c>
      <c r="H94" s="16" t="str">
        <f t="shared" si="16"/>
        <v>OS</v>
      </c>
      <c r="I94" s="16">
        <v>1</v>
      </c>
      <c r="J94" s="17">
        <f t="shared" si="4"/>
        <v>15</v>
      </c>
      <c r="K94" s="14">
        <v>1000000</v>
      </c>
      <c r="L94" s="14">
        <v>15000000</v>
      </c>
      <c r="M94" s="18">
        <f t="shared" si="14"/>
        <v>1.016053647632595E-3</v>
      </c>
      <c r="N94" s="19">
        <f t="shared" si="15"/>
        <v>5.5555555555555556E-4</v>
      </c>
    </row>
    <row r="95" spans="2:14" x14ac:dyDescent="0.25">
      <c r="B95" s="12" t="s">
        <v>47</v>
      </c>
      <c r="C95" s="13">
        <v>116</v>
      </c>
      <c r="D95" s="13">
        <v>117</v>
      </c>
      <c r="E95" s="14">
        <f t="shared" si="9"/>
        <v>11501</v>
      </c>
      <c r="F95" s="14">
        <f t="shared" si="13"/>
        <v>11610</v>
      </c>
      <c r="G95" s="15">
        <f t="shared" si="12"/>
        <v>110</v>
      </c>
      <c r="H95" s="16" t="str">
        <f t="shared" si="16"/>
        <v>OS</v>
      </c>
      <c r="I95" s="16">
        <v>1</v>
      </c>
      <c r="J95" s="17">
        <f t="shared" si="4"/>
        <v>110</v>
      </c>
      <c r="K95" s="14">
        <v>1000000</v>
      </c>
      <c r="L95" s="14">
        <v>110000000</v>
      </c>
      <c r="M95" s="18">
        <f t="shared" si="14"/>
        <v>7.45106008263903E-3</v>
      </c>
      <c r="N95" s="19">
        <f t="shared" si="15"/>
        <v>4.0740740740740737E-3</v>
      </c>
    </row>
    <row r="96" spans="2:14" x14ac:dyDescent="0.25">
      <c r="B96" s="12" t="s">
        <v>510</v>
      </c>
      <c r="C96" s="13">
        <v>117</v>
      </c>
      <c r="D96" s="13">
        <v>117</v>
      </c>
      <c r="E96" s="14">
        <f t="shared" si="9"/>
        <v>11611</v>
      </c>
      <c r="F96" s="14">
        <f t="shared" si="13"/>
        <v>11625</v>
      </c>
      <c r="G96" s="15">
        <f t="shared" si="12"/>
        <v>15</v>
      </c>
      <c r="H96" s="16" t="str">
        <f t="shared" si="16"/>
        <v>OS</v>
      </c>
      <c r="I96" s="16">
        <v>1</v>
      </c>
      <c r="J96" s="17">
        <f t="shared" si="4"/>
        <v>15</v>
      </c>
      <c r="K96" s="14">
        <v>1000000</v>
      </c>
      <c r="L96" s="14">
        <v>15000000</v>
      </c>
      <c r="M96" s="18">
        <f t="shared" si="14"/>
        <v>1.016053647632595E-3</v>
      </c>
      <c r="N96" s="19">
        <f t="shared" si="15"/>
        <v>5.5555555555555556E-4</v>
      </c>
    </row>
    <row r="97" spans="2:14" x14ac:dyDescent="0.25">
      <c r="B97" s="12" t="s">
        <v>45</v>
      </c>
      <c r="C97" s="13">
        <v>117</v>
      </c>
      <c r="D97" s="13">
        <v>118</v>
      </c>
      <c r="E97" s="14">
        <f t="shared" si="9"/>
        <v>11626</v>
      </c>
      <c r="F97" s="14">
        <f t="shared" si="13"/>
        <v>11735</v>
      </c>
      <c r="G97" s="15">
        <f t="shared" si="12"/>
        <v>110</v>
      </c>
      <c r="H97" s="16" t="str">
        <f>+H95</f>
        <v>OS</v>
      </c>
      <c r="I97" s="16">
        <v>1</v>
      </c>
      <c r="J97" s="17">
        <f t="shared" si="4"/>
        <v>110</v>
      </c>
      <c r="K97" s="14">
        <v>1000000</v>
      </c>
      <c r="L97" s="14">
        <v>110000000</v>
      </c>
      <c r="M97" s="18">
        <f t="shared" si="14"/>
        <v>7.45106008263903E-3</v>
      </c>
      <c r="N97" s="19">
        <f t="shared" si="15"/>
        <v>4.0740740740740737E-3</v>
      </c>
    </row>
    <row r="98" spans="2:14" x14ac:dyDescent="0.25">
      <c r="B98" s="12" t="s">
        <v>510</v>
      </c>
      <c r="C98" s="13">
        <v>118</v>
      </c>
      <c r="D98" s="13">
        <v>118</v>
      </c>
      <c r="E98" s="14">
        <f t="shared" si="9"/>
        <v>11736</v>
      </c>
      <c r="F98" s="14">
        <f t="shared" si="13"/>
        <v>11750</v>
      </c>
      <c r="G98" s="15">
        <f t="shared" si="12"/>
        <v>15</v>
      </c>
      <c r="H98" s="16" t="str">
        <f>+H96</f>
        <v>OS</v>
      </c>
      <c r="I98" s="16">
        <v>1</v>
      </c>
      <c r="J98" s="17">
        <f t="shared" si="4"/>
        <v>15</v>
      </c>
      <c r="K98" s="14">
        <v>1000000</v>
      </c>
      <c r="L98" s="14">
        <v>15000000</v>
      </c>
      <c r="M98" s="18">
        <f t="shared" si="14"/>
        <v>1.016053647632595E-3</v>
      </c>
      <c r="N98" s="19">
        <f t="shared" si="15"/>
        <v>5.5555555555555556E-4</v>
      </c>
    </row>
    <row r="99" spans="2:14" x14ac:dyDescent="0.25">
      <c r="B99" s="12" t="s">
        <v>43</v>
      </c>
      <c r="C99" s="13">
        <v>118</v>
      </c>
      <c r="D99" s="13">
        <v>119</v>
      </c>
      <c r="E99" s="14">
        <f t="shared" si="9"/>
        <v>11751</v>
      </c>
      <c r="F99" s="14">
        <f t="shared" si="13"/>
        <v>11860</v>
      </c>
      <c r="G99" s="15">
        <f t="shared" si="12"/>
        <v>110</v>
      </c>
      <c r="H99" s="16" t="str">
        <f>+H97</f>
        <v>OS</v>
      </c>
      <c r="I99" s="16">
        <v>1</v>
      </c>
      <c r="J99" s="17">
        <f t="shared" si="4"/>
        <v>110</v>
      </c>
      <c r="K99" s="14">
        <v>1000000</v>
      </c>
      <c r="L99" s="14">
        <v>110000000</v>
      </c>
      <c r="M99" s="18">
        <f t="shared" si="14"/>
        <v>7.45106008263903E-3</v>
      </c>
      <c r="N99" s="19">
        <f t="shared" si="15"/>
        <v>4.0740740740740737E-3</v>
      </c>
    </row>
    <row r="100" spans="2:14" x14ac:dyDescent="0.25">
      <c r="B100" s="12" t="s">
        <v>510</v>
      </c>
      <c r="C100" s="13">
        <v>119</v>
      </c>
      <c r="D100" s="13">
        <v>119</v>
      </c>
      <c r="E100" s="14">
        <f t="shared" si="9"/>
        <v>11861</v>
      </c>
      <c r="F100" s="14">
        <f t="shared" si="13"/>
        <v>11875</v>
      </c>
      <c r="G100" s="15">
        <f t="shared" si="12"/>
        <v>15</v>
      </c>
      <c r="H100" s="16" t="str">
        <f>+H98</f>
        <v>OS</v>
      </c>
      <c r="I100" s="16">
        <v>1</v>
      </c>
      <c r="J100" s="17">
        <f t="shared" si="4"/>
        <v>15</v>
      </c>
      <c r="K100" s="14">
        <v>1000000</v>
      </c>
      <c r="L100" s="14">
        <v>15000000</v>
      </c>
      <c r="M100" s="18">
        <f t="shared" si="14"/>
        <v>1.016053647632595E-3</v>
      </c>
      <c r="N100" s="19">
        <f t="shared" si="15"/>
        <v>5.5555555555555556E-4</v>
      </c>
    </row>
    <row r="101" spans="2:14" x14ac:dyDescent="0.25">
      <c r="B101" s="12" t="s">
        <v>494</v>
      </c>
      <c r="C101" s="13">
        <v>119</v>
      </c>
      <c r="D101" s="13">
        <v>120</v>
      </c>
      <c r="E101" s="14">
        <f t="shared" si="9"/>
        <v>11876</v>
      </c>
      <c r="F101" s="14">
        <f t="shared" si="13"/>
        <v>12000</v>
      </c>
      <c r="G101" s="15">
        <f t="shared" si="12"/>
        <v>125</v>
      </c>
      <c r="H101" s="16" t="str">
        <f>+H99</f>
        <v>OS</v>
      </c>
      <c r="I101" s="16">
        <v>1</v>
      </c>
      <c r="J101" s="17">
        <f t="shared" si="4"/>
        <v>125</v>
      </c>
      <c r="K101" s="14">
        <v>1000000</v>
      </c>
      <c r="L101" s="14">
        <v>125000000</v>
      </c>
      <c r="M101" s="18">
        <f t="shared" si="14"/>
        <v>8.4671137302716245E-3</v>
      </c>
      <c r="N101" s="19">
        <f t="shared" si="15"/>
        <v>4.6296296296296294E-3</v>
      </c>
    </row>
    <row r="102" spans="2:14" x14ac:dyDescent="0.25">
      <c r="B102" s="12" t="s">
        <v>499</v>
      </c>
      <c r="C102" s="13">
        <v>11</v>
      </c>
      <c r="D102" s="13">
        <v>11</v>
      </c>
      <c r="E102" s="14">
        <v>1001</v>
      </c>
      <c r="F102" s="14">
        <f t="shared" si="13"/>
        <v>1025</v>
      </c>
      <c r="G102" s="15">
        <f t="shared" si="12"/>
        <v>25</v>
      </c>
      <c r="H102" s="16" t="s">
        <v>511</v>
      </c>
      <c r="I102" s="17">
        <v>0</v>
      </c>
      <c r="J102" s="17">
        <f t="shared" si="4"/>
        <v>0</v>
      </c>
      <c r="K102" s="14">
        <v>1000000</v>
      </c>
      <c r="L102" s="14">
        <v>25000000</v>
      </c>
      <c r="M102" s="18">
        <f t="shared" si="14"/>
        <v>1.6934227460543251E-3</v>
      </c>
      <c r="N102" s="20">
        <f t="shared" si="15"/>
        <v>0</v>
      </c>
    </row>
    <row r="103" spans="2:14" x14ac:dyDescent="0.25">
      <c r="B103" s="12" t="s">
        <v>512</v>
      </c>
      <c r="C103" s="13">
        <v>11</v>
      </c>
      <c r="D103" s="13">
        <v>11</v>
      </c>
      <c r="E103" s="14">
        <f>+F102+1</f>
        <v>1026</v>
      </c>
      <c r="F103" s="14">
        <f t="shared" si="13"/>
        <v>1050</v>
      </c>
      <c r="G103" s="15">
        <f t="shared" si="12"/>
        <v>25</v>
      </c>
      <c r="H103" s="16" t="str">
        <f>+H102</f>
        <v>A</v>
      </c>
      <c r="I103" s="17">
        <v>0</v>
      </c>
      <c r="J103" s="17">
        <f t="shared" si="4"/>
        <v>0</v>
      </c>
      <c r="K103" s="14">
        <v>1000000</v>
      </c>
      <c r="L103" s="14">
        <v>25000000</v>
      </c>
      <c r="M103" s="18">
        <f t="shared" si="14"/>
        <v>1.6934227460543251E-3</v>
      </c>
      <c r="N103" s="20">
        <f t="shared" si="15"/>
        <v>0</v>
      </c>
    </row>
    <row r="104" spans="2:14" x14ac:dyDescent="0.25">
      <c r="B104" s="12" t="s">
        <v>513</v>
      </c>
      <c r="C104" s="13">
        <v>11</v>
      </c>
      <c r="D104" s="13">
        <v>11</v>
      </c>
      <c r="E104" s="14">
        <f t="shared" ref="E104:E138" si="17">+F103+1</f>
        <v>1051</v>
      </c>
      <c r="F104" s="14">
        <f t="shared" si="13"/>
        <v>1092</v>
      </c>
      <c r="G104" s="15">
        <f t="shared" si="12"/>
        <v>42</v>
      </c>
      <c r="H104" s="16" t="str">
        <f t="shared" ref="H104:H138" si="18">+H103</f>
        <v>A</v>
      </c>
      <c r="I104" s="17">
        <v>0</v>
      </c>
      <c r="J104" s="17">
        <f t="shared" si="4"/>
        <v>0</v>
      </c>
      <c r="K104" s="14">
        <v>1000000</v>
      </c>
      <c r="L104" s="14">
        <v>42000000</v>
      </c>
      <c r="M104" s="18">
        <f t="shared" si="14"/>
        <v>2.8449502133712661E-3</v>
      </c>
      <c r="N104" s="20">
        <f t="shared" si="15"/>
        <v>0</v>
      </c>
    </row>
    <row r="105" spans="2:14" x14ac:dyDescent="0.25">
      <c r="B105" s="12" t="s">
        <v>497</v>
      </c>
      <c r="C105" s="13">
        <v>11</v>
      </c>
      <c r="D105" s="13">
        <v>12</v>
      </c>
      <c r="E105" s="14">
        <f t="shared" si="17"/>
        <v>1093</v>
      </c>
      <c r="F105" s="14">
        <f t="shared" si="13"/>
        <v>1192</v>
      </c>
      <c r="G105" s="15">
        <f t="shared" si="12"/>
        <v>100</v>
      </c>
      <c r="H105" s="16" t="str">
        <f t="shared" si="18"/>
        <v>A</v>
      </c>
      <c r="I105" s="17">
        <v>0</v>
      </c>
      <c r="J105" s="17">
        <f t="shared" si="4"/>
        <v>0</v>
      </c>
      <c r="K105" s="14">
        <v>1000000</v>
      </c>
      <c r="L105" s="14">
        <v>100000000</v>
      </c>
      <c r="M105" s="18">
        <f t="shared" si="14"/>
        <v>6.7736909842173003E-3</v>
      </c>
      <c r="N105" s="20">
        <f t="shared" si="15"/>
        <v>0</v>
      </c>
    </row>
    <row r="106" spans="2:14" x14ac:dyDescent="0.25">
      <c r="B106" s="12" t="s">
        <v>514</v>
      </c>
      <c r="C106" s="13">
        <v>12</v>
      </c>
      <c r="D106" s="13">
        <v>13</v>
      </c>
      <c r="E106" s="14">
        <f t="shared" si="17"/>
        <v>1193</v>
      </c>
      <c r="F106" s="14">
        <f t="shared" si="13"/>
        <v>1242</v>
      </c>
      <c r="G106" s="15">
        <f t="shared" si="12"/>
        <v>50</v>
      </c>
      <c r="H106" s="16" t="str">
        <f t="shared" si="18"/>
        <v>A</v>
      </c>
      <c r="I106" s="17">
        <v>0</v>
      </c>
      <c r="J106" s="17">
        <f t="shared" si="4"/>
        <v>0</v>
      </c>
      <c r="K106" s="14">
        <v>1000000</v>
      </c>
      <c r="L106" s="14">
        <v>50000000</v>
      </c>
      <c r="M106" s="18">
        <f t="shared" si="14"/>
        <v>3.3868454921086501E-3</v>
      </c>
      <c r="N106" s="20">
        <f t="shared" si="15"/>
        <v>0</v>
      </c>
    </row>
    <row r="107" spans="2:14" x14ac:dyDescent="0.25">
      <c r="B107" s="12" t="s">
        <v>500</v>
      </c>
      <c r="C107" s="13">
        <v>13</v>
      </c>
      <c r="D107" s="13">
        <v>14</v>
      </c>
      <c r="E107" s="14">
        <f t="shared" si="17"/>
        <v>1243</v>
      </c>
      <c r="F107" s="14">
        <f t="shared" si="13"/>
        <v>1342</v>
      </c>
      <c r="G107" s="15">
        <f t="shared" si="12"/>
        <v>100</v>
      </c>
      <c r="H107" s="16" t="str">
        <f t="shared" si="18"/>
        <v>A</v>
      </c>
      <c r="I107" s="17">
        <v>0</v>
      </c>
      <c r="J107" s="17">
        <f t="shared" si="4"/>
        <v>0</v>
      </c>
      <c r="K107" s="14">
        <v>1000000</v>
      </c>
      <c r="L107" s="14">
        <v>100000000</v>
      </c>
      <c r="M107" s="18">
        <f t="shared" ref="M107:M136" si="19">+L107/$L$218</f>
        <v>6.7736909842173003E-3</v>
      </c>
      <c r="N107" s="20">
        <f t="shared" ref="N107:N136" si="20">+J107/$J$218</f>
        <v>0</v>
      </c>
    </row>
    <row r="108" spans="2:14" x14ac:dyDescent="0.25">
      <c r="B108" s="12" t="s">
        <v>515</v>
      </c>
      <c r="C108" s="13">
        <v>14</v>
      </c>
      <c r="D108" s="13">
        <v>15</v>
      </c>
      <c r="E108" s="14">
        <f t="shared" si="17"/>
        <v>1343</v>
      </c>
      <c r="F108" s="14">
        <f t="shared" si="13"/>
        <v>1442</v>
      </c>
      <c r="G108" s="15">
        <f t="shared" si="12"/>
        <v>100</v>
      </c>
      <c r="H108" s="16" t="str">
        <f t="shared" si="18"/>
        <v>A</v>
      </c>
      <c r="I108" s="17">
        <v>0</v>
      </c>
      <c r="J108" s="17">
        <f t="shared" si="4"/>
        <v>0</v>
      </c>
      <c r="K108" s="14">
        <v>1000000</v>
      </c>
      <c r="L108" s="14">
        <v>100000000</v>
      </c>
      <c r="M108" s="18">
        <f t="shared" si="19"/>
        <v>6.7736909842173003E-3</v>
      </c>
      <c r="N108" s="20">
        <f t="shared" si="20"/>
        <v>0</v>
      </c>
    </row>
    <row r="109" spans="2:14" x14ac:dyDescent="0.25">
      <c r="B109" s="12" t="s">
        <v>504</v>
      </c>
      <c r="C109" s="13">
        <v>15</v>
      </c>
      <c r="D109" s="13">
        <v>16</v>
      </c>
      <c r="E109" s="14">
        <f t="shared" si="17"/>
        <v>1443</v>
      </c>
      <c r="F109" s="14">
        <f t="shared" si="13"/>
        <v>1542</v>
      </c>
      <c r="G109" s="15">
        <f t="shared" si="12"/>
        <v>100</v>
      </c>
      <c r="H109" s="16" t="str">
        <f t="shared" si="18"/>
        <v>A</v>
      </c>
      <c r="I109" s="17">
        <v>0</v>
      </c>
      <c r="J109" s="17">
        <f t="shared" si="4"/>
        <v>0</v>
      </c>
      <c r="K109" s="14">
        <v>1000000</v>
      </c>
      <c r="L109" s="14">
        <v>100000000</v>
      </c>
      <c r="M109" s="18">
        <f t="shared" si="19"/>
        <v>6.7736909842173003E-3</v>
      </c>
      <c r="N109" s="20">
        <f t="shared" si="20"/>
        <v>0</v>
      </c>
    </row>
    <row r="110" spans="2:14" x14ac:dyDescent="0.25">
      <c r="B110" s="12" t="s">
        <v>507</v>
      </c>
      <c r="C110" s="13">
        <v>16</v>
      </c>
      <c r="D110" s="13">
        <v>16</v>
      </c>
      <c r="E110" s="14">
        <f t="shared" si="17"/>
        <v>1543</v>
      </c>
      <c r="F110" s="14">
        <f t="shared" si="13"/>
        <v>1592</v>
      </c>
      <c r="G110" s="15">
        <f t="shared" si="12"/>
        <v>50</v>
      </c>
      <c r="H110" s="16" t="str">
        <f t="shared" si="18"/>
        <v>A</v>
      </c>
      <c r="I110" s="17">
        <v>0</v>
      </c>
      <c r="J110" s="17">
        <f t="shared" si="4"/>
        <v>0</v>
      </c>
      <c r="K110" s="14">
        <v>1000000</v>
      </c>
      <c r="L110" s="14">
        <v>50000000</v>
      </c>
      <c r="M110" s="18">
        <f t="shared" si="19"/>
        <v>3.3868454921086501E-3</v>
      </c>
      <c r="N110" s="20">
        <f t="shared" si="20"/>
        <v>0</v>
      </c>
    </row>
    <row r="111" spans="2:14" x14ac:dyDescent="0.25">
      <c r="B111" s="12" t="s">
        <v>508</v>
      </c>
      <c r="C111" s="13">
        <v>16</v>
      </c>
      <c r="D111" s="13">
        <v>17</v>
      </c>
      <c r="E111" s="14">
        <f t="shared" si="17"/>
        <v>1593</v>
      </c>
      <c r="F111" s="14">
        <f t="shared" si="13"/>
        <v>1617</v>
      </c>
      <c r="G111" s="15">
        <f t="shared" si="12"/>
        <v>25</v>
      </c>
      <c r="H111" s="16" t="str">
        <f t="shared" si="18"/>
        <v>A</v>
      </c>
      <c r="I111" s="17">
        <v>0</v>
      </c>
      <c r="J111" s="17">
        <f t="shared" si="4"/>
        <v>0</v>
      </c>
      <c r="K111" s="14">
        <v>1000000</v>
      </c>
      <c r="L111" s="14">
        <v>25000000</v>
      </c>
      <c r="M111" s="18">
        <f t="shared" si="19"/>
        <v>1.6934227460543251E-3</v>
      </c>
      <c r="N111" s="20">
        <f t="shared" si="20"/>
        <v>0</v>
      </c>
    </row>
    <row r="112" spans="2:14" x14ac:dyDescent="0.25">
      <c r="B112" s="12" t="s">
        <v>494</v>
      </c>
      <c r="C112" s="13">
        <v>17</v>
      </c>
      <c r="D112" s="13">
        <v>17</v>
      </c>
      <c r="E112" s="14">
        <f t="shared" si="17"/>
        <v>1618</v>
      </c>
      <c r="F112" s="14">
        <f t="shared" si="13"/>
        <v>1627</v>
      </c>
      <c r="G112" s="15">
        <f t="shared" si="12"/>
        <v>10</v>
      </c>
      <c r="H112" s="16" t="str">
        <f t="shared" si="18"/>
        <v>A</v>
      </c>
      <c r="I112" s="17">
        <v>0</v>
      </c>
      <c r="J112" s="17">
        <f t="shared" si="4"/>
        <v>0</v>
      </c>
      <c r="K112" s="14">
        <v>1000000</v>
      </c>
      <c r="L112" s="14">
        <v>10000000</v>
      </c>
      <c r="M112" s="18">
        <f t="shared" si="19"/>
        <v>6.7736909842173001E-4</v>
      </c>
      <c r="N112" s="20">
        <f t="shared" si="20"/>
        <v>0</v>
      </c>
    </row>
    <row r="113" spans="2:14" ht="15" customHeight="1" x14ac:dyDescent="0.25">
      <c r="B113" s="12" t="s">
        <v>502</v>
      </c>
      <c r="C113" s="13">
        <v>17</v>
      </c>
      <c r="D113" s="13">
        <v>18</v>
      </c>
      <c r="E113" s="14">
        <f>+F112+1</f>
        <v>1628</v>
      </c>
      <c r="F113" s="14">
        <f t="shared" si="13"/>
        <v>1727</v>
      </c>
      <c r="G113" s="15">
        <f t="shared" si="12"/>
        <v>100</v>
      </c>
      <c r="H113" s="16" t="str">
        <f>+H112</f>
        <v>A</v>
      </c>
      <c r="I113" s="17">
        <v>0</v>
      </c>
      <c r="J113" s="17">
        <f t="shared" si="4"/>
        <v>0</v>
      </c>
      <c r="K113" s="14">
        <v>1000000</v>
      </c>
      <c r="L113" s="14">
        <v>100000000</v>
      </c>
      <c r="M113" s="18">
        <f t="shared" si="19"/>
        <v>6.7736909842173003E-3</v>
      </c>
      <c r="N113" s="20">
        <f t="shared" si="20"/>
        <v>0</v>
      </c>
    </row>
    <row r="114" spans="2:14" x14ac:dyDescent="0.25">
      <c r="B114" s="12" t="s">
        <v>499</v>
      </c>
      <c r="C114" s="13">
        <v>18</v>
      </c>
      <c r="D114" s="13">
        <v>18</v>
      </c>
      <c r="E114" s="14">
        <f t="shared" si="17"/>
        <v>1728</v>
      </c>
      <c r="F114" s="14">
        <f t="shared" si="13"/>
        <v>1777</v>
      </c>
      <c r="G114" s="15">
        <f t="shared" si="12"/>
        <v>50</v>
      </c>
      <c r="H114" s="16" t="str">
        <f t="shared" si="18"/>
        <v>A</v>
      </c>
      <c r="I114" s="17">
        <v>0</v>
      </c>
      <c r="J114" s="17">
        <f t="shared" si="4"/>
        <v>0</v>
      </c>
      <c r="K114" s="14">
        <v>1000000</v>
      </c>
      <c r="L114" s="14">
        <v>50000000</v>
      </c>
      <c r="M114" s="18">
        <f t="shared" si="19"/>
        <v>3.3868454921086501E-3</v>
      </c>
      <c r="N114" s="20">
        <f t="shared" si="20"/>
        <v>0</v>
      </c>
    </row>
    <row r="115" spans="2:14" x14ac:dyDescent="0.25">
      <c r="B115" s="12" t="s">
        <v>505</v>
      </c>
      <c r="C115" s="13">
        <v>18</v>
      </c>
      <c r="D115" s="13">
        <v>19</v>
      </c>
      <c r="E115" s="14">
        <f t="shared" si="17"/>
        <v>1778</v>
      </c>
      <c r="F115" s="14">
        <f t="shared" si="13"/>
        <v>1827</v>
      </c>
      <c r="G115" s="15">
        <f t="shared" si="12"/>
        <v>50</v>
      </c>
      <c r="H115" s="16" t="str">
        <f t="shared" si="18"/>
        <v>A</v>
      </c>
      <c r="I115" s="17">
        <v>0</v>
      </c>
      <c r="J115" s="17">
        <f t="shared" si="4"/>
        <v>0</v>
      </c>
      <c r="K115" s="14">
        <v>1000000</v>
      </c>
      <c r="L115" s="14">
        <v>50000000</v>
      </c>
      <c r="M115" s="18">
        <f t="shared" si="19"/>
        <v>3.3868454921086501E-3</v>
      </c>
      <c r="N115" s="20">
        <f t="shared" si="20"/>
        <v>0</v>
      </c>
    </row>
    <row r="116" spans="2:14" x14ac:dyDescent="0.25">
      <c r="B116" s="12" t="s">
        <v>501</v>
      </c>
      <c r="C116" s="13">
        <v>19</v>
      </c>
      <c r="D116" s="13">
        <v>20</v>
      </c>
      <c r="E116" s="14">
        <f t="shared" si="17"/>
        <v>1828</v>
      </c>
      <c r="F116" s="14">
        <f t="shared" si="13"/>
        <v>1927</v>
      </c>
      <c r="G116" s="15">
        <f t="shared" si="12"/>
        <v>100</v>
      </c>
      <c r="H116" s="16" t="str">
        <f t="shared" si="18"/>
        <v>A</v>
      </c>
      <c r="I116" s="17">
        <v>0</v>
      </c>
      <c r="J116" s="17">
        <f t="shared" si="4"/>
        <v>0</v>
      </c>
      <c r="K116" s="14">
        <v>1000000</v>
      </c>
      <c r="L116" s="14">
        <v>100000000</v>
      </c>
      <c r="M116" s="18">
        <f t="shared" si="19"/>
        <v>6.7736909842173003E-3</v>
      </c>
      <c r="N116" s="20">
        <f t="shared" si="20"/>
        <v>0</v>
      </c>
    </row>
    <row r="117" spans="2:14" x14ac:dyDescent="0.25">
      <c r="B117" s="12" t="s">
        <v>495</v>
      </c>
      <c r="C117" s="13">
        <v>20</v>
      </c>
      <c r="D117" s="13">
        <v>21</v>
      </c>
      <c r="E117" s="14">
        <f t="shared" si="17"/>
        <v>1928</v>
      </c>
      <c r="F117" s="14">
        <f t="shared" si="13"/>
        <v>2027</v>
      </c>
      <c r="G117" s="15">
        <f t="shared" si="12"/>
        <v>100</v>
      </c>
      <c r="H117" s="16" t="str">
        <f t="shared" si="18"/>
        <v>A</v>
      </c>
      <c r="I117" s="17">
        <v>0</v>
      </c>
      <c r="J117" s="17">
        <f t="shared" si="4"/>
        <v>0</v>
      </c>
      <c r="K117" s="14">
        <v>1000000</v>
      </c>
      <c r="L117" s="14">
        <v>100000000</v>
      </c>
      <c r="M117" s="18">
        <f t="shared" si="19"/>
        <v>6.7736909842173003E-3</v>
      </c>
      <c r="N117" s="20">
        <f t="shared" si="20"/>
        <v>0</v>
      </c>
    </row>
    <row r="118" spans="2:14" x14ac:dyDescent="0.25">
      <c r="B118" s="12" t="s">
        <v>515</v>
      </c>
      <c r="C118" s="13">
        <v>21</v>
      </c>
      <c r="D118" s="13">
        <v>22</v>
      </c>
      <c r="E118" s="14">
        <f t="shared" si="17"/>
        <v>2028</v>
      </c>
      <c r="F118" s="14">
        <f t="shared" si="13"/>
        <v>2127</v>
      </c>
      <c r="G118" s="15">
        <f t="shared" si="12"/>
        <v>100</v>
      </c>
      <c r="H118" s="16" t="str">
        <f t="shared" si="18"/>
        <v>A</v>
      </c>
      <c r="I118" s="17">
        <v>0</v>
      </c>
      <c r="J118" s="17">
        <f t="shared" si="4"/>
        <v>0</v>
      </c>
      <c r="K118" s="14">
        <v>1000000</v>
      </c>
      <c r="L118" s="14">
        <v>100000000</v>
      </c>
      <c r="M118" s="18">
        <f t="shared" si="19"/>
        <v>6.7736909842173003E-3</v>
      </c>
      <c r="N118" s="20">
        <f t="shared" si="20"/>
        <v>0</v>
      </c>
    </row>
    <row r="119" spans="2:14" x14ac:dyDescent="0.25">
      <c r="B119" s="12" t="s">
        <v>516</v>
      </c>
      <c r="C119" s="13">
        <v>22</v>
      </c>
      <c r="D119" s="13">
        <v>22</v>
      </c>
      <c r="E119" s="14">
        <f t="shared" si="17"/>
        <v>2128</v>
      </c>
      <c r="F119" s="14">
        <f t="shared" si="13"/>
        <v>2152</v>
      </c>
      <c r="G119" s="15">
        <f t="shared" si="12"/>
        <v>25</v>
      </c>
      <c r="H119" s="16" t="str">
        <f t="shared" si="18"/>
        <v>A</v>
      </c>
      <c r="I119" s="17">
        <v>0</v>
      </c>
      <c r="J119" s="17">
        <f t="shared" si="4"/>
        <v>0</v>
      </c>
      <c r="K119" s="14">
        <v>1000000</v>
      </c>
      <c r="L119" s="14">
        <v>25000000</v>
      </c>
      <c r="M119" s="18">
        <f t="shared" si="19"/>
        <v>1.6934227460543251E-3</v>
      </c>
      <c r="N119" s="20">
        <f t="shared" si="20"/>
        <v>0</v>
      </c>
    </row>
    <row r="120" spans="2:14" x14ac:dyDescent="0.25">
      <c r="B120" s="12" t="s">
        <v>504</v>
      </c>
      <c r="C120" s="13">
        <v>22</v>
      </c>
      <c r="D120" s="13">
        <v>23</v>
      </c>
      <c r="E120" s="14">
        <f t="shared" si="17"/>
        <v>2153</v>
      </c>
      <c r="F120" s="14">
        <f t="shared" si="13"/>
        <v>2252</v>
      </c>
      <c r="G120" s="15">
        <f t="shared" si="12"/>
        <v>100</v>
      </c>
      <c r="H120" s="16" t="str">
        <f t="shared" si="18"/>
        <v>A</v>
      </c>
      <c r="I120" s="17">
        <v>0</v>
      </c>
      <c r="J120" s="17">
        <f t="shared" si="4"/>
        <v>0</v>
      </c>
      <c r="K120" s="14">
        <v>1000000</v>
      </c>
      <c r="L120" s="14">
        <v>100000000</v>
      </c>
      <c r="M120" s="18">
        <f t="shared" si="19"/>
        <v>6.7736909842173003E-3</v>
      </c>
      <c r="N120" s="20">
        <f t="shared" si="20"/>
        <v>0</v>
      </c>
    </row>
    <row r="121" spans="2:14" x14ac:dyDescent="0.25">
      <c r="B121" s="12" t="s">
        <v>498</v>
      </c>
      <c r="C121" s="13">
        <v>23</v>
      </c>
      <c r="D121" s="13">
        <v>24</v>
      </c>
      <c r="E121" s="14">
        <f t="shared" si="17"/>
        <v>2253</v>
      </c>
      <c r="F121" s="14">
        <f t="shared" si="13"/>
        <v>2302</v>
      </c>
      <c r="G121" s="15">
        <f t="shared" si="12"/>
        <v>50</v>
      </c>
      <c r="H121" s="16" t="str">
        <f t="shared" si="18"/>
        <v>A</v>
      </c>
      <c r="I121" s="17">
        <v>0</v>
      </c>
      <c r="J121" s="17">
        <f t="shared" si="4"/>
        <v>0</v>
      </c>
      <c r="K121" s="14">
        <v>1000000</v>
      </c>
      <c r="L121" s="14">
        <v>50000000</v>
      </c>
      <c r="M121" s="18">
        <f t="shared" si="19"/>
        <v>3.3868454921086501E-3</v>
      </c>
      <c r="N121" s="20">
        <f t="shared" si="20"/>
        <v>0</v>
      </c>
    </row>
    <row r="122" spans="2:14" x14ac:dyDescent="0.25">
      <c r="B122" s="12" t="s">
        <v>496</v>
      </c>
      <c r="C122" s="13">
        <v>24</v>
      </c>
      <c r="D122" s="13">
        <v>24</v>
      </c>
      <c r="E122" s="14">
        <f t="shared" si="17"/>
        <v>2303</v>
      </c>
      <c r="F122" s="14">
        <f t="shared" si="13"/>
        <v>2377</v>
      </c>
      <c r="G122" s="15">
        <f t="shared" si="12"/>
        <v>75</v>
      </c>
      <c r="H122" s="16" t="str">
        <f t="shared" si="18"/>
        <v>A</v>
      </c>
      <c r="I122" s="17">
        <v>0</v>
      </c>
      <c r="J122" s="17">
        <f t="shared" si="4"/>
        <v>0</v>
      </c>
      <c r="K122" s="14">
        <v>1000000</v>
      </c>
      <c r="L122" s="14">
        <v>75000000</v>
      </c>
      <c r="M122" s="18">
        <f t="shared" si="19"/>
        <v>5.0802682381629752E-3</v>
      </c>
      <c r="N122" s="20">
        <f t="shared" si="20"/>
        <v>0</v>
      </c>
    </row>
    <row r="123" spans="2:14" x14ac:dyDescent="0.25">
      <c r="B123" s="12" t="s">
        <v>496</v>
      </c>
      <c r="C123" s="13">
        <v>24</v>
      </c>
      <c r="D123" s="13">
        <v>25</v>
      </c>
      <c r="E123" s="14">
        <f t="shared" si="17"/>
        <v>2378</v>
      </c>
      <c r="F123" s="14">
        <f t="shared" si="13"/>
        <v>2452</v>
      </c>
      <c r="G123" s="15">
        <f t="shared" si="12"/>
        <v>75</v>
      </c>
      <c r="H123" s="16" t="str">
        <f t="shared" si="18"/>
        <v>A</v>
      </c>
      <c r="I123" s="17">
        <v>0</v>
      </c>
      <c r="J123" s="17">
        <f t="shared" si="4"/>
        <v>0</v>
      </c>
      <c r="K123" s="14">
        <v>1000000</v>
      </c>
      <c r="L123" s="14">
        <v>75000000</v>
      </c>
      <c r="M123" s="18">
        <f t="shared" si="19"/>
        <v>5.0802682381629752E-3</v>
      </c>
      <c r="N123" s="20">
        <f t="shared" si="20"/>
        <v>0</v>
      </c>
    </row>
    <row r="124" spans="2:14" x14ac:dyDescent="0.25">
      <c r="B124" s="12" t="s">
        <v>517</v>
      </c>
      <c r="C124" s="13">
        <v>25</v>
      </c>
      <c r="D124" s="13">
        <v>26</v>
      </c>
      <c r="E124" s="14">
        <f t="shared" si="17"/>
        <v>2453</v>
      </c>
      <c r="F124" s="14">
        <f t="shared" si="13"/>
        <v>2527</v>
      </c>
      <c r="G124" s="15">
        <f t="shared" si="12"/>
        <v>75</v>
      </c>
      <c r="H124" s="16" t="str">
        <f t="shared" si="18"/>
        <v>A</v>
      </c>
      <c r="I124" s="17">
        <v>0</v>
      </c>
      <c r="J124" s="17">
        <f t="shared" si="4"/>
        <v>0</v>
      </c>
      <c r="K124" s="14">
        <v>1000000</v>
      </c>
      <c r="L124" s="14">
        <v>75000000</v>
      </c>
      <c r="M124" s="18">
        <f t="shared" si="19"/>
        <v>5.0802682381629752E-3</v>
      </c>
      <c r="N124" s="20">
        <f t="shared" si="20"/>
        <v>0</v>
      </c>
    </row>
    <row r="125" spans="2:14" x14ac:dyDescent="0.25">
      <c r="B125" s="12" t="s">
        <v>506</v>
      </c>
      <c r="C125" s="13">
        <v>26</v>
      </c>
      <c r="D125" s="13">
        <v>26</v>
      </c>
      <c r="E125" s="14">
        <f t="shared" si="17"/>
        <v>2528</v>
      </c>
      <c r="F125" s="14">
        <f t="shared" si="13"/>
        <v>2577</v>
      </c>
      <c r="G125" s="15">
        <f t="shared" si="12"/>
        <v>50</v>
      </c>
      <c r="H125" s="16" t="str">
        <f t="shared" si="18"/>
        <v>A</v>
      </c>
      <c r="I125" s="17">
        <v>0</v>
      </c>
      <c r="J125" s="17">
        <f t="shared" si="4"/>
        <v>0</v>
      </c>
      <c r="K125" s="14">
        <v>1000000</v>
      </c>
      <c r="L125" s="14">
        <v>50000000</v>
      </c>
      <c r="M125" s="18">
        <f t="shared" si="19"/>
        <v>3.3868454921086501E-3</v>
      </c>
      <c r="N125" s="20">
        <f t="shared" si="20"/>
        <v>0</v>
      </c>
    </row>
    <row r="126" spans="2:14" x14ac:dyDescent="0.25">
      <c r="B126" s="12" t="s">
        <v>518</v>
      </c>
      <c r="C126" s="13">
        <v>26</v>
      </c>
      <c r="D126" s="13">
        <v>27</v>
      </c>
      <c r="E126" s="14">
        <f t="shared" si="17"/>
        <v>2578</v>
      </c>
      <c r="F126" s="14">
        <f t="shared" si="13"/>
        <v>2602</v>
      </c>
      <c r="G126" s="15">
        <f t="shared" si="12"/>
        <v>25</v>
      </c>
      <c r="H126" s="16" t="str">
        <f t="shared" si="18"/>
        <v>A</v>
      </c>
      <c r="I126" s="17">
        <v>0</v>
      </c>
      <c r="J126" s="17">
        <f t="shared" si="4"/>
        <v>0</v>
      </c>
      <c r="K126" s="14">
        <v>1000000</v>
      </c>
      <c r="L126" s="14">
        <v>25000000</v>
      </c>
      <c r="M126" s="18">
        <f t="shared" si="19"/>
        <v>1.6934227460543251E-3</v>
      </c>
      <c r="N126" s="20">
        <f t="shared" si="20"/>
        <v>0</v>
      </c>
    </row>
    <row r="127" spans="2:14" x14ac:dyDescent="0.25">
      <c r="B127" s="12" t="s">
        <v>503</v>
      </c>
      <c r="C127" s="13">
        <v>27</v>
      </c>
      <c r="D127" s="13">
        <v>27</v>
      </c>
      <c r="E127" s="14">
        <f t="shared" si="17"/>
        <v>2603</v>
      </c>
      <c r="F127" s="14">
        <f t="shared" si="13"/>
        <v>2652</v>
      </c>
      <c r="G127" s="15">
        <f t="shared" si="12"/>
        <v>50</v>
      </c>
      <c r="H127" s="16" t="str">
        <f t="shared" si="18"/>
        <v>A</v>
      </c>
      <c r="I127" s="17">
        <v>0</v>
      </c>
      <c r="J127" s="17">
        <f t="shared" si="4"/>
        <v>0</v>
      </c>
      <c r="K127" s="14">
        <v>1000000</v>
      </c>
      <c r="L127" s="14">
        <v>50000000</v>
      </c>
      <c r="M127" s="18">
        <f t="shared" si="19"/>
        <v>3.3868454921086501E-3</v>
      </c>
      <c r="N127" s="20">
        <f t="shared" si="20"/>
        <v>0</v>
      </c>
    </row>
    <row r="128" spans="2:14" x14ac:dyDescent="0.25">
      <c r="B128" s="12" t="s">
        <v>509</v>
      </c>
      <c r="C128" s="13">
        <v>27</v>
      </c>
      <c r="D128" s="13">
        <v>27</v>
      </c>
      <c r="E128" s="14">
        <f t="shared" si="17"/>
        <v>2653</v>
      </c>
      <c r="F128" s="14">
        <f t="shared" si="13"/>
        <v>2677</v>
      </c>
      <c r="G128" s="15">
        <f t="shared" si="12"/>
        <v>25</v>
      </c>
      <c r="H128" s="16" t="str">
        <f t="shared" si="18"/>
        <v>A</v>
      </c>
      <c r="I128" s="17">
        <v>0</v>
      </c>
      <c r="J128" s="17">
        <f t="shared" si="4"/>
        <v>0</v>
      </c>
      <c r="K128" s="14">
        <v>1000000</v>
      </c>
      <c r="L128" s="14">
        <v>25000000</v>
      </c>
      <c r="M128" s="18">
        <f t="shared" si="19"/>
        <v>1.6934227460543251E-3</v>
      </c>
      <c r="N128" s="20">
        <f t="shared" si="20"/>
        <v>0</v>
      </c>
    </row>
    <row r="129" spans="2:14" x14ac:dyDescent="0.25">
      <c r="B129" s="12" t="s">
        <v>519</v>
      </c>
      <c r="C129" s="13">
        <v>27</v>
      </c>
      <c r="D129" s="13">
        <v>28</v>
      </c>
      <c r="E129" s="14">
        <f t="shared" si="17"/>
        <v>2678</v>
      </c>
      <c r="F129" s="14">
        <f t="shared" si="13"/>
        <v>2727</v>
      </c>
      <c r="G129" s="15">
        <f t="shared" si="12"/>
        <v>50</v>
      </c>
      <c r="H129" s="16" t="str">
        <f t="shared" si="18"/>
        <v>A</v>
      </c>
      <c r="I129" s="17">
        <v>0</v>
      </c>
      <c r="J129" s="17">
        <f t="shared" si="4"/>
        <v>0</v>
      </c>
      <c r="K129" s="14">
        <v>1000000</v>
      </c>
      <c r="L129" s="14">
        <v>50000000</v>
      </c>
      <c r="M129" s="18">
        <f t="shared" si="19"/>
        <v>3.3868454921086501E-3</v>
      </c>
      <c r="N129" s="20">
        <f t="shared" si="20"/>
        <v>0</v>
      </c>
    </row>
    <row r="130" spans="2:14" x14ac:dyDescent="0.25">
      <c r="B130" s="12" t="s">
        <v>502</v>
      </c>
      <c r="C130" s="13">
        <v>28</v>
      </c>
      <c r="D130" s="13">
        <v>28</v>
      </c>
      <c r="E130" s="14">
        <f t="shared" si="17"/>
        <v>2728</v>
      </c>
      <c r="F130" s="14">
        <f t="shared" si="13"/>
        <v>2752</v>
      </c>
      <c r="G130" s="15">
        <f t="shared" si="12"/>
        <v>25</v>
      </c>
      <c r="H130" s="16" t="str">
        <f t="shared" si="18"/>
        <v>A</v>
      </c>
      <c r="I130" s="17">
        <v>0</v>
      </c>
      <c r="J130" s="17">
        <f t="shared" si="4"/>
        <v>0</v>
      </c>
      <c r="K130" s="14">
        <v>1000000</v>
      </c>
      <c r="L130" s="14">
        <v>25000000</v>
      </c>
      <c r="M130" s="18">
        <f t="shared" si="19"/>
        <v>1.6934227460543251E-3</v>
      </c>
      <c r="N130" s="20">
        <f t="shared" si="20"/>
        <v>0</v>
      </c>
    </row>
    <row r="131" spans="2:14" x14ac:dyDescent="0.25">
      <c r="B131" s="12" t="s">
        <v>505</v>
      </c>
      <c r="C131" s="13">
        <v>28</v>
      </c>
      <c r="D131" s="13">
        <v>29</v>
      </c>
      <c r="E131" s="14">
        <f t="shared" si="17"/>
        <v>2753</v>
      </c>
      <c r="F131" s="14">
        <f t="shared" si="13"/>
        <v>2802</v>
      </c>
      <c r="G131" s="15">
        <f t="shared" si="12"/>
        <v>50</v>
      </c>
      <c r="H131" s="16" t="str">
        <f t="shared" si="18"/>
        <v>A</v>
      </c>
      <c r="I131" s="17">
        <v>0</v>
      </c>
      <c r="J131" s="17">
        <f t="shared" si="4"/>
        <v>0</v>
      </c>
      <c r="K131" s="14">
        <v>1000000</v>
      </c>
      <c r="L131" s="14">
        <v>50000000</v>
      </c>
      <c r="M131" s="18">
        <f t="shared" si="19"/>
        <v>3.3868454921086501E-3</v>
      </c>
      <c r="N131" s="20">
        <f t="shared" si="20"/>
        <v>0</v>
      </c>
    </row>
    <row r="132" spans="2:14" x14ac:dyDescent="0.25">
      <c r="B132" s="12" t="s">
        <v>495</v>
      </c>
      <c r="C132" s="13">
        <v>29</v>
      </c>
      <c r="D132" s="13">
        <v>29</v>
      </c>
      <c r="E132" s="14">
        <f t="shared" si="17"/>
        <v>2803</v>
      </c>
      <c r="F132" s="14">
        <f t="shared" si="13"/>
        <v>2852</v>
      </c>
      <c r="G132" s="15">
        <f t="shared" si="12"/>
        <v>50</v>
      </c>
      <c r="H132" s="16" t="str">
        <f t="shared" si="18"/>
        <v>A</v>
      </c>
      <c r="I132" s="17">
        <v>0</v>
      </c>
      <c r="J132" s="17">
        <f t="shared" si="4"/>
        <v>0</v>
      </c>
      <c r="K132" s="14">
        <v>1000000</v>
      </c>
      <c r="L132" s="14">
        <v>50000000</v>
      </c>
      <c r="M132" s="18">
        <f t="shared" si="19"/>
        <v>3.3868454921086501E-3</v>
      </c>
      <c r="N132" s="20">
        <f t="shared" si="20"/>
        <v>0</v>
      </c>
    </row>
    <row r="133" spans="2:14" x14ac:dyDescent="0.25">
      <c r="B133" s="12" t="s">
        <v>507</v>
      </c>
      <c r="C133" s="13">
        <v>29</v>
      </c>
      <c r="D133" s="13">
        <v>30</v>
      </c>
      <c r="E133" s="14">
        <f t="shared" si="17"/>
        <v>2853</v>
      </c>
      <c r="F133" s="14">
        <f t="shared" si="13"/>
        <v>2902</v>
      </c>
      <c r="G133" s="15">
        <f t="shared" si="12"/>
        <v>50</v>
      </c>
      <c r="H133" s="16" t="str">
        <f t="shared" si="18"/>
        <v>A</v>
      </c>
      <c r="I133" s="17">
        <v>0</v>
      </c>
      <c r="J133" s="17">
        <f t="shared" si="4"/>
        <v>0</v>
      </c>
      <c r="K133" s="14">
        <v>1000000</v>
      </c>
      <c r="L133" s="14">
        <v>50000000</v>
      </c>
      <c r="M133" s="18">
        <f t="shared" si="19"/>
        <v>3.3868454921086501E-3</v>
      </c>
      <c r="N133" s="20">
        <f t="shared" si="20"/>
        <v>0</v>
      </c>
    </row>
    <row r="134" spans="2:14" x14ac:dyDescent="0.25">
      <c r="B134" s="12" t="s">
        <v>508</v>
      </c>
      <c r="C134" s="13">
        <v>30</v>
      </c>
      <c r="D134" s="13">
        <v>30</v>
      </c>
      <c r="E134" s="14">
        <f t="shared" si="17"/>
        <v>2903</v>
      </c>
      <c r="F134" s="14">
        <f t="shared" si="13"/>
        <v>2907</v>
      </c>
      <c r="G134" s="15">
        <f t="shared" si="12"/>
        <v>5</v>
      </c>
      <c r="H134" s="16" t="str">
        <f t="shared" si="18"/>
        <v>A</v>
      </c>
      <c r="I134" s="17">
        <v>0</v>
      </c>
      <c r="J134" s="17">
        <f t="shared" si="4"/>
        <v>0</v>
      </c>
      <c r="K134" s="14">
        <v>1000000</v>
      </c>
      <c r="L134" s="14">
        <v>5000000</v>
      </c>
      <c r="M134" s="18">
        <f t="shared" si="19"/>
        <v>3.38684549210865E-4</v>
      </c>
      <c r="N134" s="20">
        <f t="shared" si="20"/>
        <v>0</v>
      </c>
    </row>
    <row r="135" spans="2:14" x14ac:dyDescent="0.25">
      <c r="B135" s="12" t="s">
        <v>497</v>
      </c>
      <c r="C135" s="13">
        <v>30</v>
      </c>
      <c r="D135" s="13">
        <v>30</v>
      </c>
      <c r="E135" s="14">
        <f t="shared" si="17"/>
        <v>2908</v>
      </c>
      <c r="F135" s="14">
        <f t="shared" si="13"/>
        <v>2922</v>
      </c>
      <c r="G135" s="15">
        <f t="shared" si="12"/>
        <v>15</v>
      </c>
      <c r="H135" s="16" t="str">
        <f t="shared" si="18"/>
        <v>A</v>
      </c>
      <c r="I135" s="17">
        <v>0</v>
      </c>
      <c r="J135" s="17">
        <f t="shared" si="4"/>
        <v>0</v>
      </c>
      <c r="K135" s="14">
        <v>1000000</v>
      </c>
      <c r="L135" s="14">
        <v>15000000</v>
      </c>
      <c r="M135" s="18">
        <f t="shared" si="19"/>
        <v>1.016053647632595E-3</v>
      </c>
      <c r="N135" s="20">
        <f t="shared" si="20"/>
        <v>0</v>
      </c>
    </row>
    <row r="136" spans="2:14" x14ac:dyDescent="0.25">
      <c r="B136" s="12" t="s">
        <v>504</v>
      </c>
      <c r="C136" s="13">
        <v>30</v>
      </c>
      <c r="D136" s="13">
        <v>30</v>
      </c>
      <c r="E136" s="14">
        <f t="shared" si="17"/>
        <v>2923</v>
      </c>
      <c r="F136" s="14">
        <f t="shared" si="13"/>
        <v>2972</v>
      </c>
      <c r="G136" s="15">
        <f t="shared" si="12"/>
        <v>50</v>
      </c>
      <c r="H136" s="16" t="str">
        <f t="shared" si="18"/>
        <v>A</v>
      </c>
      <c r="I136" s="17">
        <v>0</v>
      </c>
      <c r="J136" s="17">
        <f t="shared" si="4"/>
        <v>0</v>
      </c>
      <c r="K136" s="14">
        <v>1000000</v>
      </c>
      <c r="L136" s="14">
        <v>50000000</v>
      </c>
      <c r="M136" s="18">
        <f t="shared" si="19"/>
        <v>3.3868454921086501E-3</v>
      </c>
      <c r="N136" s="20">
        <f t="shared" si="20"/>
        <v>0</v>
      </c>
    </row>
    <row r="137" spans="2:14" x14ac:dyDescent="0.25">
      <c r="B137" s="12" t="s">
        <v>513</v>
      </c>
      <c r="C137" s="13">
        <v>30</v>
      </c>
      <c r="D137" s="13">
        <v>30</v>
      </c>
      <c r="E137" s="14">
        <f t="shared" si="17"/>
        <v>2973</v>
      </c>
      <c r="F137" s="14">
        <f t="shared" si="13"/>
        <v>2980</v>
      </c>
      <c r="G137" s="15">
        <f t="shared" ref="G137:G201" si="21">+F137-E137+1</f>
        <v>8</v>
      </c>
      <c r="H137" s="16" t="str">
        <f t="shared" si="18"/>
        <v>A</v>
      </c>
      <c r="I137" s="17">
        <v>0</v>
      </c>
      <c r="J137" s="17">
        <f t="shared" si="4"/>
        <v>0</v>
      </c>
      <c r="K137" s="14">
        <v>1000000</v>
      </c>
      <c r="L137" s="14">
        <v>8000000</v>
      </c>
      <c r="M137" s="18">
        <f t="shared" ref="M137:M200" si="22">+L137/$L$218</f>
        <v>5.4189527873738401E-4</v>
      </c>
      <c r="N137" s="20">
        <f t="shared" ref="N137:N200" si="23">+J137/$J$218</f>
        <v>0</v>
      </c>
    </row>
    <row r="138" spans="2:14" x14ac:dyDescent="0.25">
      <c r="B138" s="12" t="s">
        <v>503</v>
      </c>
      <c r="C138" s="13">
        <v>30</v>
      </c>
      <c r="D138" s="13">
        <v>30</v>
      </c>
      <c r="E138" s="14">
        <f t="shared" si="17"/>
        <v>2981</v>
      </c>
      <c r="F138" s="14">
        <f t="shared" ref="F138:F202" si="24">+((E138)+(L138/K138))-1</f>
        <v>3000</v>
      </c>
      <c r="G138" s="15">
        <f t="shared" si="21"/>
        <v>20</v>
      </c>
      <c r="H138" s="16" t="str">
        <f t="shared" si="18"/>
        <v>A</v>
      </c>
      <c r="I138" s="17">
        <v>0</v>
      </c>
      <c r="J138" s="17">
        <f t="shared" si="4"/>
        <v>0</v>
      </c>
      <c r="K138" s="14">
        <v>1000000</v>
      </c>
      <c r="L138" s="14">
        <v>20000000</v>
      </c>
      <c r="M138" s="18">
        <f t="shared" si="22"/>
        <v>1.35473819684346E-3</v>
      </c>
      <c r="N138" s="20">
        <f t="shared" si="23"/>
        <v>0</v>
      </c>
    </row>
    <row r="139" spans="2:14" x14ac:dyDescent="0.25">
      <c r="B139" s="12" t="s">
        <v>499</v>
      </c>
      <c r="C139" s="13">
        <v>71</v>
      </c>
      <c r="D139" s="13">
        <v>71</v>
      </c>
      <c r="E139" s="14">
        <v>7001</v>
      </c>
      <c r="F139" s="14">
        <f t="shared" si="24"/>
        <v>7075</v>
      </c>
      <c r="G139" s="15">
        <f t="shared" si="21"/>
        <v>75</v>
      </c>
      <c r="H139" s="16" t="s">
        <v>520</v>
      </c>
      <c r="I139" s="17">
        <v>0</v>
      </c>
      <c r="J139" s="17">
        <f t="shared" si="4"/>
        <v>0</v>
      </c>
      <c r="K139" s="14">
        <v>1000000</v>
      </c>
      <c r="L139" s="14">
        <v>75000000</v>
      </c>
      <c r="M139" s="18">
        <f t="shared" si="22"/>
        <v>5.0802682381629752E-3</v>
      </c>
      <c r="N139" s="20">
        <f t="shared" si="23"/>
        <v>0</v>
      </c>
    </row>
    <row r="140" spans="2:14" x14ac:dyDescent="0.25">
      <c r="B140" s="12" t="s">
        <v>501</v>
      </c>
      <c r="C140" s="13">
        <v>71</v>
      </c>
      <c r="D140" s="13">
        <v>72</v>
      </c>
      <c r="E140" s="14">
        <f t="shared" ref="E140:E188" si="25">+F139+1</f>
        <v>7076</v>
      </c>
      <c r="F140" s="14">
        <f t="shared" si="24"/>
        <v>7175</v>
      </c>
      <c r="G140" s="15">
        <f t="shared" si="21"/>
        <v>100</v>
      </c>
      <c r="H140" s="16" t="str">
        <f>+H139</f>
        <v>B</v>
      </c>
      <c r="I140" s="17">
        <v>0</v>
      </c>
      <c r="J140" s="17">
        <f t="shared" si="4"/>
        <v>0</v>
      </c>
      <c r="K140" s="14">
        <v>1000000</v>
      </c>
      <c r="L140" s="14">
        <v>100000000</v>
      </c>
      <c r="M140" s="18">
        <f t="shared" si="22"/>
        <v>6.7736909842173003E-3</v>
      </c>
      <c r="N140" s="20">
        <f t="shared" si="23"/>
        <v>0</v>
      </c>
    </row>
    <row r="141" spans="2:14" x14ac:dyDescent="0.25">
      <c r="B141" s="12" t="s">
        <v>495</v>
      </c>
      <c r="C141" s="13">
        <v>72</v>
      </c>
      <c r="D141" s="13">
        <v>74</v>
      </c>
      <c r="E141" s="14">
        <f t="shared" si="25"/>
        <v>7176</v>
      </c>
      <c r="F141" s="14">
        <f t="shared" si="24"/>
        <v>7325</v>
      </c>
      <c r="G141" s="15">
        <f t="shared" si="21"/>
        <v>150</v>
      </c>
      <c r="H141" s="16" t="str">
        <f t="shared" ref="H141:H158" si="26">+H140</f>
        <v>B</v>
      </c>
      <c r="I141" s="17">
        <v>0</v>
      </c>
      <c r="J141" s="17">
        <f t="shared" si="4"/>
        <v>0</v>
      </c>
      <c r="K141" s="14">
        <v>1000000</v>
      </c>
      <c r="L141" s="14">
        <v>150000000</v>
      </c>
      <c r="M141" s="18">
        <f t="shared" si="22"/>
        <v>1.016053647632595E-2</v>
      </c>
      <c r="N141" s="20">
        <f t="shared" si="23"/>
        <v>0</v>
      </c>
    </row>
    <row r="142" spans="2:14" x14ac:dyDescent="0.25">
      <c r="B142" s="12" t="s">
        <v>494</v>
      </c>
      <c r="C142" s="13">
        <v>74</v>
      </c>
      <c r="D142" s="13">
        <v>74</v>
      </c>
      <c r="E142" s="14">
        <f t="shared" si="25"/>
        <v>7326</v>
      </c>
      <c r="F142" s="14">
        <f t="shared" si="24"/>
        <v>7345</v>
      </c>
      <c r="G142" s="15">
        <f t="shared" si="21"/>
        <v>20</v>
      </c>
      <c r="H142" s="16" t="str">
        <f t="shared" si="26"/>
        <v>B</v>
      </c>
      <c r="I142" s="17">
        <v>0</v>
      </c>
      <c r="J142" s="17">
        <f t="shared" si="4"/>
        <v>0</v>
      </c>
      <c r="K142" s="14">
        <v>1000000</v>
      </c>
      <c r="L142" s="14">
        <v>20000000</v>
      </c>
      <c r="M142" s="18">
        <f t="shared" si="22"/>
        <v>1.35473819684346E-3</v>
      </c>
      <c r="N142" s="20">
        <f t="shared" si="23"/>
        <v>0</v>
      </c>
    </row>
    <row r="143" spans="2:14" x14ac:dyDescent="0.25">
      <c r="B143" s="12" t="s">
        <v>496</v>
      </c>
      <c r="C143" s="13">
        <v>74</v>
      </c>
      <c r="D143" s="13">
        <v>75</v>
      </c>
      <c r="E143" s="14">
        <f t="shared" si="25"/>
        <v>7346</v>
      </c>
      <c r="F143" s="14">
        <f t="shared" si="24"/>
        <v>7420</v>
      </c>
      <c r="G143" s="15">
        <f t="shared" si="21"/>
        <v>75</v>
      </c>
      <c r="H143" s="16" t="str">
        <f t="shared" si="26"/>
        <v>B</v>
      </c>
      <c r="I143" s="17">
        <v>0</v>
      </c>
      <c r="J143" s="17">
        <f t="shared" ref="J143:J159" si="27">+I143*G143</f>
        <v>0</v>
      </c>
      <c r="K143" s="14">
        <v>1000000</v>
      </c>
      <c r="L143" s="14">
        <v>75000000</v>
      </c>
      <c r="M143" s="18">
        <f t="shared" si="22"/>
        <v>5.0802682381629752E-3</v>
      </c>
      <c r="N143" s="20">
        <f t="shared" si="23"/>
        <v>0</v>
      </c>
    </row>
    <row r="144" spans="2:14" x14ac:dyDescent="0.25">
      <c r="B144" s="12" t="s">
        <v>47</v>
      </c>
      <c r="C144" s="13">
        <v>75</v>
      </c>
      <c r="D144" s="13">
        <v>75</v>
      </c>
      <c r="E144" s="14">
        <f t="shared" si="25"/>
        <v>7421</v>
      </c>
      <c r="F144" s="14">
        <f t="shared" si="24"/>
        <v>7445</v>
      </c>
      <c r="G144" s="15">
        <f t="shared" si="21"/>
        <v>25</v>
      </c>
      <c r="H144" s="16" t="str">
        <f t="shared" si="26"/>
        <v>B</v>
      </c>
      <c r="I144" s="17">
        <v>0</v>
      </c>
      <c r="J144" s="17">
        <f t="shared" si="27"/>
        <v>0</v>
      </c>
      <c r="K144" s="14">
        <v>1000000</v>
      </c>
      <c r="L144" s="14">
        <v>25000000</v>
      </c>
      <c r="M144" s="18">
        <f t="shared" si="22"/>
        <v>1.6934227460543251E-3</v>
      </c>
      <c r="N144" s="20">
        <f t="shared" si="23"/>
        <v>0</v>
      </c>
    </row>
    <row r="145" spans="2:14" x14ac:dyDescent="0.25">
      <c r="B145" s="12" t="s">
        <v>521</v>
      </c>
      <c r="C145" s="13">
        <v>75</v>
      </c>
      <c r="D145" s="13">
        <v>75</v>
      </c>
      <c r="E145" s="14">
        <f t="shared" si="25"/>
        <v>7446</v>
      </c>
      <c r="F145" s="14">
        <f t="shared" si="24"/>
        <v>7470</v>
      </c>
      <c r="G145" s="15">
        <f t="shared" si="21"/>
        <v>25</v>
      </c>
      <c r="H145" s="16" t="str">
        <f t="shared" si="26"/>
        <v>B</v>
      </c>
      <c r="I145" s="17">
        <v>0</v>
      </c>
      <c r="J145" s="17">
        <f t="shared" si="27"/>
        <v>0</v>
      </c>
      <c r="K145" s="14">
        <v>1000000</v>
      </c>
      <c r="L145" s="14">
        <v>25000000</v>
      </c>
      <c r="M145" s="18">
        <f t="shared" si="22"/>
        <v>1.6934227460543251E-3</v>
      </c>
      <c r="N145" s="20">
        <f t="shared" si="23"/>
        <v>0</v>
      </c>
    </row>
    <row r="146" spans="2:14" x14ac:dyDescent="0.25">
      <c r="B146" s="12" t="s">
        <v>522</v>
      </c>
      <c r="C146" s="13">
        <v>75</v>
      </c>
      <c r="D146" s="13">
        <v>77</v>
      </c>
      <c r="E146" s="14">
        <f t="shared" si="25"/>
        <v>7471</v>
      </c>
      <c r="F146" s="14">
        <f t="shared" si="24"/>
        <v>7670</v>
      </c>
      <c r="G146" s="15">
        <f t="shared" si="21"/>
        <v>200</v>
      </c>
      <c r="H146" s="16" t="str">
        <f t="shared" si="26"/>
        <v>B</v>
      </c>
      <c r="I146" s="17">
        <v>0</v>
      </c>
      <c r="J146" s="17">
        <f t="shared" si="27"/>
        <v>0</v>
      </c>
      <c r="K146" s="14">
        <v>1000000</v>
      </c>
      <c r="L146" s="14">
        <v>200000000</v>
      </c>
      <c r="M146" s="18">
        <f t="shared" si="22"/>
        <v>1.3547381968434601E-2</v>
      </c>
      <c r="N146" s="20">
        <f t="shared" si="23"/>
        <v>0</v>
      </c>
    </row>
    <row r="147" spans="2:14" x14ac:dyDescent="0.25">
      <c r="B147" s="12" t="s">
        <v>523</v>
      </c>
      <c r="C147" s="13">
        <v>77</v>
      </c>
      <c r="D147" s="13">
        <v>78</v>
      </c>
      <c r="E147" s="14">
        <f t="shared" si="25"/>
        <v>7671</v>
      </c>
      <c r="F147" s="14">
        <f t="shared" si="24"/>
        <v>7720</v>
      </c>
      <c r="G147" s="15">
        <f t="shared" si="21"/>
        <v>50</v>
      </c>
      <c r="H147" s="16" t="str">
        <f t="shared" si="26"/>
        <v>B</v>
      </c>
      <c r="I147" s="17">
        <v>0</v>
      </c>
      <c r="J147" s="17">
        <f t="shared" si="27"/>
        <v>0</v>
      </c>
      <c r="K147" s="14">
        <v>1000000</v>
      </c>
      <c r="L147" s="14">
        <v>50000000</v>
      </c>
      <c r="M147" s="18">
        <f t="shared" si="22"/>
        <v>3.3868454921086501E-3</v>
      </c>
      <c r="N147" s="20">
        <f t="shared" si="23"/>
        <v>0</v>
      </c>
    </row>
    <row r="148" spans="2:14" x14ac:dyDescent="0.25">
      <c r="B148" s="12" t="s">
        <v>501</v>
      </c>
      <c r="C148" s="13">
        <v>78</v>
      </c>
      <c r="D148" s="13">
        <v>79</v>
      </c>
      <c r="E148" s="14">
        <f t="shared" si="25"/>
        <v>7721</v>
      </c>
      <c r="F148" s="14">
        <f t="shared" si="24"/>
        <v>7820</v>
      </c>
      <c r="G148" s="15">
        <f t="shared" si="21"/>
        <v>100</v>
      </c>
      <c r="H148" s="16" t="str">
        <f t="shared" si="26"/>
        <v>B</v>
      </c>
      <c r="I148" s="17">
        <v>0</v>
      </c>
      <c r="J148" s="17">
        <f t="shared" si="27"/>
        <v>0</v>
      </c>
      <c r="K148" s="14">
        <v>1000000</v>
      </c>
      <c r="L148" s="14">
        <v>100000000</v>
      </c>
      <c r="M148" s="18">
        <f t="shared" si="22"/>
        <v>6.7736909842173003E-3</v>
      </c>
      <c r="N148" s="20">
        <f t="shared" si="23"/>
        <v>0</v>
      </c>
    </row>
    <row r="149" spans="2:14" x14ac:dyDescent="0.25">
      <c r="B149" s="12" t="s">
        <v>500</v>
      </c>
      <c r="C149" s="13">
        <v>79</v>
      </c>
      <c r="D149" s="13">
        <v>80</v>
      </c>
      <c r="E149" s="14">
        <f t="shared" si="25"/>
        <v>7821</v>
      </c>
      <c r="F149" s="14">
        <f t="shared" si="24"/>
        <v>7970</v>
      </c>
      <c r="G149" s="15">
        <f t="shared" si="21"/>
        <v>150</v>
      </c>
      <c r="H149" s="16" t="s">
        <v>520</v>
      </c>
      <c r="I149" s="17">
        <v>0</v>
      </c>
      <c r="J149" s="17">
        <v>0</v>
      </c>
      <c r="K149" s="14">
        <v>1000000</v>
      </c>
      <c r="L149" s="14">
        <v>150000000</v>
      </c>
      <c r="M149" s="18">
        <f t="shared" si="22"/>
        <v>1.016053647632595E-2</v>
      </c>
      <c r="N149" s="20">
        <f t="shared" si="23"/>
        <v>0</v>
      </c>
    </row>
    <row r="150" spans="2:14" x14ac:dyDescent="0.25">
      <c r="B150" s="12" t="s">
        <v>514</v>
      </c>
      <c r="C150" s="13">
        <v>80</v>
      </c>
      <c r="D150" s="13">
        <v>81</v>
      </c>
      <c r="E150" s="14">
        <f t="shared" si="25"/>
        <v>7971</v>
      </c>
      <c r="F150" s="14">
        <f t="shared" si="24"/>
        <v>8020</v>
      </c>
      <c r="G150" s="15">
        <f t="shared" si="21"/>
        <v>50</v>
      </c>
      <c r="H150" s="16" t="str">
        <f>+H148</f>
        <v>B</v>
      </c>
      <c r="I150" s="17">
        <v>0</v>
      </c>
      <c r="J150" s="17">
        <f t="shared" si="27"/>
        <v>0</v>
      </c>
      <c r="K150" s="14">
        <v>1000000</v>
      </c>
      <c r="L150" s="14">
        <v>50000000</v>
      </c>
      <c r="M150" s="18">
        <f t="shared" si="22"/>
        <v>3.3868454921086501E-3</v>
      </c>
      <c r="N150" s="20">
        <f t="shared" si="23"/>
        <v>0</v>
      </c>
    </row>
    <row r="151" spans="2:14" x14ac:dyDescent="0.25">
      <c r="B151" s="12" t="s">
        <v>500</v>
      </c>
      <c r="C151" s="13">
        <v>81</v>
      </c>
      <c r="D151" s="13">
        <v>82</v>
      </c>
      <c r="E151" s="14">
        <f t="shared" si="25"/>
        <v>8021</v>
      </c>
      <c r="F151" s="14">
        <f t="shared" si="24"/>
        <v>8120</v>
      </c>
      <c r="G151" s="15">
        <f t="shared" si="21"/>
        <v>100</v>
      </c>
      <c r="H151" s="16" t="str">
        <f t="shared" si="26"/>
        <v>B</v>
      </c>
      <c r="I151" s="17">
        <v>0</v>
      </c>
      <c r="J151" s="17">
        <f t="shared" si="27"/>
        <v>0</v>
      </c>
      <c r="K151" s="14">
        <v>1000000</v>
      </c>
      <c r="L151" s="14">
        <v>100000000</v>
      </c>
      <c r="M151" s="18">
        <f t="shared" si="22"/>
        <v>6.7736909842173003E-3</v>
      </c>
      <c r="N151" s="20">
        <f t="shared" si="23"/>
        <v>0</v>
      </c>
    </row>
    <row r="152" spans="2:14" x14ac:dyDescent="0.25">
      <c r="B152" s="12" t="s">
        <v>505</v>
      </c>
      <c r="C152" s="13">
        <v>82</v>
      </c>
      <c r="D152" s="13">
        <v>85</v>
      </c>
      <c r="E152" s="14">
        <f t="shared" si="25"/>
        <v>8121</v>
      </c>
      <c r="F152" s="14">
        <f t="shared" si="24"/>
        <v>8420</v>
      </c>
      <c r="G152" s="15">
        <f t="shared" si="21"/>
        <v>300</v>
      </c>
      <c r="H152" s="16" t="str">
        <f t="shared" si="26"/>
        <v>B</v>
      </c>
      <c r="I152" s="17">
        <v>0</v>
      </c>
      <c r="J152" s="17">
        <f t="shared" si="27"/>
        <v>0</v>
      </c>
      <c r="K152" s="14">
        <v>1000000</v>
      </c>
      <c r="L152" s="14">
        <v>300000000</v>
      </c>
      <c r="M152" s="18">
        <f t="shared" si="22"/>
        <v>2.0321072952651901E-2</v>
      </c>
      <c r="N152" s="20">
        <f t="shared" si="23"/>
        <v>0</v>
      </c>
    </row>
    <row r="153" spans="2:14" x14ac:dyDescent="0.25">
      <c r="B153" s="12" t="s">
        <v>504</v>
      </c>
      <c r="C153" s="13">
        <v>85</v>
      </c>
      <c r="D153" s="13">
        <v>85</v>
      </c>
      <c r="E153" s="14">
        <f t="shared" si="25"/>
        <v>8421</v>
      </c>
      <c r="F153" s="14">
        <f t="shared" si="24"/>
        <v>8495</v>
      </c>
      <c r="G153" s="15">
        <f t="shared" si="21"/>
        <v>75</v>
      </c>
      <c r="H153" s="16" t="str">
        <f t="shared" si="26"/>
        <v>B</v>
      </c>
      <c r="I153" s="17">
        <v>0</v>
      </c>
      <c r="J153" s="17">
        <f t="shared" si="27"/>
        <v>0</v>
      </c>
      <c r="K153" s="14">
        <v>1000000</v>
      </c>
      <c r="L153" s="14">
        <v>75000000</v>
      </c>
      <c r="M153" s="18">
        <f t="shared" si="22"/>
        <v>5.0802682381629752E-3</v>
      </c>
      <c r="N153" s="20">
        <f t="shared" si="23"/>
        <v>0</v>
      </c>
    </row>
    <row r="154" spans="2:14" x14ac:dyDescent="0.25">
      <c r="B154" s="12" t="s">
        <v>498</v>
      </c>
      <c r="C154" s="13">
        <v>85</v>
      </c>
      <c r="D154" s="13">
        <v>86</v>
      </c>
      <c r="E154" s="14">
        <f t="shared" si="25"/>
        <v>8496</v>
      </c>
      <c r="F154" s="14">
        <f t="shared" si="24"/>
        <v>8545</v>
      </c>
      <c r="G154" s="15">
        <f t="shared" si="21"/>
        <v>50</v>
      </c>
      <c r="H154" s="16" t="str">
        <f t="shared" si="26"/>
        <v>B</v>
      </c>
      <c r="I154" s="17">
        <v>0</v>
      </c>
      <c r="J154" s="17">
        <f t="shared" si="27"/>
        <v>0</v>
      </c>
      <c r="K154" s="14">
        <v>1000000</v>
      </c>
      <c r="L154" s="14">
        <v>50000000</v>
      </c>
      <c r="M154" s="18">
        <f t="shared" si="22"/>
        <v>3.3868454921086501E-3</v>
      </c>
      <c r="N154" s="20">
        <f t="shared" si="23"/>
        <v>0</v>
      </c>
    </row>
    <row r="155" spans="2:14" x14ac:dyDescent="0.25">
      <c r="B155" s="12" t="s">
        <v>519</v>
      </c>
      <c r="C155" s="13">
        <v>86</v>
      </c>
      <c r="D155" s="13">
        <v>86</v>
      </c>
      <c r="E155" s="14">
        <f t="shared" si="25"/>
        <v>8546</v>
      </c>
      <c r="F155" s="14">
        <f t="shared" si="24"/>
        <v>8595</v>
      </c>
      <c r="G155" s="15">
        <f t="shared" si="21"/>
        <v>50</v>
      </c>
      <c r="H155" s="16" t="str">
        <f>+H154</f>
        <v>B</v>
      </c>
      <c r="I155" s="17">
        <v>0</v>
      </c>
      <c r="J155" s="17">
        <f t="shared" si="27"/>
        <v>0</v>
      </c>
      <c r="K155" s="14">
        <v>1000000</v>
      </c>
      <c r="L155" s="14">
        <v>50000000</v>
      </c>
      <c r="M155" s="18">
        <f t="shared" si="22"/>
        <v>3.3868454921086501E-3</v>
      </c>
      <c r="N155" s="20">
        <f t="shared" si="23"/>
        <v>0</v>
      </c>
    </row>
    <row r="156" spans="2:14" x14ac:dyDescent="0.25">
      <c r="B156" s="12" t="s">
        <v>502</v>
      </c>
      <c r="C156" s="13">
        <v>86</v>
      </c>
      <c r="D156" s="13">
        <v>88</v>
      </c>
      <c r="E156" s="14">
        <f t="shared" si="25"/>
        <v>8596</v>
      </c>
      <c r="F156" s="14">
        <f t="shared" si="24"/>
        <v>8720</v>
      </c>
      <c r="G156" s="15">
        <f t="shared" si="21"/>
        <v>125</v>
      </c>
      <c r="H156" s="16" t="str">
        <f t="shared" si="26"/>
        <v>B</v>
      </c>
      <c r="I156" s="17">
        <v>0</v>
      </c>
      <c r="J156" s="17">
        <f t="shared" si="27"/>
        <v>0</v>
      </c>
      <c r="K156" s="14">
        <v>1000000</v>
      </c>
      <c r="L156" s="14">
        <v>125000000</v>
      </c>
      <c r="M156" s="18">
        <f t="shared" si="22"/>
        <v>8.4671137302716245E-3</v>
      </c>
      <c r="N156" s="20">
        <f t="shared" si="23"/>
        <v>0</v>
      </c>
    </row>
    <row r="157" spans="2:14" x14ac:dyDescent="0.25">
      <c r="B157" s="12" t="s">
        <v>503</v>
      </c>
      <c r="C157" s="13">
        <v>88</v>
      </c>
      <c r="D157" s="13">
        <v>88</v>
      </c>
      <c r="E157" s="14">
        <f t="shared" si="25"/>
        <v>8721</v>
      </c>
      <c r="F157" s="14">
        <f t="shared" si="24"/>
        <v>8790</v>
      </c>
      <c r="G157" s="15">
        <f t="shared" si="21"/>
        <v>70</v>
      </c>
      <c r="H157" s="16" t="str">
        <f t="shared" si="26"/>
        <v>B</v>
      </c>
      <c r="I157" s="17">
        <v>0</v>
      </c>
      <c r="J157" s="17">
        <f t="shared" si="27"/>
        <v>0</v>
      </c>
      <c r="K157" s="14">
        <v>1000000</v>
      </c>
      <c r="L157" s="14">
        <v>70000000</v>
      </c>
      <c r="M157" s="18">
        <f t="shared" si="22"/>
        <v>4.7415836889521104E-3</v>
      </c>
      <c r="N157" s="20">
        <f t="shared" si="23"/>
        <v>0</v>
      </c>
    </row>
    <row r="158" spans="2:14" x14ac:dyDescent="0.25">
      <c r="B158" s="12" t="s">
        <v>506</v>
      </c>
      <c r="C158" s="13">
        <v>88</v>
      </c>
      <c r="D158" s="13">
        <v>89</v>
      </c>
      <c r="E158" s="14">
        <f t="shared" si="25"/>
        <v>8791</v>
      </c>
      <c r="F158" s="14">
        <f t="shared" si="24"/>
        <v>8810</v>
      </c>
      <c r="G158" s="15">
        <f t="shared" si="21"/>
        <v>20</v>
      </c>
      <c r="H158" s="16" t="str">
        <f t="shared" si="26"/>
        <v>B</v>
      </c>
      <c r="I158" s="17">
        <v>0</v>
      </c>
      <c r="J158" s="17">
        <f t="shared" si="27"/>
        <v>0</v>
      </c>
      <c r="K158" s="14">
        <v>1000000</v>
      </c>
      <c r="L158" s="14">
        <v>20000000</v>
      </c>
      <c r="M158" s="18">
        <f t="shared" si="22"/>
        <v>1.35473819684346E-3</v>
      </c>
      <c r="N158" s="20">
        <f t="shared" si="23"/>
        <v>0</v>
      </c>
    </row>
    <row r="159" spans="2:14" x14ac:dyDescent="0.25">
      <c r="B159" s="12" t="s">
        <v>499</v>
      </c>
      <c r="C159" s="13">
        <v>89</v>
      </c>
      <c r="D159" s="13">
        <v>90</v>
      </c>
      <c r="E159" s="14">
        <f t="shared" si="25"/>
        <v>8811</v>
      </c>
      <c r="F159" s="14">
        <f t="shared" si="24"/>
        <v>9000</v>
      </c>
      <c r="G159" s="15">
        <f t="shared" si="21"/>
        <v>190</v>
      </c>
      <c r="H159" s="16" t="str">
        <f>+H158</f>
        <v>B</v>
      </c>
      <c r="I159" s="17">
        <v>0</v>
      </c>
      <c r="J159" s="17">
        <f t="shared" si="27"/>
        <v>0</v>
      </c>
      <c r="K159" s="14">
        <v>1000000</v>
      </c>
      <c r="L159" s="14">
        <v>190000000</v>
      </c>
      <c r="M159" s="18">
        <f t="shared" si="22"/>
        <v>1.2870012870012869E-2</v>
      </c>
      <c r="N159" s="20">
        <f t="shared" si="23"/>
        <v>0</v>
      </c>
    </row>
    <row r="160" spans="2:14" x14ac:dyDescent="0.25">
      <c r="B160" s="12" t="s">
        <v>501</v>
      </c>
      <c r="C160" s="13">
        <v>121</v>
      </c>
      <c r="D160" s="13">
        <v>121</v>
      </c>
      <c r="E160" s="14">
        <v>12001</v>
      </c>
      <c r="F160" s="14">
        <f t="shared" si="24"/>
        <v>12050</v>
      </c>
      <c r="G160" s="15">
        <f t="shared" si="21"/>
        <v>50</v>
      </c>
      <c r="H160" s="16" t="s">
        <v>524</v>
      </c>
      <c r="I160" s="17">
        <v>0</v>
      </c>
      <c r="J160" s="17">
        <v>0</v>
      </c>
      <c r="K160" s="14">
        <v>1000000</v>
      </c>
      <c r="L160" s="14">
        <v>50000000</v>
      </c>
      <c r="M160" s="18">
        <f t="shared" si="22"/>
        <v>3.3868454921086501E-3</v>
      </c>
      <c r="N160" s="20">
        <f t="shared" si="23"/>
        <v>0</v>
      </c>
    </row>
    <row r="161" spans="2:14" x14ac:dyDescent="0.25">
      <c r="B161" s="12" t="s">
        <v>519</v>
      </c>
      <c r="C161" s="13">
        <v>121</v>
      </c>
      <c r="D161" s="13">
        <v>121</v>
      </c>
      <c r="E161" s="14">
        <f t="shared" si="25"/>
        <v>12051</v>
      </c>
      <c r="F161" s="14">
        <f t="shared" si="24"/>
        <v>12100</v>
      </c>
      <c r="G161" s="15">
        <f t="shared" si="21"/>
        <v>50</v>
      </c>
      <c r="H161" s="16" t="str">
        <f>+H160</f>
        <v>C</v>
      </c>
      <c r="I161" s="17">
        <v>0</v>
      </c>
      <c r="J161" s="17">
        <v>0</v>
      </c>
      <c r="K161" s="14">
        <v>1000000</v>
      </c>
      <c r="L161" s="14">
        <v>50000000</v>
      </c>
      <c r="M161" s="18">
        <f t="shared" si="22"/>
        <v>3.3868454921086501E-3</v>
      </c>
      <c r="N161" s="20">
        <f t="shared" si="23"/>
        <v>0</v>
      </c>
    </row>
    <row r="162" spans="2:14" x14ac:dyDescent="0.25">
      <c r="B162" s="12" t="s">
        <v>500</v>
      </c>
      <c r="C162" s="13">
        <v>122</v>
      </c>
      <c r="D162" s="13">
        <v>122</v>
      </c>
      <c r="E162" s="14">
        <f t="shared" si="25"/>
        <v>12101</v>
      </c>
      <c r="F162" s="14">
        <f t="shared" si="24"/>
        <v>12200</v>
      </c>
      <c r="G162" s="15">
        <f t="shared" si="21"/>
        <v>100</v>
      </c>
      <c r="H162" s="16" t="str">
        <f t="shared" ref="H162:H173" si="28">+H161</f>
        <v>C</v>
      </c>
      <c r="I162" s="17">
        <v>0</v>
      </c>
      <c r="J162" s="17">
        <v>0</v>
      </c>
      <c r="K162" s="14">
        <v>1000000</v>
      </c>
      <c r="L162" s="14">
        <v>100000000</v>
      </c>
      <c r="M162" s="18">
        <f t="shared" si="22"/>
        <v>6.7736909842173003E-3</v>
      </c>
      <c r="N162" s="20">
        <f t="shared" si="23"/>
        <v>0</v>
      </c>
    </row>
    <row r="163" spans="2:14" x14ac:dyDescent="0.25">
      <c r="B163" s="12" t="s">
        <v>521</v>
      </c>
      <c r="C163" s="13">
        <v>123</v>
      </c>
      <c r="D163" s="13">
        <v>123</v>
      </c>
      <c r="E163" s="14">
        <f t="shared" si="25"/>
        <v>12201</v>
      </c>
      <c r="F163" s="14">
        <f t="shared" si="24"/>
        <v>12210</v>
      </c>
      <c r="G163" s="15">
        <f t="shared" si="21"/>
        <v>10</v>
      </c>
      <c r="H163" s="16" t="str">
        <f t="shared" si="28"/>
        <v>C</v>
      </c>
      <c r="I163" s="17">
        <v>0</v>
      </c>
      <c r="J163" s="17">
        <v>0</v>
      </c>
      <c r="K163" s="14">
        <v>1000000</v>
      </c>
      <c r="L163" s="14">
        <v>10000000</v>
      </c>
      <c r="M163" s="18">
        <f t="shared" si="22"/>
        <v>6.7736909842173001E-4</v>
      </c>
      <c r="N163" s="20">
        <f t="shared" si="23"/>
        <v>0</v>
      </c>
    </row>
    <row r="164" spans="2:14" x14ac:dyDescent="0.25">
      <c r="B164" s="12" t="s">
        <v>499</v>
      </c>
      <c r="C164" s="13">
        <v>123</v>
      </c>
      <c r="D164" s="13">
        <v>123</v>
      </c>
      <c r="E164" s="14">
        <f t="shared" si="25"/>
        <v>12211</v>
      </c>
      <c r="F164" s="14">
        <f t="shared" si="24"/>
        <v>12285</v>
      </c>
      <c r="G164" s="15">
        <f t="shared" si="21"/>
        <v>75</v>
      </c>
      <c r="H164" s="16" t="str">
        <f t="shared" si="28"/>
        <v>C</v>
      </c>
      <c r="I164" s="17">
        <v>0</v>
      </c>
      <c r="J164" s="17">
        <v>0</v>
      </c>
      <c r="K164" s="14">
        <v>1000000</v>
      </c>
      <c r="L164" s="14">
        <v>75000000</v>
      </c>
      <c r="M164" s="18">
        <f t="shared" si="22"/>
        <v>5.0802682381629752E-3</v>
      </c>
      <c r="N164" s="20">
        <f t="shared" si="23"/>
        <v>0</v>
      </c>
    </row>
    <row r="165" spans="2:14" x14ac:dyDescent="0.25">
      <c r="B165" s="12" t="s">
        <v>52</v>
      </c>
      <c r="C165" s="13">
        <v>123</v>
      </c>
      <c r="D165" s="13">
        <v>123</v>
      </c>
      <c r="E165" s="14">
        <f t="shared" si="25"/>
        <v>12286</v>
      </c>
      <c r="F165" s="14">
        <f t="shared" si="24"/>
        <v>12300</v>
      </c>
      <c r="G165" s="15">
        <f t="shared" si="21"/>
        <v>15</v>
      </c>
      <c r="H165" s="16" t="str">
        <f t="shared" si="28"/>
        <v>C</v>
      </c>
      <c r="I165" s="17">
        <v>0</v>
      </c>
      <c r="J165" s="17">
        <v>0</v>
      </c>
      <c r="K165" s="14">
        <v>1000000</v>
      </c>
      <c r="L165" s="14">
        <v>15000000</v>
      </c>
      <c r="M165" s="18">
        <f t="shared" si="22"/>
        <v>1.016053647632595E-3</v>
      </c>
      <c r="N165" s="20">
        <f t="shared" si="23"/>
        <v>0</v>
      </c>
    </row>
    <row r="166" spans="2:14" x14ac:dyDescent="0.25">
      <c r="B166" s="12" t="s">
        <v>508</v>
      </c>
      <c r="C166" s="13">
        <v>124</v>
      </c>
      <c r="D166" s="13">
        <v>124</v>
      </c>
      <c r="E166" s="14">
        <f t="shared" si="25"/>
        <v>12301</v>
      </c>
      <c r="F166" s="14">
        <f t="shared" si="24"/>
        <v>12319</v>
      </c>
      <c r="G166" s="15">
        <f t="shared" si="21"/>
        <v>19</v>
      </c>
      <c r="H166" s="16" t="str">
        <f t="shared" si="28"/>
        <v>C</v>
      </c>
      <c r="I166" s="17">
        <v>0</v>
      </c>
      <c r="J166" s="17">
        <v>0</v>
      </c>
      <c r="K166" s="14">
        <v>1000000</v>
      </c>
      <c r="L166" s="14">
        <v>19000000</v>
      </c>
      <c r="M166" s="18">
        <f t="shared" si="22"/>
        <v>1.287001287001287E-3</v>
      </c>
      <c r="N166" s="20">
        <f t="shared" si="23"/>
        <v>0</v>
      </c>
    </row>
    <row r="167" spans="2:14" x14ac:dyDescent="0.25">
      <c r="B167" s="12" t="s">
        <v>505</v>
      </c>
      <c r="C167" s="13">
        <v>124</v>
      </c>
      <c r="D167" s="13">
        <v>125</v>
      </c>
      <c r="E167" s="14">
        <f t="shared" si="25"/>
        <v>12320</v>
      </c>
      <c r="F167" s="14">
        <f t="shared" si="24"/>
        <v>12447</v>
      </c>
      <c r="G167" s="15">
        <f t="shared" si="21"/>
        <v>128</v>
      </c>
      <c r="H167" s="16" t="str">
        <f t="shared" si="28"/>
        <v>C</v>
      </c>
      <c r="I167" s="17">
        <v>0</v>
      </c>
      <c r="J167" s="17">
        <v>0</v>
      </c>
      <c r="K167" s="14">
        <v>1000000</v>
      </c>
      <c r="L167" s="14">
        <v>128000000</v>
      </c>
      <c r="M167" s="18">
        <f t="shared" si="22"/>
        <v>8.6703244597981441E-3</v>
      </c>
      <c r="N167" s="20">
        <f t="shared" si="23"/>
        <v>0</v>
      </c>
    </row>
    <row r="168" spans="2:14" x14ac:dyDescent="0.25">
      <c r="B168" s="12" t="s">
        <v>507</v>
      </c>
      <c r="C168" s="13">
        <v>125</v>
      </c>
      <c r="D168" s="13">
        <v>125</v>
      </c>
      <c r="E168" s="14">
        <f t="shared" si="25"/>
        <v>12448</v>
      </c>
      <c r="F168" s="14">
        <f t="shared" si="24"/>
        <v>12473</v>
      </c>
      <c r="G168" s="15">
        <f t="shared" si="21"/>
        <v>26</v>
      </c>
      <c r="H168" s="16" t="str">
        <f t="shared" si="28"/>
        <v>C</v>
      </c>
      <c r="I168" s="17">
        <v>0</v>
      </c>
      <c r="J168" s="17">
        <v>0</v>
      </c>
      <c r="K168" s="14">
        <v>1000000</v>
      </c>
      <c r="L168" s="14">
        <v>26000000</v>
      </c>
      <c r="M168" s="18">
        <f t="shared" si="22"/>
        <v>1.7611596558964979E-3</v>
      </c>
      <c r="N168" s="20">
        <f t="shared" si="23"/>
        <v>0</v>
      </c>
    </row>
    <row r="169" spans="2:14" x14ac:dyDescent="0.25">
      <c r="B169" s="12" t="s">
        <v>509</v>
      </c>
      <c r="C169" s="13">
        <v>125</v>
      </c>
      <c r="D169" s="13">
        <v>125</v>
      </c>
      <c r="E169" s="14">
        <f t="shared" si="25"/>
        <v>12474</v>
      </c>
      <c r="F169" s="14">
        <f t="shared" si="24"/>
        <v>12481</v>
      </c>
      <c r="G169" s="15">
        <f t="shared" si="21"/>
        <v>8</v>
      </c>
      <c r="H169" s="16" t="str">
        <f t="shared" si="28"/>
        <v>C</v>
      </c>
      <c r="I169" s="17">
        <v>0</v>
      </c>
      <c r="J169" s="17">
        <v>0</v>
      </c>
      <c r="K169" s="14">
        <v>1000000</v>
      </c>
      <c r="L169" s="14">
        <v>8000000</v>
      </c>
      <c r="M169" s="18">
        <f t="shared" si="22"/>
        <v>5.4189527873738401E-4</v>
      </c>
      <c r="N169" s="20">
        <f t="shared" si="23"/>
        <v>0</v>
      </c>
    </row>
    <row r="170" spans="2:14" x14ac:dyDescent="0.25">
      <c r="B170" s="12" t="s">
        <v>55</v>
      </c>
      <c r="C170" s="13">
        <v>125</v>
      </c>
      <c r="D170" s="13">
        <v>125</v>
      </c>
      <c r="E170" s="14">
        <f t="shared" si="25"/>
        <v>12482</v>
      </c>
      <c r="F170" s="14">
        <f t="shared" si="24"/>
        <v>12496</v>
      </c>
      <c r="G170" s="15">
        <f t="shared" si="21"/>
        <v>15</v>
      </c>
      <c r="H170" s="16" t="str">
        <f t="shared" si="28"/>
        <v>C</v>
      </c>
      <c r="I170" s="17">
        <v>0</v>
      </c>
      <c r="J170" s="17">
        <v>0</v>
      </c>
      <c r="K170" s="14">
        <v>1000000</v>
      </c>
      <c r="L170" s="14">
        <v>15000000</v>
      </c>
      <c r="M170" s="18">
        <f t="shared" si="22"/>
        <v>1.016053647632595E-3</v>
      </c>
      <c r="N170" s="20">
        <f t="shared" si="23"/>
        <v>0</v>
      </c>
    </row>
    <row r="171" spans="2:14" x14ac:dyDescent="0.25">
      <c r="B171" s="12" t="s">
        <v>53</v>
      </c>
      <c r="C171" s="13">
        <v>125</v>
      </c>
      <c r="D171" s="13">
        <v>126</v>
      </c>
      <c r="E171" s="14">
        <f t="shared" si="25"/>
        <v>12497</v>
      </c>
      <c r="F171" s="14">
        <f t="shared" si="24"/>
        <v>12501</v>
      </c>
      <c r="G171" s="15">
        <f t="shared" si="21"/>
        <v>5</v>
      </c>
      <c r="H171" s="16" t="str">
        <f t="shared" si="28"/>
        <v>C</v>
      </c>
      <c r="I171" s="17">
        <v>0</v>
      </c>
      <c r="J171" s="17">
        <v>0</v>
      </c>
      <c r="K171" s="14">
        <v>1000000</v>
      </c>
      <c r="L171" s="14">
        <v>5000000</v>
      </c>
      <c r="M171" s="18">
        <f t="shared" si="22"/>
        <v>3.38684549210865E-4</v>
      </c>
      <c r="N171" s="20">
        <f t="shared" si="23"/>
        <v>0</v>
      </c>
    </row>
    <row r="172" spans="2:14" x14ac:dyDescent="0.25">
      <c r="B172" s="12" t="s">
        <v>503</v>
      </c>
      <c r="C172" s="13">
        <v>126</v>
      </c>
      <c r="D172" s="13">
        <v>126</v>
      </c>
      <c r="E172" s="14">
        <f t="shared" si="25"/>
        <v>12502</v>
      </c>
      <c r="F172" s="14">
        <f t="shared" si="24"/>
        <v>12571</v>
      </c>
      <c r="G172" s="15">
        <f t="shared" si="21"/>
        <v>70</v>
      </c>
      <c r="H172" s="16" t="str">
        <f t="shared" si="28"/>
        <v>C</v>
      </c>
      <c r="I172" s="17">
        <v>0</v>
      </c>
      <c r="J172" s="17">
        <v>0</v>
      </c>
      <c r="K172" s="14">
        <v>1000000</v>
      </c>
      <c r="L172" s="14">
        <v>70000000</v>
      </c>
      <c r="M172" s="18">
        <f t="shared" si="22"/>
        <v>4.7415836889521104E-3</v>
      </c>
      <c r="N172" s="20">
        <f t="shared" si="23"/>
        <v>0</v>
      </c>
    </row>
    <row r="173" spans="2:14" x14ac:dyDescent="0.25">
      <c r="B173" s="12" t="s">
        <v>498</v>
      </c>
      <c r="C173" s="13">
        <v>126</v>
      </c>
      <c r="D173" s="13">
        <v>127</v>
      </c>
      <c r="E173" s="14">
        <f t="shared" si="25"/>
        <v>12572</v>
      </c>
      <c r="F173" s="14">
        <f t="shared" si="24"/>
        <v>12671</v>
      </c>
      <c r="G173" s="15">
        <f t="shared" si="21"/>
        <v>100</v>
      </c>
      <c r="H173" s="16" t="str">
        <f t="shared" si="28"/>
        <v>C</v>
      </c>
      <c r="I173" s="17">
        <v>0</v>
      </c>
      <c r="J173" s="17">
        <v>0</v>
      </c>
      <c r="K173" s="14">
        <v>1000000</v>
      </c>
      <c r="L173" s="14">
        <v>100000000</v>
      </c>
      <c r="M173" s="18">
        <f t="shared" si="22"/>
        <v>6.7736909842173003E-3</v>
      </c>
      <c r="N173" s="20">
        <f t="shared" si="23"/>
        <v>0</v>
      </c>
    </row>
    <row r="174" spans="2:14" x14ac:dyDescent="0.25">
      <c r="B174" s="12" t="s">
        <v>522</v>
      </c>
      <c r="C174" s="13">
        <v>127</v>
      </c>
      <c r="D174" s="13">
        <v>129</v>
      </c>
      <c r="E174" s="14">
        <f t="shared" si="25"/>
        <v>12672</v>
      </c>
      <c r="F174" s="14">
        <f t="shared" si="24"/>
        <v>12871</v>
      </c>
      <c r="G174" s="15">
        <f t="shared" si="21"/>
        <v>200</v>
      </c>
      <c r="H174" s="16" t="s">
        <v>524</v>
      </c>
      <c r="I174" s="17">
        <v>0</v>
      </c>
      <c r="J174" s="17">
        <v>0</v>
      </c>
      <c r="K174" s="14">
        <v>1000000</v>
      </c>
      <c r="L174" s="14">
        <v>200000000</v>
      </c>
      <c r="M174" s="18">
        <f t="shared" si="22"/>
        <v>1.3547381968434601E-2</v>
      </c>
      <c r="N174" s="20">
        <f t="shared" si="23"/>
        <v>0</v>
      </c>
    </row>
    <row r="175" spans="2:14" x14ac:dyDescent="0.25">
      <c r="B175" s="12" t="s">
        <v>370</v>
      </c>
      <c r="C175" s="13">
        <v>129</v>
      </c>
      <c r="D175" s="13">
        <v>129</v>
      </c>
      <c r="E175" s="14">
        <f t="shared" si="25"/>
        <v>12872</v>
      </c>
      <c r="F175" s="14">
        <f t="shared" si="24"/>
        <v>12883</v>
      </c>
      <c r="G175" s="15">
        <f t="shared" si="21"/>
        <v>12</v>
      </c>
      <c r="H175" s="16" t="s">
        <v>524</v>
      </c>
      <c r="I175" s="17">
        <v>0</v>
      </c>
      <c r="J175" s="17">
        <v>0</v>
      </c>
      <c r="K175" s="14">
        <v>1000000</v>
      </c>
      <c r="L175" s="14">
        <v>12000000</v>
      </c>
      <c r="M175" s="18">
        <f t="shared" si="22"/>
        <v>8.1284291810607601E-4</v>
      </c>
      <c r="N175" s="20">
        <f t="shared" si="23"/>
        <v>0</v>
      </c>
    </row>
    <row r="176" spans="2:14" x14ac:dyDescent="0.25">
      <c r="B176" s="12" t="s">
        <v>525</v>
      </c>
      <c r="C176" s="13">
        <v>129</v>
      </c>
      <c r="D176" s="13">
        <v>130</v>
      </c>
      <c r="E176" s="14">
        <f t="shared" si="25"/>
        <v>12884</v>
      </c>
      <c r="F176" s="14">
        <f t="shared" si="24"/>
        <v>12983</v>
      </c>
      <c r="G176" s="15">
        <f t="shared" si="21"/>
        <v>100</v>
      </c>
      <c r="H176" s="16" t="s">
        <v>524</v>
      </c>
      <c r="I176" s="17">
        <v>0</v>
      </c>
      <c r="J176" s="17">
        <v>0</v>
      </c>
      <c r="K176" s="14">
        <v>1000000</v>
      </c>
      <c r="L176" s="14">
        <v>100000000</v>
      </c>
      <c r="M176" s="18">
        <f t="shared" si="22"/>
        <v>6.7736909842173003E-3</v>
      </c>
      <c r="N176" s="20">
        <f t="shared" si="23"/>
        <v>0</v>
      </c>
    </row>
    <row r="177" spans="2:14" x14ac:dyDescent="0.25">
      <c r="B177" s="12" t="s">
        <v>508</v>
      </c>
      <c r="C177" s="13">
        <v>130</v>
      </c>
      <c r="D177" s="13">
        <v>131</v>
      </c>
      <c r="E177" s="14">
        <f t="shared" si="25"/>
        <v>12984</v>
      </c>
      <c r="F177" s="14">
        <f t="shared" si="24"/>
        <v>13003</v>
      </c>
      <c r="G177" s="15">
        <f t="shared" si="21"/>
        <v>20</v>
      </c>
      <c r="H177" s="16" t="str">
        <f>+H173</f>
        <v>C</v>
      </c>
      <c r="I177" s="17">
        <v>0</v>
      </c>
      <c r="J177" s="17">
        <v>0</v>
      </c>
      <c r="K177" s="14">
        <v>1000000</v>
      </c>
      <c r="L177" s="14">
        <v>20000000</v>
      </c>
      <c r="M177" s="18">
        <f t="shared" si="22"/>
        <v>1.35473819684346E-3</v>
      </c>
      <c r="N177" s="20">
        <f t="shared" si="23"/>
        <v>0</v>
      </c>
    </row>
    <row r="178" spans="2:14" x14ac:dyDescent="0.25">
      <c r="B178" s="12" t="s">
        <v>494</v>
      </c>
      <c r="C178" s="13">
        <v>131</v>
      </c>
      <c r="D178" s="13">
        <v>131</v>
      </c>
      <c r="E178" s="14">
        <f t="shared" si="25"/>
        <v>13004</v>
      </c>
      <c r="F178" s="14">
        <f t="shared" si="24"/>
        <v>13022</v>
      </c>
      <c r="G178" s="15">
        <f t="shared" si="21"/>
        <v>19</v>
      </c>
      <c r="H178" s="16" t="str">
        <f t="shared" ref="H178:H184" si="29">+H177</f>
        <v>C</v>
      </c>
      <c r="I178" s="17">
        <v>0</v>
      </c>
      <c r="J178" s="17">
        <v>0</v>
      </c>
      <c r="K178" s="14">
        <v>1000000</v>
      </c>
      <c r="L178" s="14">
        <v>19000000</v>
      </c>
      <c r="M178" s="18">
        <f t="shared" si="22"/>
        <v>1.287001287001287E-3</v>
      </c>
      <c r="N178" s="20">
        <f t="shared" si="23"/>
        <v>0</v>
      </c>
    </row>
    <row r="179" spans="2:14" x14ac:dyDescent="0.25">
      <c r="B179" s="12" t="s">
        <v>495</v>
      </c>
      <c r="C179" s="13">
        <v>131</v>
      </c>
      <c r="D179" s="13">
        <v>132</v>
      </c>
      <c r="E179" s="14">
        <f t="shared" si="25"/>
        <v>13023</v>
      </c>
      <c r="F179" s="14">
        <f t="shared" si="24"/>
        <v>13172</v>
      </c>
      <c r="G179" s="15">
        <f t="shared" si="21"/>
        <v>150</v>
      </c>
      <c r="H179" s="16" t="str">
        <f t="shared" si="29"/>
        <v>C</v>
      </c>
      <c r="I179" s="17">
        <v>0</v>
      </c>
      <c r="J179" s="17">
        <v>0</v>
      </c>
      <c r="K179" s="14">
        <v>1000000</v>
      </c>
      <c r="L179" s="14">
        <v>150000000</v>
      </c>
      <c r="M179" s="18">
        <f t="shared" si="22"/>
        <v>1.016053647632595E-2</v>
      </c>
      <c r="N179" s="20">
        <f t="shared" si="23"/>
        <v>0</v>
      </c>
    </row>
    <row r="180" spans="2:14" x14ac:dyDescent="0.25">
      <c r="B180" s="12" t="s">
        <v>47</v>
      </c>
      <c r="C180" s="13">
        <v>132</v>
      </c>
      <c r="D180" s="13">
        <v>132</v>
      </c>
      <c r="E180" s="14">
        <f t="shared" si="25"/>
        <v>13173</v>
      </c>
      <c r="F180" s="14">
        <f t="shared" si="24"/>
        <v>13197</v>
      </c>
      <c r="G180" s="15">
        <f t="shared" si="21"/>
        <v>25</v>
      </c>
      <c r="H180" s="16" t="str">
        <f t="shared" si="29"/>
        <v>C</v>
      </c>
      <c r="I180" s="17">
        <v>0</v>
      </c>
      <c r="J180" s="17">
        <v>0</v>
      </c>
      <c r="K180" s="14">
        <v>1000000</v>
      </c>
      <c r="L180" s="14">
        <v>25000000</v>
      </c>
      <c r="M180" s="18">
        <f t="shared" si="22"/>
        <v>1.6934227460543251E-3</v>
      </c>
      <c r="N180" s="20">
        <f t="shared" si="23"/>
        <v>0</v>
      </c>
    </row>
    <row r="181" spans="2:14" x14ac:dyDescent="0.25">
      <c r="B181" s="12" t="s">
        <v>505</v>
      </c>
      <c r="C181" s="13">
        <v>132</v>
      </c>
      <c r="D181" s="13">
        <v>133</v>
      </c>
      <c r="E181" s="14">
        <f t="shared" si="25"/>
        <v>13198</v>
      </c>
      <c r="F181" s="14">
        <f t="shared" si="24"/>
        <v>13262</v>
      </c>
      <c r="G181" s="15">
        <f t="shared" si="21"/>
        <v>65</v>
      </c>
      <c r="H181" s="16" t="str">
        <f t="shared" si="29"/>
        <v>C</v>
      </c>
      <c r="I181" s="17">
        <v>0</v>
      </c>
      <c r="J181" s="17">
        <v>0</v>
      </c>
      <c r="K181" s="14">
        <v>1000000</v>
      </c>
      <c r="L181" s="14">
        <v>65000000</v>
      </c>
      <c r="M181" s="18">
        <f t="shared" si="22"/>
        <v>4.4028991397412447E-3</v>
      </c>
      <c r="N181" s="20">
        <f t="shared" si="23"/>
        <v>0</v>
      </c>
    </row>
    <row r="182" spans="2:14" x14ac:dyDescent="0.25">
      <c r="B182" s="12" t="s">
        <v>505</v>
      </c>
      <c r="C182" s="13">
        <v>133</v>
      </c>
      <c r="D182" s="13">
        <v>134</v>
      </c>
      <c r="E182" s="14">
        <f t="shared" si="25"/>
        <v>13263</v>
      </c>
      <c r="F182" s="14">
        <f t="shared" si="24"/>
        <v>13349</v>
      </c>
      <c r="G182" s="15">
        <f t="shared" si="21"/>
        <v>87</v>
      </c>
      <c r="H182" s="16" t="str">
        <f t="shared" si="29"/>
        <v>C</v>
      </c>
      <c r="I182" s="17">
        <v>0</v>
      </c>
      <c r="J182" s="17">
        <v>0</v>
      </c>
      <c r="K182" s="14">
        <v>1000000</v>
      </c>
      <c r="L182" s="14">
        <v>87000000</v>
      </c>
      <c r="M182" s="18">
        <f t="shared" si="22"/>
        <v>5.893111156269051E-3</v>
      </c>
      <c r="N182" s="20">
        <f t="shared" si="23"/>
        <v>0</v>
      </c>
    </row>
    <row r="183" spans="2:14" x14ac:dyDescent="0.25">
      <c r="B183" s="12" t="s">
        <v>505</v>
      </c>
      <c r="C183" s="13">
        <v>134</v>
      </c>
      <c r="D183" s="13">
        <v>136</v>
      </c>
      <c r="E183" s="14">
        <f t="shared" si="25"/>
        <v>13350</v>
      </c>
      <c r="F183" s="14">
        <f t="shared" si="24"/>
        <v>13515</v>
      </c>
      <c r="G183" s="15">
        <f t="shared" si="21"/>
        <v>166</v>
      </c>
      <c r="H183" s="16" t="str">
        <f t="shared" si="29"/>
        <v>C</v>
      </c>
      <c r="I183" s="17">
        <v>0</v>
      </c>
      <c r="J183" s="17">
        <v>0</v>
      </c>
      <c r="K183" s="14">
        <v>1000000</v>
      </c>
      <c r="L183" s="14">
        <v>166000000</v>
      </c>
      <c r="M183" s="18">
        <f t="shared" si="22"/>
        <v>1.1244327033800718E-2</v>
      </c>
      <c r="N183" s="20">
        <f t="shared" si="23"/>
        <v>0</v>
      </c>
    </row>
    <row r="184" spans="2:14" x14ac:dyDescent="0.25">
      <c r="B184" s="12" t="s">
        <v>505</v>
      </c>
      <c r="C184" s="13">
        <v>136</v>
      </c>
      <c r="D184" s="13">
        <v>137</v>
      </c>
      <c r="E184" s="14">
        <f t="shared" si="25"/>
        <v>13516</v>
      </c>
      <c r="F184" s="14">
        <f t="shared" si="24"/>
        <v>13605</v>
      </c>
      <c r="G184" s="15">
        <f t="shared" si="21"/>
        <v>90</v>
      </c>
      <c r="H184" s="16" t="str">
        <f t="shared" si="29"/>
        <v>C</v>
      </c>
      <c r="I184" s="17">
        <v>0</v>
      </c>
      <c r="J184" s="17">
        <v>0</v>
      </c>
      <c r="K184" s="14">
        <v>1000000</v>
      </c>
      <c r="L184" s="14">
        <v>90000000</v>
      </c>
      <c r="M184" s="18">
        <f t="shared" si="22"/>
        <v>6.0963218857955697E-3</v>
      </c>
      <c r="N184" s="20">
        <f t="shared" si="23"/>
        <v>0</v>
      </c>
    </row>
    <row r="185" spans="2:14" x14ac:dyDescent="0.25">
      <c r="B185" s="12" t="s">
        <v>526</v>
      </c>
      <c r="C185" s="13">
        <v>137</v>
      </c>
      <c r="D185" s="13">
        <v>137</v>
      </c>
      <c r="E185" s="14">
        <f t="shared" si="25"/>
        <v>13606</v>
      </c>
      <c r="F185" s="14">
        <f t="shared" si="24"/>
        <v>13617</v>
      </c>
      <c r="G185" s="15">
        <f t="shared" si="21"/>
        <v>12</v>
      </c>
      <c r="H185" s="16" t="str">
        <f>+H183</f>
        <v>C</v>
      </c>
      <c r="I185" s="17">
        <v>0</v>
      </c>
      <c r="J185" s="17">
        <v>0</v>
      </c>
      <c r="K185" s="14">
        <v>1000000</v>
      </c>
      <c r="L185" s="14">
        <v>12000000</v>
      </c>
      <c r="M185" s="18">
        <f t="shared" si="22"/>
        <v>8.1284291810607601E-4</v>
      </c>
      <c r="N185" s="20">
        <f t="shared" si="23"/>
        <v>0</v>
      </c>
    </row>
    <row r="186" spans="2:14" x14ac:dyDescent="0.25">
      <c r="B186" s="12" t="s">
        <v>494</v>
      </c>
      <c r="C186" s="13">
        <v>137</v>
      </c>
      <c r="D186" s="13">
        <v>137</v>
      </c>
      <c r="E186" s="14">
        <f t="shared" si="25"/>
        <v>13618</v>
      </c>
      <c r="F186" s="14">
        <f t="shared" si="24"/>
        <v>13623</v>
      </c>
      <c r="G186" s="15">
        <f t="shared" si="21"/>
        <v>6</v>
      </c>
      <c r="H186" s="16" t="str">
        <f>+H184</f>
        <v>C</v>
      </c>
      <c r="I186" s="17">
        <v>0</v>
      </c>
      <c r="J186" s="17">
        <v>0</v>
      </c>
      <c r="K186" s="14">
        <v>1000000</v>
      </c>
      <c r="L186" s="14">
        <v>6000000</v>
      </c>
      <c r="M186" s="18">
        <f t="shared" si="22"/>
        <v>4.06421459053038E-4</v>
      </c>
      <c r="N186" s="20">
        <f t="shared" si="23"/>
        <v>0</v>
      </c>
    </row>
    <row r="187" spans="2:14" x14ac:dyDescent="0.25">
      <c r="B187" s="12" t="s">
        <v>507</v>
      </c>
      <c r="C187" s="13">
        <v>137</v>
      </c>
      <c r="D187" s="13">
        <v>138</v>
      </c>
      <c r="E187" s="14">
        <f t="shared" si="25"/>
        <v>13624</v>
      </c>
      <c r="F187" s="14">
        <f t="shared" si="24"/>
        <v>13703</v>
      </c>
      <c r="G187" s="15">
        <f t="shared" si="21"/>
        <v>80</v>
      </c>
      <c r="H187" s="16" t="str">
        <f>+H185</f>
        <v>C</v>
      </c>
      <c r="I187" s="17">
        <v>0</v>
      </c>
      <c r="J187" s="17">
        <v>0</v>
      </c>
      <c r="K187" s="14">
        <v>1000000</v>
      </c>
      <c r="L187" s="14">
        <v>80000000</v>
      </c>
      <c r="M187" s="18">
        <f t="shared" si="22"/>
        <v>5.4189527873738401E-3</v>
      </c>
      <c r="N187" s="20">
        <f t="shared" si="23"/>
        <v>0</v>
      </c>
    </row>
    <row r="188" spans="2:14" x14ac:dyDescent="0.25">
      <c r="B188" s="12" t="s">
        <v>353</v>
      </c>
      <c r="C188" s="13">
        <v>138</v>
      </c>
      <c r="D188" s="13">
        <v>138</v>
      </c>
      <c r="E188" s="14">
        <f t="shared" si="25"/>
        <v>13704</v>
      </c>
      <c r="F188" s="14">
        <f t="shared" si="24"/>
        <v>13713</v>
      </c>
      <c r="G188" s="15">
        <f t="shared" si="21"/>
        <v>10</v>
      </c>
      <c r="H188" s="16" t="str">
        <f>+H186</f>
        <v>C</v>
      </c>
      <c r="I188" s="17">
        <v>0</v>
      </c>
      <c r="J188" s="17">
        <v>0</v>
      </c>
      <c r="K188" s="14">
        <v>1000000</v>
      </c>
      <c r="L188" s="14">
        <v>10000000</v>
      </c>
      <c r="M188" s="18">
        <f t="shared" si="22"/>
        <v>6.7736909842173001E-4</v>
      </c>
      <c r="N188" s="20">
        <f t="shared" si="23"/>
        <v>0</v>
      </c>
    </row>
    <row r="189" spans="2:14" x14ac:dyDescent="0.25">
      <c r="B189" s="12" t="s">
        <v>513</v>
      </c>
      <c r="C189" s="13">
        <v>138</v>
      </c>
      <c r="D189" s="13">
        <v>138</v>
      </c>
      <c r="E189" s="14">
        <f t="shared" ref="E189" si="30">+F188+1</f>
        <v>13714</v>
      </c>
      <c r="F189" s="14">
        <f t="shared" ref="F189" si="31">+((E189)+(L189/K189))-1</f>
        <v>13763</v>
      </c>
      <c r="G189" s="15">
        <f t="shared" ref="G189" si="32">+F189-E189+1</f>
        <v>50</v>
      </c>
      <c r="H189" s="16" t="str">
        <f>+H187</f>
        <v>C</v>
      </c>
      <c r="I189" s="17">
        <v>0</v>
      </c>
      <c r="J189" s="17">
        <v>0</v>
      </c>
      <c r="K189" s="14">
        <v>1000000</v>
      </c>
      <c r="L189" s="14">
        <v>50000000</v>
      </c>
      <c r="M189" s="18">
        <f t="shared" si="22"/>
        <v>3.3868454921086501E-3</v>
      </c>
      <c r="N189" s="20">
        <f t="shared" si="23"/>
        <v>0</v>
      </c>
    </row>
    <row r="190" spans="2:14" x14ac:dyDescent="0.25">
      <c r="B190" s="12" t="s">
        <v>47</v>
      </c>
      <c r="C190" s="13">
        <v>141</v>
      </c>
      <c r="D190" s="13">
        <v>142</v>
      </c>
      <c r="E190" s="14">
        <v>14001</v>
      </c>
      <c r="F190" s="14">
        <f t="shared" si="24"/>
        <v>14125</v>
      </c>
      <c r="G190" s="15">
        <f t="shared" si="21"/>
        <v>125</v>
      </c>
      <c r="H190" s="16" t="s">
        <v>76</v>
      </c>
      <c r="I190" s="16">
        <v>5</v>
      </c>
      <c r="J190" s="17">
        <f t="shared" ref="J190:J214" si="33">+I190*G190</f>
        <v>625</v>
      </c>
      <c r="K190" s="14">
        <v>1000000</v>
      </c>
      <c r="L190" s="14">
        <v>125000000</v>
      </c>
      <c r="M190" s="18">
        <f t="shared" si="22"/>
        <v>8.4671137302716245E-3</v>
      </c>
      <c r="N190" s="19">
        <f t="shared" si="23"/>
        <v>2.3148148148148147E-2</v>
      </c>
    </row>
    <row r="191" spans="2:14" x14ac:dyDescent="0.25">
      <c r="B191" s="12" t="s">
        <v>43</v>
      </c>
      <c r="C191" s="13">
        <v>146</v>
      </c>
      <c r="D191" s="13">
        <v>147</v>
      </c>
      <c r="E191" s="14">
        <v>14501</v>
      </c>
      <c r="F191" s="14">
        <f t="shared" si="24"/>
        <v>14625</v>
      </c>
      <c r="G191" s="15">
        <f t="shared" si="21"/>
        <v>125</v>
      </c>
      <c r="H191" s="16" t="s">
        <v>76</v>
      </c>
      <c r="I191" s="16">
        <v>5</v>
      </c>
      <c r="J191" s="17">
        <f t="shared" si="33"/>
        <v>625</v>
      </c>
      <c r="K191" s="14">
        <v>1000000</v>
      </c>
      <c r="L191" s="14">
        <v>125000000</v>
      </c>
      <c r="M191" s="18">
        <f t="shared" si="22"/>
        <v>8.4671137302716245E-3</v>
      </c>
      <c r="N191" s="19">
        <f t="shared" si="23"/>
        <v>2.3148148148148147E-2</v>
      </c>
    </row>
    <row r="192" spans="2:14" x14ac:dyDescent="0.25">
      <c r="B192" s="12" t="s">
        <v>45</v>
      </c>
      <c r="C192" s="13">
        <v>151</v>
      </c>
      <c r="D192" s="13">
        <v>152</v>
      </c>
      <c r="E192" s="14">
        <v>15001</v>
      </c>
      <c r="F192" s="14">
        <f t="shared" si="24"/>
        <v>15125</v>
      </c>
      <c r="G192" s="15">
        <f t="shared" si="21"/>
        <v>125</v>
      </c>
      <c r="H192" s="16" t="s">
        <v>76</v>
      </c>
      <c r="I192" s="16">
        <v>5</v>
      </c>
      <c r="J192" s="17">
        <f t="shared" si="33"/>
        <v>625</v>
      </c>
      <c r="K192" s="14">
        <v>1000000</v>
      </c>
      <c r="L192" s="14">
        <v>125000000</v>
      </c>
      <c r="M192" s="18">
        <f t="shared" si="22"/>
        <v>8.4671137302716245E-3</v>
      </c>
      <c r="N192" s="19">
        <f t="shared" si="23"/>
        <v>2.3148148148148147E-2</v>
      </c>
    </row>
    <row r="193" spans="2:14" x14ac:dyDescent="0.25">
      <c r="B193" s="12" t="s">
        <v>494</v>
      </c>
      <c r="C193" s="13">
        <v>156</v>
      </c>
      <c r="D193" s="13">
        <v>157</v>
      </c>
      <c r="E193" s="14">
        <v>15501</v>
      </c>
      <c r="F193" s="14">
        <f t="shared" si="24"/>
        <v>15625</v>
      </c>
      <c r="G193" s="15">
        <f t="shared" si="21"/>
        <v>125</v>
      </c>
      <c r="H193" s="16" t="s">
        <v>76</v>
      </c>
      <c r="I193" s="21">
        <v>5</v>
      </c>
      <c r="J193" s="17">
        <f t="shared" si="33"/>
        <v>625</v>
      </c>
      <c r="K193" s="14">
        <v>1000000</v>
      </c>
      <c r="L193" s="14">
        <v>125000000</v>
      </c>
      <c r="M193" s="18">
        <f t="shared" si="22"/>
        <v>8.4671137302716245E-3</v>
      </c>
      <c r="N193" s="19">
        <f t="shared" si="23"/>
        <v>2.3148148148148147E-2</v>
      </c>
    </row>
    <row r="194" spans="2:14" x14ac:dyDescent="0.25">
      <c r="B194" s="12" t="s">
        <v>504</v>
      </c>
      <c r="C194" s="13">
        <v>161</v>
      </c>
      <c r="D194" s="13">
        <v>161</v>
      </c>
      <c r="E194" s="14">
        <v>16001</v>
      </c>
      <c r="F194" s="14">
        <f t="shared" si="24"/>
        <v>16063</v>
      </c>
      <c r="G194" s="15">
        <f t="shared" si="21"/>
        <v>63</v>
      </c>
      <c r="H194" s="16" t="s">
        <v>77</v>
      </c>
      <c r="I194" s="21">
        <v>1</v>
      </c>
      <c r="J194" s="17">
        <f t="shared" si="33"/>
        <v>63</v>
      </c>
      <c r="K194" s="14">
        <v>1000000</v>
      </c>
      <c r="L194" s="14">
        <v>63000000</v>
      </c>
      <c r="M194" s="18">
        <f t="shared" si="22"/>
        <v>4.2674253200568994E-3</v>
      </c>
      <c r="N194" s="19">
        <f t="shared" si="23"/>
        <v>2.3333333333333335E-3</v>
      </c>
    </row>
    <row r="195" spans="2:14" x14ac:dyDescent="0.25">
      <c r="B195" s="12" t="s">
        <v>506</v>
      </c>
      <c r="C195" s="13">
        <v>161</v>
      </c>
      <c r="D195" s="13">
        <v>161</v>
      </c>
      <c r="E195" s="14">
        <f>+F194+1</f>
        <v>16064</v>
      </c>
      <c r="F195" s="14">
        <f t="shared" si="24"/>
        <v>16066</v>
      </c>
      <c r="G195" s="15">
        <f t="shared" si="21"/>
        <v>3</v>
      </c>
      <c r="H195" s="16" t="s">
        <v>77</v>
      </c>
      <c r="I195" s="21">
        <v>1</v>
      </c>
      <c r="J195" s="17">
        <f t="shared" si="33"/>
        <v>3</v>
      </c>
      <c r="K195" s="14">
        <v>1000000</v>
      </c>
      <c r="L195" s="14">
        <v>3000000</v>
      </c>
      <c r="M195" s="18">
        <f t="shared" si="22"/>
        <v>2.03210729526519E-4</v>
      </c>
      <c r="N195" s="19">
        <f t="shared" si="23"/>
        <v>1.1111111111111112E-4</v>
      </c>
    </row>
    <row r="196" spans="2:14" x14ac:dyDescent="0.25">
      <c r="B196" s="12" t="s">
        <v>45</v>
      </c>
      <c r="C196" s="13">
        <v>161</v>
      </c>
      <c r="D196" s="13">
        <v>162</v>
      </c>
      <c r="E196" s="14">
        <f t="shared" ref="E196:E214" si="34">+F195+1</f>
        <v>16067</v>
      </c>
      <c r="F196" s="14">
        <f t="shared" si="24"/>
        <v>16115</v>
      </c>
      <c r="G196" s="15">
        <f t="shared" si="21"/>
        <v>49</v>
      </c>
      <c r="H196" s="16" t="s">
        <v>77</v>
      </c>
      <c r="I196" s="21">
        <v>1</v>
      </c>
      <c r="J196" s="17">
        <f t="shared" si="33"/>
        <v>49</v>
      </c>
      <c r="K196" s="14">
        <v>1000000</v>
      </c>
      <c r="L196" s="14">
        <v>49000000</v>
      </c>
      <c r="M196" s="18">
        <f t="shared" si="22"/>
        <v>3.3191085822664771E-3</v>
      </c>
      <c r="N196" s="19">
        <f t="shared" si="23"/>
        <v>1.8148148148148149E-3</v>
      </c>
    </row>
    <row r="197" spans="2:14" x14ac:dyDescent="0.25">
      <c r="B197" s="12" t="s">
        <v>43</v>
      </c>
      <c r="C197" s="13">
        <v>162</v>
      </c>
      <c r="D197" s="13">
        <v>162</v>
      </c>
      <c r="E197" s="14">
        <f t="shared" si="34"/>
        <v>16116</v>
      </c>
      <c r="F197" s="14">
        <f t="shared" si="24"/>
        <v>16164</v>
      </c>
      <c r="G197" s="15">
        <f t="shared" si="21"/>
        <v>49</v>
      </c>
      <c r="H197" s="16" t="s">
        <v>77</v>
      </c>
      <c r="I197" s="21">
        <v>1</v>
      </c>
      <c r="J197" s="17">
        <f t="shared" si="33"/>
        <v>49</v>
      </c>
      <c r="K197" s="14">
        <v>1000000</v>
      </c>
      <c r="L197" s="14">
        <v>49000000</v>
      </c>
      <c r="M197" s="18">
        <f t="shared" si="22"/>
        <v>3.3191085822664771E-3</v>
      </c>
      <c r="N197" s="19">
        <f t="shared" si="23"/>
        <v>1.8148148148148149E-3</v>
      </c>
    </row>
    <row r="198" spans="2:14" x14ac:dyDescent="0.25">
      <c r="B198" s="12" t="s">
        <v>499</v>
      </c>
      <c r="C198" s="13">
        <v>162</v>
      </c>
      <c r="D198" s="13">
        <v>162</v>
      </c>
      <c r="E198" s="14">
        <f t="shared" si="34"/>
        <v>16165</v>
      </c>
      <c r="F198" s="14">
        <f t="shared" si="24"/>
        <v>16187</v>
      </c>
      <c r="G198" s="15">
        <f t="shared" si="21"/>
        <v>23</v>
      </c>
      <c r="H198" s="16" t="s">
        <v>77</v>
      </c>
      <c r="I198" s="21">
        <v>1</v>
      </c>
      <c r="J198" s="17">
        <f t="shared" si="33"/>
        <v>23</v>
      </c>
      <c r="K198" s="14">
        <v>1000000</v>
      </c>
      <c r="L198" s="14">
        <v>23000000</v>
      </c>
      <c r="M198" s="18">
        <f t="shared" si="22"/>
        <v>1.557948926369979E-3</v>
      </c>
      <c r="N198" s="19">
        <f t="shared" si="23"/>
        <v>8.518518518518519E-4</v>
      </c>
    </row>
    <row r="199" spans="2:14" x14ac:dyDescent="0.25">
      <c r="B199" s="12" t="s">
        <v>510</v>
      </c>
      <c r="C199" s="13">
        <v>162</v>
      </c>
      <c r="D199" s="13">
        <v>162</v>
      </c>
      <c r="E199" s="14">
        <f t="shared" si="34"/>
        <v>16188</v>
      </c>
      <c r="F199" s="14">
        <f t="shared" si="24"/>
        <v>16193</v>
      </c>
      <c r="G199" s="15">
        <f t="shared" si="21"/>
        <v>6</v>
      </c>
      <c r="H199" s="16" t="s">
        <v>77</v>
      </c>
      <c r="I199" s="21">
        <v>1</v>
      </c>
      <c r="J199" s="17">
        <f t="shared" si="33"/>
        <v>6</v>
      </c>
      <c r="K199" s="14">
        <v>1000000</v>
      </c>
      <c r="L199" s="14">
        <v>6000000</v>
      </c>
      <c r="M199" s="18">
        <f t="shared" si="22"/>
        <v>4.06421459053038E-4</v>
      </c>
      <c r="N199" s="19">
        <f t="shared" si="23"/>
        <v>2.2222222222222223E-4</v>
      </c>
    </row>
    <row r="200" spans="2:14" x14ac:dyDescent="0.25">
      <c r="B200" s="12" t="s">
        <v>502</v>
      </c>
      <c r="C200" s="13">
        <v>162</v>
      </c>
      <c r="D200" s="13">
        <v>163</v>
      </c>
      <c r="E200" s="14">
        <f t="shared" si="34"/>
        <v>16194</v>
      </c>
      <c r="F200" s="14">
        <f t="shared" si="24"/>
        <v>16207</v>
      </c>
      <c r="G200" s="15">
        <f t="shared" si="21"/>
        <v>14</v>
      </c>
      <c r="H200" s="16" t="s">
        <v>77</v>
      </c>
      <c r="I200" s="21">
        <v>1</v>
      </c>
      <c r="J200" s="17">
        <f t="shared" si="33"/>
        <v>14</v>
      </c>
      <c r="K200" s="14">
        <v>1000000</v>
      </c>
      <c r="L200" s="14">
        <v>14000000</v>
      </c>
      <c r="M200" s="18">
        <f t="shared" si="22"/>
        <v>9.4831673779042201E-4</v>
      </c>
      <c r="N200" s="19">
        <f t="shared" si="23"/>
        <v>5.1851851851851853E-4</v>
      </c>
    </row>
    <row r="201" spans="2:14" x14ac:dyDescent="0.25">
      <c r="B201" s="12" t="s">
        <v>47</v>
      </c>
      <c r="C201" s="13">
        <v>163</v>
      </c>
      <c r="D201" s="13">
        <v>163</v>
      </c>
      <c r="E201" s="14">
        <f t="shared" si="34"/>
        <v>16208</v>
      </c>
      <c r="F201" s="14">
        <f t="shared" si="24"/>
        <v>16256</v>
      </c>
      <c r="G201" s="15">
        <f t="shared" si="21"/>
        <v>49</v>
      </c>
      <c r="H201" s="16" t="s">
        <v>77</v>
      </c>
      <c r="I201" s="21">
        <v>1</v>
      </c>
      <c r="J201" s="17">
        <f t="shared" si="33"/>
        <v>49</v>
      </c>
      <c r="K201" s="14">
        <v>1000000</v>
      </c>
      <c r="L201" s="14">
        <v>49000000</v>
      </c>
      <c r="M201" s="18">
        <f t="shared" ref="M201:M216" si="35">+L201/$L$218</f>
        <v>3.3191085822664771E-3</v>
      </c>
      <c r="N201" s="19">
        <f t="shared" ref="N201:N216" si="36">+J201/$J$218</f>
        <v>1.8148148148148149E-3</v>
      </c>
    </row>
    <row r="202" spans="2:14" x14ac:dyDescent="0.25">
      <c r="B202" s="12" t="s">
        <v>500</v>
      </c>
      <c r="C202" s="13">
        <v>163</v>
      </c>
      <c r="D202" s="13">
        <v>163</v>
      </c>
      <c r="E202" s="14">
        <f t="shared" si="34"/>
        <v>16257</v>
      </c>
      <c r="F202" s="14">
        <f t="shared" si="24"/>
        <v>16271</v>
      </c>
      <c r="G202" s="15">
        <f t="shared" ref="G202:G214" si="37">+F202-E202+1</f>
        <v>15</v>
      </c>
      <c r="H202" s="16" t="s">
        <v>77</v>
      </c>
      <c r="I202" s="21">
        <v>1</v>
      </c>
      <c r="J202" s="17">
        <f t="shared" si="33"/>
        <v>15</v>
      </c>
      <c r="K202" s="14">
        <v>1000000</v>
      </c>
      <c r="L202" s="14">
        <v>15000000</v>
      </c>
      <c r="M202" s="18">
        <f t="shared" si="35"/>
        <v>1.016053647632595E-3</v>
      </c>
      <c r="N202" s="19">
        <f t="shared" si="36"/>
        <v>5.5555555555555556E-4</v>
      </c>
    </row>
    <row r="203" spans="2:14" x14ac:dyDescent="0.25">
      <c r="B203" s="12" t="s">
        <v>495</v>
      </c>
      <c r="C203" s="13">
        <v>163</v>
      </c>
      <c r="D203" s="13">
        <v>163</v>
      </c>
      <c r="E203" s="14">
        <f t="shared" si="34"/>
        <v>16272</v>
      </c>
      <c r="F203" s="14">
        <f t="shared" ref="F203:F214" si="38">+((E203)+(L203/K203))-1</f>
        <v>16287</v>
      </c>
      <c r="G203" s="15">
        <f t="shared" si="37"/>
        <v>16</v>
      </c>
      <c r="H203" s="16" t="s">
        <v>77</v>
      </c>
      <c r="I203" s="21">
        <v>1</v>
      </c>
      <c r="J203" s="17">
        <f t="shared" si="33"/>
        <v>16</v>
      </c>
      <c r="K203" s="14">
        <v>1000000</v>
      </c>
      <c r="L203" s="14">
        <v>16000000</v>
      </c>
      <c r="M203" s="18">
        <f t="shared" si="35"/>
        <v>1.083790557474768E-3</v>
      </c>
      <c r="N203" s="19">
        <f t="shared" si="36"/>
        <v>5.9259259259259258E-4</v>
      </c>
    </row>
    <row r="204" spans="2:14" x14ac:dyDescent="0.25">
      <c r="B204" s="12" t="s">
        <v>498</v>
      </c>
      <c r="C204" s="13">
        <v>163</v>
      </c>
      <c r="D204" s="13">
        <v>164</v>
      </c>
      <c r="E204" s="14">
        <f t="shared" si="34"/>
        <v>16288</v>
      </c>
      <c r="F204" s="14">
        <f t="shared" si="38"/>
        <v>16301</v>
      </c>
      <c r="G204" s="15">
        <f t="shared" si="37"/>
        <v>14</v>
      </c>
      <c r="H204" s="16" t="s">
        <v>77</v>
      </c>
      <c r="I204" s="21">
        <v>1</v>
      </c>
      <c r="J204" s="17">
        <f t="shared" si="33"/>
        <v>14</v>
      </c>
      <c r="K204" s="14">
        <v>1000000</v>
      </c>
      <c r="L204" s="14">
        <v>14000000</v>
      </c>
      <c r="M204" s="18">
        <f t="shared" si="35"/>
        <v>9.4831673779042201E-4</v>
      </c>
      <c r="N204" s="19">
        <f t="shared" si="36"/>
        <v>5.1851851851851853E-4</v>
      </c>
    </row>
    <row r="205" spans="2:14" x14ac:dyDescent="0.25">
      <c r="B205" s="12" t="s">
        <v>505</v>
      </c>
      <c r="C205" s="13">
        <v>164</v>
      </c>
      <c r="D205" s="13">
        <v>164</v>
      </c>
      <c r="E205" s="14">
        <f t="shared" si="34"/>
        <v>16302</v>
      </c>
      <c r="F205" s="14">
        <f t="shared" si="38"/>
        <v>16323</v>
      </c>
      <c r="G205" s="15">
        <f t="shared" si="37"/>
        <v>22</v>
      </c>
      <c r="H205" s="16" t="s">
        <v>77</v>
      </c>
      <c r="I205" s="21">
        <v>1</v>
      </c>
      <c r="J205" s="17">
        <f t="shared" si="33"/>
        <v>22</v>
      </c>
      <c r="K205" s="14">
        <v>1000000</v>
      </c>
      <c r="L205" s="14">
        <v>22000000</v>
      </c>
      <c r="M205" s="18">
        <f t="shared" si="35"/>
        <v>1.4902120165278059E-3</v>
      </c>
      <c r="N205" s="19">
        <f t="shared" si="36"/>
        <v>8.1481481481481476E-4</v>
      </c>
    </row>
    <row r="206" spans="2:14" x14ac:dyDescent="0.25">
      <c r="B206" s="12" t="s">
        <v>494</v>
      </c>
      <c r="C206" s="13">
        <v>164</v>
      </c>
      <c r="D206" s="13">
        <v>164</v>
      </c>
      <c r="E206" s="14">
        <f t="shared" si="34"/>
        <v>16324</v>
      </c>
      <c r="F206" s="14">
        <f t="shared" si="38"/>
        <v>16372</v>
      </c>
      <c r="G206" s="15">
        <f t="shared" si="37"/>
        <v>49</v>
      </c>
      <c r="H206" s="16" t="s">
        <v>77</v>
      </c>
      <c r="I206" s="21">
        <v>1</v>
      </c>
      <c r="J206" s="17">
        <f t="shared" si="33"/>
        <v>49</v>
      </c>
      <c r="K206" s="14">
        <v>1000000</v>
      </c>
      <c r="L206" s="14">
        <v>49000000</v>
      </c>
      <c r="M206" s="18">
        <f t="shared" si="35"/>
        <v>3.3191085822664771E-3</v>
      </c>
      <c r="N206" s="19">
        <f t="shared" si="36"/>
        <v>1.8148148148148149E-3</v>
      </c>
    </row>
    <row r="207" spans="2:14" x14ac:dyDescent="0.25">
      <c r="B207" s="12" t="s">
        <v>496</v>
      </c>
      <c r="C207" s="13">
        <v>164</v>
      </c>
      <c r="D207" s="13">
        <v>164</v>
      </c>
      <c r="E207" s="14">
        <f t="shared" si="34"/>
        <v>16373</v>
      </c>
      <c r="F207" s="14">
        <f t="shared" si="38"/>
        <v>16382</v>
      </c>
      <c r="G207" s="15">
        <f t="shared" si="37"/>
        <v>10</v>
      </c>
      <c r="H207" s="16" t="s">
        <v>77</v>
      </c>
      <c r="I207" s="21">
        <v>1</v>
      </c>
      <c r="J207" s="17">
        <f t="shared" si="33"/>
        <v>10</v>
      </c>
      <c r="K207" s="14">
        <v>1000000</v>
      </c>
      <c r="L207" s="14">
        <v>10000000</v>
      </c>
      <c r="M207" s="18">
        <f t="shared" si="35"/>
        <v>6.7736909842173001E-4</v>
      </c>
      <c r="N207" s="19">
        <f t="shared" si="36"/>
        <v>3.7037037037037035E-4</v>
      </c>
    </row>
    <row r="208" spans="2:14" x14ac:dyDescent="0.25">
      <c r="B208" s="12" t="s">
        <v>497</v>
      </c>
      <c r="C208" s="13">
        <v>164</v>
      </c>
      <c r="D208" s="13">
        <v>165</v>
      </c>
      <c r="E208" s="14">
        <f t="shared" si="34"/>
        <v>16383</v>
      </c>
      <c r="F208" s="14">
        <f t="shared" si="38"/>
        <v>16406</v>
      </c>
      <c r="G208" s="15">
        <f t="shared" si="37"/>
        <v>24</v>
      </c>
      <c r="H208" s="16" t="s">
        <v>77</v>
      </c>
      <c r="I208" s="21">
        <v>1</v>
      </c>
      <c r="J208" s="17">
        <f t="shared" si="33"/>
        <v>24</v>
      </c>
      <c r="K208" s="14">
        <v>1000000</v>
      </c>
      <c r="L208" s="14">
        <v>24000000</v>
      </c>
      <c r="M208" s="18">
        <f t="shared" si="35"/>
        <v>1.625685836212152E-3</v>
      </c>
      <c r="N208" s="19">
        <f t="shared" si="36"/>
        <v>8.8888888888888893E-4</v>
      </c>
    </row>
    <row r="209" spans="2:14" x14ac:dyDescent="0.25">
      <c r="B209" s="12" t="s">
        <v>507</v>
      </c>
      <c r="C209" s="13">
        <v>165</v>
      </c>
      <c r="D209" s="13">
        <v>165</v>
      </c>
      <c r="E209" s="14">
        <f t="shared" si="34"/>
        <v>16407</v>
      </c>
      <c r="F209" s="14">
        <f t="shared" si="38"/>
        <v>16410</v>
      </c>
      <c r="G209" s="15">
        <f t="shared" si="37"/>
        <v>4</v>
      </c>
      <c r="H209" s="16" t="s">
        <v>77</v>
      </c>
      <c r="I209" s="21">
        <v>1</v>
      </c>
      <c r="J209" s="17">
        <f t="shared" si="33"/>
        <v>4</v>
      </c>
      <c r="K209" s="14">
        <v>1000000</v>
      </c>
      <c r="L209" s="14">
        <v>4000000</v>
      </c>
      <c r="M209" s="18">
        <f t="shared" si="35"/>
        <v>2.70947639368692E-4</v>
      </c>
      <c r="N209" s="19">
        <f t="shared" si="36"/>
        <v>1.4814814814814815E-4</v>
      </c>
    </row>
    <row r="210" spans="2:14" x14ac:dyDescent="0.25">
      <c r="B210" s="12" t="s">
        <v>353</v>
      </c>
      <c r="C210" s="13">
        <v>165</v>
      </c>
      <c r="D210" s="13">
        <v>165</v>
      </c>
      <c r="E210" s="14">
        <f t="shared" si="34"/>
        <v>16411</v>
      </c>
      <c r="F210" s="14">
        <f t="shared" si="38"/>
        <v>16411</v>
      </c>
      <c r="G210" s="15">
        <f t="shared" si="37"/>
        <v>1</v>
      </c>
      <c r="H210" s="16" t="s">
        <v>77</v>
      </c>
      <c r="I210" s="21">
        <v>1</v>
      </c>
      <c r="J210" s="17">
        <f t="shared" si="33"/>
        <v>1</v>
      </c>
      <c r="K210" s="14">
        <v>1000000</v>
      </c>
      <c r="L210" s="14">
        <v>1000000</v>
      </c>
      <c r="M210" s="18">
        <f t="shared" si="35"/>
        <v>6.7736909842173001E-5</v>
      </c>
      <c r="N210" s="19">
        <f t="shared" si="36"/>
        <v>3.7037037037037037E-5</v>
      </c>
    </row>
    <row r="211" spans="2:14" x14ac:dyDescent="0.25">
      <c r="B211" s="12" t="s">
        <v>503</v>
      </c>
      <c r="C211" s="13">
        <v>165</v>
      </c>
      <c r="D211" s="13">
        <v>165</v>
      </c>
      <c r="E211" s="14">
        <f t="shared" si="34"/>
        <v>16412</v>
      </c>
      <c r="F211" s="14">
        <f t="shared" si="38"/>
        <v>16447</v>
      </c>
      <c r="G211" s="15">
        <f t="shared" si="37"/>
        <v>36</v>
      </c>
      <c r="H211" s="16" t="s">
        <v>77</v>
      </c>
      <c r="I211" s="21">
        <v>1</v>
      </c>
      <c r="J211" s="17">
        <f t="shared" si="33"/>
        <v>36</v>
      </c>
      <c r="K211" s="14">
        <v>1000000</v>
      </c>
      <c r="L211" s="14">
        <v>36000000</v>
      </c>
      <c r="M211" s="18">
        <f t="shared" si="35"/>
        <v>2.4385287543182278E-3</v>
      </c>
      <c r="N211" s="19">
        <f t="shared" si="36"/>
        <v>1.3333333333333333E-3</v>
      </c>
    </row>
    <row r="212" spans="2:14" x14ac:dyDescent="0.25">
      <c r="B212" s="12" t="s">
        <v>509</v>
      </c>
      <c r="C212" s="13">
        <v>165</v>
      </c>
      <c r="D212" s="13">
        <v>165</v>
      </c>
      <c r="E212" s="14">
        <f t="shared" si="34"/>
        <v>16448</v>
      </c>
      <c r="F212" s="14">
        <f t="shared" si="38"/>
        <v>16449</v>
      </c>
      <c r="G212" s="15">
        <f t="shared" si="37"/>
        <v>2</v>
      </c>
      <c r="H212" s="16" t="s">
        <v>77</v>
      </c>
      <c r="I212" s="21">
        <v>1</v>
      </c>
      <c r="J212" s="17">
        <f t="shared" si="33"/>
        <v>2</v>
      </c>
      <c r="K212" s="14">
        <v>1000000</v>
      </c>
      <c r="L212" s="14">
        <v>2000000</v>
      </c>
      <c r="M212" s="18">
        <f t="shared" si="35"/>
        <v>1.35473819684346E-4</v>
      </c>
      <c r="N212" s="19">
        <f t="shared" si="36"/>
        <v>7.4074074074074073E-5</v>
      </c>
    </row>
    <row r="213" spans="2:14" x14ac:dyDescent="0.25">
      <c r="B213" s="12" t="s">
        <v>501</v>
      </c>
      <c r="C213" s="13">
        <v>165</v>
      </c>
      <c r="D213" s="13">
        <v>165</v>
      </c>
      <c r="E213" s="14">
        <f t="shared" si="34"/>
        <v>16450</v>
      </c>
      <c r="F213" s="14">
        <f t="shared" si="38"/>
        <v>16484</v>
      </c>
      <c r="G213" s="15">
        <f t="shared" si="37"/>
        <v>35</v>
      </c>
      <c r="H213" s="16" t="s">
        <v>77</v>
      </c>
      <c r="I213" s="21">
        <v>1</v>
      </c>
      <c r="J213" s="17">
        <f t="shared" si="33"/>
        <v>35</v>
      </c>
      <c r="K213" s="14">
        <v>1000000</v>
      </c>
      <c r="L213" s="14">
        <v>35000000</v>
      </c>
      <c r="M213" s="18">
        <f t="shared" si="35"/>
        <v>2.3707918444760552E-3</v>
      </c>
      <c r="N213" s="19">
        <f t="shared" si="36"/>
        <v>1.2962962962962963E-3</v>
      </c>
    </row>
    <row r="214" spans="2:14" x14ac:dyDescent="0.25">
      <c r="B214" s="12" t="s">
        <v>508</v>
      </c>
      <c r="C214" s="13">
        <v>165</v>
      </c>
      <c r="D214" s="13">
        <v>165</v>
      </c>
      <c r="E214" s="14">
        <f t="shared" si="34"/>
        <v>16485</v>
      </c>
      <c r="F214" s="14">
        <f t="shared" si="38"/>
        <v>16489</v>
      </c>
      <c r="G214" s="15">
        <f t="shared" si="37"/>
        <v>5</v>
      </c>
      <c r="H214" s="16" t="s">
        <v>77</v>
      </c>
      <c r="I214" s="21">
        <v>1</v>
      </c>
      <c r="J214" s="17">
        <f t="shared" si="33"/>
        <v>5</v>
      </c>
      <c r="K214" s="14">
        <v>1000000</v>
      </c>
      <c r="L214" s="14">
        <v>5000000</v>
      </c>
      <c r="M214" s="18">
        <f t="shared" si="35"/>
        <v>3.38684549210865E-4</v>
      </c>
      <c r="N214" s="19">
        <f t="shared" si="36"/>
        <v>1.8518518518518518E-4</v>
      </c>
    </row>
    <row r="215" spans="2:14" x14ac:dyDescent="0.25">
      <c r="B215" s="12" t="s">
        <v>53</v>
      </c>
      <c r="C215" s="13">
        <v>165</v>
      </c>
      <c r="D215" s="13">
        <v>165</v>
      </c>
      <c r="E215" s="14">
        <f t="shared" ref="E215" si="39">+F214+1</f>
        <v>16490</v>
      </c>
      <c r="F215" s="14">
        <f t="shared" ref="F215" si="40">+((E215)+(L215/K215))-1</f>
        <v>16490</v>
      </c>
      <c r="G215" s="15">
        <f t="shared" ref="G215" si="41">+F215-E215+1</f>
        <v>1</v>
      </c>
      <c r="H215" s="16" t="s">
        <v>77</v>
      </c>
      <c r="I215" s="21">
        <v>1</v>
      </c>
      <c r="J215" s="17">
        <f t="shared" ref="J215" si="42">+I215*G215</f>
        <v>1</v>
      </c>
      <c r="K215" s="14">
        <v>1000000</v>
      </c>
      <c r="L215" s="14">
        <v>1000000</v>
      </c>
      <c r="M215" s="18">
        <f t="shared" si="35"/>
        <v>6.7736909842173001E-5</v>
      </c>
      <c r="N215" s="19">
        <f t="shared" si="36"/>
        <v>3.7037037037037037E-5</v>
      </c>
    </row>
    <row r="216" spans="2:14" x14ac:dyDescent="0.25">
      <c r="B216" s="12" t="s">
        <v>510</v>
      </c>
      <c r="C216" s="13">
        <v>165</v>
      </c>
      <c r="D216" s="13">
        <v>166</v>
      </c>
      <c r="E216" s="14">
        <f t="shared" ref="E216" si="43">+F215+1</f>
        <v>16491</v>
      </c>
      <c r="F216" s="14">
        <f t="shared" ref="F216" si="44">+((E216)+(L216/K216))-1</f>
        <v>16500</v>
      </c>
      <c r="G216" s="15">
        <f t="shared" ref="G216" si="45">+F216-E216+1</f>
        <v>10</v>
      </c>
      <c r="H216" s="16" t="s">
        <v>77</v>
      </c>
      <c r="I216" s="21">
        <v>1</v>
      </c>
      <c r="J216" s="17">
        <f t="shared" ref="J216" si="46">+I216*G216</f>
        <v>10</v>
      </c>
      <c r="K216" s="14">
        <v>1000000</v>
      </c>
      <c r="L216" s="14">
        <v>10000000</v>
      </c>
      <c r="M216" s="18">
        <f t="shared" si="35"/>
        <v>6.7736909842173001E-4</v>
      </c>
      <c r="N216" s="19">
        <f t="shared" si="36"/>
        <v>3.7037037037037035E-4</v>
      </c>
    </row>
    <row r="217" spans="2:14" ht="15.75" thickBot="1" x14ac:dyDescent="0.3">
      <c r="B217" s="22"/>
      <c r="C217" s="23"/>
      <c r="D217" s="23"/>
      <c r="E217" s="24"/>
      <c r="F217" s="24"/>
      <c r="G217" s="25"/>
      <c r="H217" s="26"/>
      <c r="I217" s="27"/>
      <c r="J217" s="28"/>
      <c r="K217" s="24"/>
      <c r="L217" s="24"/>
      <c r="M217" s="29"/>
      <c r="N217" s="30"/>
    </row>
    <row r="218" spans="2:14" ht="15.75" thickBot="1" x14ac:dyDescent="0.3">
      <c r="B218" s="455" t="s">
        <v>81</v>
      </c>
      <c r="C218" s="456"/>
      <c r="D218" s="456"/>
      <c r="E218" s="456"/>
      <c r="F218" s="457"/>
      <c r="G218" s="31">
        <f>SUM(G9:G217)</f>
        <v>14763</v>
      </c>
      <c r="H218" s="32"/>
      <c r="I218" s="32"/>
      <c r="J218" s="31">
        <f>SUM(J9:J217)</f>
        <v>27000</v>
      </c>
      <c r="K218" s="32"/>
      <c r="L218" s="31">
        <f>SUM(L9:L217)</f>
        <v>14763000000</v>
      </c>
      <c r="M218" s="33">
        <f>SUM(M9:M217)</f>
        <v>1.0000000000000011</v>
      </c>
      <c r="N218" s="33">
        <f>SUM(N9:N217)</f>
        <v>0.99999999999999956</v>
      </c>
    </row>
    <row r="219" spans="2:14" x14ac:dyDescent="0.25">
      <c r="B219" s="34"/>
      <c r="C219" s="34"/>
      <c r="D219" s="34"/>
      <c r="E219" s="34"/>
      <c r="F219" s="34"/>
      <c r="G219" s="35"/>
      <c r="H219" s="36"/>
      <c r="I219" s="36"/>
      <c r="J219" s="35"/>
      <c r="K219" s="36"/>
      <c r="L219" s="35"/>
      <c r="M219" s="37"/>
      <c r="N219" s="37"/>
    </row>
    <row r="220" spans="2:14" ht="15.75" thickBot="1" x14ac:dyDescent="0.3">
      <c r="L220" s="38"/>
    </row>
    <row r="221" spans="2:14" ht="16.5" customHeight="1" thickBot="1" x14ac:dyDescent="0.3">
      <c r="B221" s="450" t="s">
        <v>527</v>
      </c>
      <c r="C221" s="451"/>
      <c r="D221" s="451"/>
      <c r="E221" s="451"/>
      <c r="F221" s="451"/>
      <c r="G221" s="451"/>
      <c r="H221" s="451"/>
      <c r="I221" s="451"/>
      <c r="J221" s="451"/>
      <c r="K221" s="451"/>
      <c r="L221" s="451"/>
      <c r="M221" s="451"/>
      <c r="N221" s="452"/>
    </row>
    <row r="222" spans="2:14" ht="39" customHeight="1" thickBot="1" x14ac:dyDescent="0.3">
      <c r="B222" s="448" t="s">
        <v>483</v>
      </c>
      <c r="C222" s="458" t="s">
        <v>484</v>
      </c>
      <c r="D222" s="459"/>
      <c r="E222" s="460" t="s">
        <v>485</v>
      </c>
      <c r="F222" s="461"/>
      <c r="G222" s="448" t="s">
        <v>70</v>
      </c>
      <c r="H222" s="448" t="s">
        <v>486</v>
      </c>
      <c r="I222" s="448" t="s">
        <v>487</v>
      </c>
      <c r="J222" s="448" t="s">
        <v>488</v>
      </c>
      <c r="K222" s="448" t="s">
        <v>489</v>
      </c>
      <c r="L222" s="448" t="s">
        <v>63</v>
      </c>
      <c r="M222" s="448" t="s">
        <v>528</v>
      </c>
      <c r="N222" s="448" t="s">
        <v>491</v>
      </c>
    </row>
    <row r="223" spans="2:14" ht="21" customHeight="1" thickBot="1" x14ac:dyDescent="0.3">
      <c r="B223" s="449"/>
      <c r="C223" s="39" t="s">
        <v>492</v>
      </c>
      <c r="D223" s="39" t="s">
        <v>493</v>
      </c>
      <c r="E223" s="3" t="s">
        <v>492</v>
      </c>
      <c r="F223" s="3" t="s">
        <v>493</v>
      </c>
      <c r="G223" s="449"/>
      <c r="H223" s="449"/>
      <c r="I223" s="449"/>
      <c r="J223" s="449"/>
      <c r="K223" s="449"/>
      <c r="L223" s="449"/>
      <c r="M223" s="449"/>
      <c r="N223" s="449"/>
    </row>
    <row r="224" spans="2:14" x14ac:dyDescent="0.25">
      <c r="B224" s="4" t="s">
        <v>47</v>
      </c>
      <c r="C224" s="5">
        <v>1</v>
      </c>
      <c r="D224" s="5">
        <v>3</v>
      </c>
      <c r="E224" s="6">
        <v>1</v>
      </c>
      <c r="F224" s="6">
        <f t="shared" ref="F224:F287" si="47">+((E224)+(L224/K224))-1</f>
        <v>250</v>
      </c>
      <c r="G224" s="7">
        <f>+F224-E224+1</f>
        <v>250</v>
      </c>
      <c r="H224" s="8" t="s">
        <v>76</v>
      </c>
      <c r="I224" s="8">
        <v>5</v>
      </c>
      <c r="J224" s="9">
        <f>+I224*G224</f>
        <v>1250</v>
      </c>
      <c r="K224" s="6">
        <v>1000000</v>
      </c>
      <c r="L224" s="6">
        <v>250000000</v>
      </c>
      <c r="M224" s="10">
        <f t="shared" ref="M224:M255" si="48">+L224/$L$433</f>
        <v>1.5372317530590911E-2</v>
      </c>
      <c r="N224" s="11">
        <f t="shared" ref="N224:N255" si="49">+J224/$J$433</f>
        <v>3.6231884057971016E-2</v>
      </c>
    </row>
    <row r="225" spans="2:14" ht="15" customHeight="1" x14ac:dyDescent="0.25">
      <c r="B225" s="12" t="s">
        <v>45</v>
      </c>
      <c r="C225" s="13">
        <v>3</v>
      </c>
      <c r="D225" s="13">
        <v>5</v>
      </c>
      <c r="E225" s="14">
        <f>+F224+1</f>
        <v>251</v>
      </c>
      <c r="F225" s="14">
        <f t="shared" si="47"/>
        <v>500</v>
      </c>
      <c r="G225" s="15">
        <f t="shared" ref="G225:G319" si="50">+F225-E225+1</f>
        <v>250</v>
      </c>
      <c r="H225" s="16" t="s">
        <v>76</v>
      </c>
      <c r="I225" s="16">
        <v>5</v>
      </c>
      <c r="J225" s="17">
        <f t="shared" ref="J225:J361" si="51">+I225*G225</f>
        <v>1250</v>
      </c>
      <c r="K225" s="14">
        <f>+K224</f>
        <v>1000000</v>
      </c>
      <c r="L225" s="14">
        <v>250000000</v>
      </c>
      <c r="M225" s="18">
        <f t="shared" si="48"/>
        <v>1.5372317530590911E-2</v>
      </c>
      <c r="N225" s="19">
        <f t="shared" si="49"/>
        <v>3.6231884057971016E-2</v>
      </c>
    </row>
    <row r="226" spans="2:14" x14ac:dyDescent="0.25">
      <c r="B226" s="12" t="s">
        <v>43</v>
      </c>
      <c r="C226" s="13">
        <v>6</v>
      </c>
      <c r="D226" s="13">
        <v>8</v>
      </c>
      <c r="E226" s="14">
        <f t="shared" ref="E226:E227" si="52">+F225+1</f>
        <v>501</v>
      </c>
      <c r="F226" s="14">
        <f t="shared" si="47"/>
        <v>750</v>
      </c>
      <c r="G226" s="15">
        <f t="shared" si="50"/>
        <v>250</v>
      </c>
      <c r="H226" s="16" t="s">
        <v>76</v>
      </c>
      <c r="I226" s="16">
        <v>5</v>
      </c>
      <c r="J226" s="17">
        <f t="shared" si="51"/>
        <v>1250</v>
      </c>
      <c r="K226" s="14">
        <f t="shared" ref="K226:K263" si="53">+K225</f>
        <v>1000000</v>
      </c>
      <c r="L226" s="14">
        <v>250000000</v>
      </c>
      <c r="M226" s="18">
        <f t="shared" si="48"/>
        <v>1.5372317530590911E-2</v>
      </c>
      <c r="N226" s="19">
        <f t="shared" si="49"/>
        <v>3.6231884057971016E-2</v>
      </c>
    </row>
    <row r="227" spans="2:14" x14ac:dyDescent="0.25">
      <c r="B227" s="12" t="s">
        <v>494</v>
      </c>
      <c r="C227" s="13">
        <v>8</v>
      </c>
      <c r="D227" s="13">
        <v>10</v>
      </c>
      <c r="E227" s="14">
        <f t="shared" si="52"/>
        <v>751</v>
      </c>
      <c r="F227" s="14">
        <f t="shared" si="47"/>
        <v>1000</v>
      </c>
      <c r="G227" s="15">
        <f t="shared" si="50"/>
        <v>250</v>
      </c>
      <c r="H227" s="16" t="s">
        <v>76</v>
      </c>
      <c r="I227" s="16">
        <v>5</v>
      </c>
      <c r="J227" s="17">
        <f t="shared" si="51"/>
        <v>1250</v>
      </c>
      <c r="K227" s="14">
        <f t="shared" si="53"/>
        <v>1000000</v>
      </c>
      <c r="L227" s="14">
        <v>250000000</v>
      </c>
      <c r="M227" s="18">
        <f t="shared" si="48"/>
        <v>1.5372317530590911E-2</v>
      </c>
      <c r="N227" s="19">
        <f t="shared" si="49"/>
        <v>3.6231884057971016E-2</v>
      </c>
    </row>
    <row r="228" spans="2:14" x14ac:dyDescent="0.25">
      <c r="B228" s="12" t="s">
        <v>47</v>
      </c>
      <c r="C228" s="13">
        <v>41</v>
      </c>
      <c r="D228" s="13">
        <v>45</v>
      </c>
      <c r="E228" s="14">
        <v>4001</v>
      </c>
      <c r="F228" s="14">
        <f t="shared" si="47"/>
        <v>4500</v>
      </c>
      <c r="G228" s="15">
        <f t="shared" si="50"/>
        <v>500</v>
      </c>
      <c r="H228" s="16" t="s">
        <v>76</v>
      </c>
      <c r="I228" s="16">
        <v>5</v>
      </c>
      <c r="J228" s="17">
        <f t="shared" si="51"/>
        <v>2500</v>
      </c>
      <c r="K228" s="14">
        <f t="shared" si="53"/>
        <v>1000000</v>
      </c>
      <c r="L228" s="14">
        <v>500000000</v>
      </c>
      <c r="M228" s="18">
        <f t="shared" si="48"/>
        <v>3.0744635061181823E-2</v>
      </c>
      <c r="N228" s="19">
        <f t="shared" si="49"/>
        <v>7.2463768115942032E-2</v>
      </c>
    </row>
    <row r="229" spans="2:14" x14ac:dyDescent="0.25">
      <c r="B229" s="12" t="s">
        <v>45</v>
      </c>
      <c r="C229" s="13">
        <v>46</v>
      </c>
      <c r="D229" s="13">
        <v>50</v>
      </c>
      <c r="E229" s="14">
        <f>+F228+1</f>
        <v>4501</v>
      </c>
      <c r="F229" s="14">
        <f t="shared" si="47"/>
        <v>5000</v>
      </c>
      <c r="G229" s="15">
        <f t="shared" si="50"/>
        <v>500</v>
      </c>
      <c r="H229" s="16" t="s">
        <v>76</v>
      </c>
      <c r="I229" s="16">
        <v>5</v>
      </c>
      <c r="J229" s="17">
        <f t="shared" si="51"/>
        <v>2500</v>
      </c>
      <c r="K229" s="14">
        <f t="shared" si="53"/>
        <v>1000000</v>
      </c>
      <c r="L229" s="14">
        <v>500000000</v>
      </c>
      <c r="M229" s="18">
        <f t="shared" si="48"/>
        <v>3.0744635061181823E-2</v>
      </c>
      <c r="N229" s="19">
        <f t="shared" si="49"/>
        <v>7.2463768115942032E-2</v>
      </c>
    </row>
    <row r="230" spans="2:14" x14ac:dyDescent="0.25">
      <c r="B230" s="12" t="s">
        <v>43</v>
      </c>
      <c r="C230" s="13">
        <v>51</v>
      </c>
      <c r="D230" s="13">
        <v>55</v>
      </c>
      <c r="E230" s="14">
        <f t="shared" ref="E230:E235" si="54">+F229+1</f>
        <v>5001</v>
      </c>
      <c r="F230" s="14">
        <f t="shared" si="47"/>
        <v>5500</v>
      </c>
      <c r="G230" s="15">
        <f t="shared" si="50"/>
        <v>500</v>
      </c>
      <c r="H230" s="16" t="s">
        <v>76</v>
      </c>
      <c r="I230" s="16">
        <v>5</v>
      </c>
      <c r="J230" s="17">
        <f t="shared" si="51"/>
        <v>2500</v>
      </c>
      <c r="K230" s="14">
        <f t="shared" si="53"/>
        <v>1000000</v>
      </c>
      <c r="L230" s="14">
        <v>500000000</v>
      </c>
      <c r="M230" s="18">
        <f t="shared" si="48"/>
        <v>3.0744635061181823E-2</v>
      </c>
      <c r="N230" s="19">
        <f t="shared" si="49"/>
        <v>7.2463768115942032E-2</v>
      </c>
    </row>
    <row r="231" spans="2:14" x14ac:dyDescent="0.25">
      <c r="B231" s="12" t="s">
        <v>494</v>
      </c>
      <c r="C231" s="13">
        <v>56</v>
      </c>
      <c r="D231" s="13">
        <v>60</v>
      </c>
      <c r="E231" s="14">
        <f t="shared" si="54"/>
        <v>5501</v>
      </c>
      <c r="F231" s="14">
        <f t="shared" si="47"/>
        <v>6000</v>
      </c>
      <c r="G231" s="15">
        <f t="shared" si="50"/>
        <v>500</v>
      </c>
      <c r="H231" s="16" t="s">
        <v>76</v>
      </c>
      <c r="I231" s="16">
        <v>5</v>
      </c>
      <c r="J231" s="17">
        <f t="shared" si="51"/>
        <v>2500</v>
      </c>
      <c r="K231" s="14">
        <f t="shared" si="53"/>
        <v>1000000</v>
      </c>
      <c r="L231" s="14">
        <v>500000000</v>
      </c>
      <c r="M231" s="18">
        <f t="shared" si="48"/>
        <v>3.0744635061181823E-2</v>
      </c>
      <c r="N231" s="19">
        <f t="shared" si="49"/>
        <v>7.2463768115942032E-2</v>
      </c>
    </row>
    <row r="232" spans="2:14" x14ac:dyDescent="0.25">
      <c r="B232" s="12" t="s">
        <v>47</v>
      </c>
      <c r="C232" s="13">
        <v>61</v>
      </c>
      <c r="D232" s="13">
        <v>63</v>
      </c>
      <c r="E232" s="14">
        <f t="shared" si="54"/>
        <v>6001</v>
      </c>
      <c r="F232" s="14">
        <f t="shared" si="47"/>
        <v>6250</v>
      </c>
      <c r="G232" s="15">
        <f t="shared" si="50"/>
        <v>250</v>
      </c>
      <c r="H232" s="16" t="s">
        <v>76</v>
      </c>
      <c r="I232" s="16">
        <v>5</v>
      </c>
      <c r="J232" s="17">
        <f t="shared" si="51"/>
        <v>1250</v>
      </c>
      <c r="K232" s="14">
        <f t="shared" si="53"/>
        <v>1000000</v>
      </c>
      <c r="L232" s="14">
        <v>250000000</v>
      </c>
      <c r="M232" s="18">
        <f t="shared" si="48"/>
        <v>1.5372317530590911E-2</v>
      </c>
      <c r="N232" s="19">
        <f t="shared" si="49"/>
        <v>3.6231884057971016E-2</v>
      </c>
    </row>
    <row r="233" spans="2:14" x14ac:dyDescent="0.25">
      <c r="B233" s="12" t="s">
        <v>45</v>
      </c>
      <c r="C233" s="13">
        <v>63</v>
      </c>
      <c r="D233" s="13">
        <v>65</v>
      </c>
      <c r="E233" s="14">
        <f t="shared" si="54"/>
        <v>6251</v>
      </c>
      <c r="F233" s="14">
        <f t="shared" si="47"/>
        <v>6500</v>
      </c>
      <c r="G233" s="15">
        <f t="shared" si="50"/>
        <v>250</v>
      </c>
      <c r="H233" s="16" t="s">
        <v>76</v>
      </c>
      <c r="I233" s="16">
        <v>5</v>
      </c>
      <c r="J233" s="17">
        <f t="shared" si="51"/>
        <v>1250</v>
      </c>
      <c r="K233" s="14">
        <f t="shared" si="53"/>
        <v>1000000</v>
      </c>
      <c r="L233" s="14">
        <v>250000000</v>
      </c>
      <c r="M233" s="18">
        <f t="shared" si="48"/>
        <v>1.5372317530590911E-2</v>
      </c>
      <c r="N233" s="19">
        <f t="shared" si="49"/>
        <v>3.6231884057971016E-2</v>
      </c>
    </row>
    <row r="234" spans="2:14" x14ac:dyDescent="0.25">
      <c r="B234" s="12" t="s">
        <v>43</v>
      </c>
      <c r="C234" s="13">
        <v>66</v>
      </c>
      <c r="D234" s="13">
        <v>68</v>
      </c>
      <c r="E234" s="14">
        <f t="shared" si="54"/>
        <v>6501</v>
      </c>
      <c r="F234" s="14">
        <f t="shared" si="47"/>
        <v>6750</v>
      </c>
      <c r="G234" s="15">
        <f t="shared" si="50"/>
        <v>250</v>
      </c>
      <c r="H234" s="16" t="s">
        <v>76</v>
      </c>
      <c r="I234" s="16">
        <v>5</v>
      </c>
      <c r="J234" s="17">
        <f t="shared" si="51"/>
        <v>1250</v>
      </c>
      <c r="K234" s="14">
        <f t="shared" si="53"/>
        <v>1000000</v>
      </c>
      <c r="L234" s="14">
        <v>250000000</v>
      </c>
      <c r="M234" s="18">
        <f t="shared" si="48"/>
        <v>1.5372317530590911E-2</v>
      </c>
      <c r="N234" s="19">
        <f t="shared" si="49"/>
        <v>3.6231884057971016E-2</v>
      </c>
    </row>
    <row r="235" spans="2:14" x14ac:dyDescent="0.25">
      <c r="B235" s="12" t="s">
        <v>494</v>
      </c>
      <c r="C235" s="13">
        <v>68</v>
      </c>
      <c r="D235" s="13">
        <v>70</v>
      </c>
      <c r="E235" s="14">
        <f t="shared" si="54"/>
        <v>6751</v>
      </c>
      <c r="F235" s="14">
        <f t="shared" si="47"/>
        <v>7000</v>
      </c>
      <c r="G235" s="15">
        <f t="shared" si="50"/>
        <v>250</v>
      </c>
      <c r="H235" s="16" t="s">
        <v>76</v>
      </c>
      <c r="I235" s="16">
        <v>5</v>
      </c>
      <c r="J235" s="17">
        <f t="shared" si="51"/>
        <v>1250</v>
      </c>
      <c r="K235" s="14">
        <f t="shared" si="53"/>
        <v>1000000</v>
      </c>
      <c r="L235" s="14">
        <v>250000000</v>
      </c>
      <c r="M235" s="18">
        <f t="shared" si="48"/>
        <v>1.5372317530590911E-2</v>
      </c>
      <c r="N235" s="19">
        <f t="shared" si="49"/>
        <v>3.6231884057971016E-2</v>
      </c>
    </row>
    <row r="236" spans="2:14" x14ac:dyDescent="0.25">
      <c r="B236" s="12" t="s">
        <v>495</v>
      </c>
      <c r="C236" s="13">
        <v>31</v>
      </c>
      <c r="D236" s="13">
        <v>31</v>
      </c>
      <c r="E236" s="14">
        <v>3001</v>
      </c>
      <c r="F236" s="14">
        <f t="shared" si="47"/>
        <v>3075</v>
      </c>
      <c r="G236" s="15">
        <f t="shared" si="50"/>
        <v>75</v>
      </c>
      <c r="H236" s="16" t="s">
        <v>77</v>
      </c>
      <c r="I236" s="16">
        <v>1</v>
      </c>
      <c r="J236" s="17">
        <f t="shared" si="51"/>
        <v>75</v>
      </c>
      <c r="K236" s="14">
        <f t="shared" si="53"/>
        <v>1000000</v>
      </c>
      <c r="L236" s="14">
        <v>75000000</v>
      </c>
      <c r="M236" s="18">
        <f t="shared" si="48"/>
        <v>4.6116952591772732E-3</v>
      </c>
      <c r="N236" s="19">
        <f t="shared" si="49"/>
        <v>2.1739130434782609E-3</v>
      </c>
    </row>
    <row r="237" spans="2:14" x14ac:dyDescent="0.25">
      <c r="B237" s="12" t="s">
        <v>496</v>
      </c>
      <c r="C237" s="13">
        <v>31</v>
      </c>
      <c r="D237" s="13">
        <v>32</v>
      </c>
      <c r="E237" s="14">
        <f>+F236+1</f>
        <v>3076</v>
      </c>
      <c r="F237" s="14">
        <f t="shared" si="47"/>
        <v>3113</v>
      </c>
      <c r="G237" s="15">
        <f t="shared" si="50"/>
        <v>38</v>
      </c>
      <c r="H237" s="16" t="str">
        <f>+H236</f>
        <v>OS</v>
      </c>
      <c r="I237" s="16">
        <v>1</v>
      </c>
      <c r="J237" s="17">
        <f t="shared" si="51"/>
        <v>38</v>
      </c>
      <c r="K237" s="14">
        <f t="shared" si="53"/>
        <v>1000000</v>
      </c>
      <c r="L237" s="14">
        <v>38000000</v>
      </c>
      <c r="M237" s="18">
        <f t="shared" si="48"/>
        <v>2.3365922646498187E-3</v>
      </c>
      <c r="N237" s="19">
        <f t="shared" si="49"/>
        <v>1.1014492753623189E-3</v>
      </c>
    </row>
    <row r="238" spans="2:14" x14ac:dyDescent="0.25">
      <c r="B238" s="12" t="s">
        <v>497</v>
      </c>
      <c r="C238" s="13">
        <v>32</v>
      </c>
      <c r="D238" s="13">
        <v>32</v>
      </c>
      <c r="E238" s="14">
        <f t="shared" ref="E238:E251" si="55">+F237+1</f>
        <v>3114</v>
      </c>
      <c r="F238" s="14">
        <f t="shared" si="47"/>
        <v>3188</v>
      </c>
      <c r="G238" s="15">
        <f t="shared" si="50"/>
        <v>75</v>
      </c>
      <c r="H238" s="16" t="str">
        <f>+H237</f>
        <v>OS</v>
      </c>
      <c r="I238" s="16">
        <v>1</v>
      </c>
      <c r="J238" s="17">
        <f t="shared" si="51"/>
        <v>75</v>
      </c>
      <c r="K238" s="14">
        <f t="shared" si="53"/>
        <v>1000000</v>
      </c>
      <c r="L238" s="14">
        <v>75000000</v>
      </c>
      <c r="M238" s="18">
        <f t="shared" si="48"/>
        <v>4.6116952591772732E-3</v>
      </c>
      <c r="N238" s="19">
        <f t="shared" si="49"/>
        <v>2.1739130434782609E-3</v>
      </c>
    </row>
    <row r="239" spans="2:14" x14ac:dyDescent="0.25">
      <c r="B239" s="12" t="s">
        <v>498</v>
      </c>
      <c r="C239" s="13">
        <v>32</v>
      </c>
      <c r="D239" s="13">
        <v>33</v>
      </c>
      <c r="E239" s="14">
        <f t="shared" si="55"/>
        <v>3189</v>
      </c>
      <c r="F239" s="14">
        <f t="shared" si="47"/>
        <v>3213</v>
      </c>
      <c r="G239" s="15">
        <f t="shared" si="50"/>
        <v>25</v>
      </c>
      <c r="H239" s="16" t="str">
        <f t="shared" ref="H239:H302" si="56">+H238</f>
        <v>OS</v>
      </c>
      <c r="I239" s="16">
        <v>1</v>
      </c>
      <c r="J239" s="17">
        <f t="shared" si="51"/>
        <v>25</v>
      </c>
      <c r="K239" s="14">
        <f t="shared" si="53"/>
        <v>1000000</v>
      </c>
      <c r="L239" s="14">
        <v>25000000</v>
      </c>
      <c r="M239" s="18">
        <f t="shared" si="48"/>
        <v>1.5372317530590912E-3</v>
      </c>
      <c r="N239" s="19">
        <f t="shared" si="49"/>
        <v>7.246376811594203E-4</v>
      </c>
    </row>
    <row r="240" spans="2:14" x14ac:dyDescent="0.25">
      <c r="B240" s="12" t="s">
        <v>499</v>
      </c>
      <c r="C240" s="13">
        <v>33</v>
      </c>
      <c r="D240" s="13">
        <v>33</v>
      </c>
      <c r="E240" s="14">
        <f t="shared" si="55"/>
        <v>3214</v>
      </c>
      <c r="F240" s="14">
        <f t="shared" si="47"/>
        <v>3288</v>
      </c>
      <c r="G240" s="15">
        <f t="shared" si="50"/>
        <v>75</v>
      </c>
      <c r="H240" s="16" t="str">
        <f t="shared" si="56"/>
        <v>OS</v>
      </c>
      <c r="I240" s="16">
        <v>1</v>
      </c>
      <c r="J240" s="17">
        <f t="shared" si="51"/>
        <v>75</v>
      </c>
      <c r="K240" s="14">
        <f t="shared" si="53"/>
        <v>1000000</v>
      </c>
      <c r="L240" s="14">
        <v>75000000</v>
      </c>
      <c r="M240" s="18">
        <f t="shared" si="48"/>
        <v>4.6116952591772732E-3</v>
      </c>
      <c r="N240" s="19">
        <f t="shared" si="49"/>
        <v>2.1739130434782609E-3</v>
      </c>
    </row>
    <row r="241" spans="2:14" x14ac:dyDescent="0.25">
      <c r="B241" s="12" t="s">
        <v>500</v>
      </c>
      <c r="C241" s="13">
        <v>33</v>
      </c>
      <c r="D241" s="13">
        <v>34</v>
      </c>
      <c r="E241" s="14">
        <f t="shared" si="55"/>
        <v>3289</v>
      </c>
      <c r="F241" s="14">
        <f t="shared" si="47"/>
        <v>3338</v>
      </c>
      <c r="G241" s="15">
        <f t="shared" si="50"/>
        <v>50</v>
      </c>
      <c r="H241" s="16" t="str">
        <f t="shared" si="56"/>
        <v>OS</v>
      </c>
      <c r="I241" s="16">
        <v>1</v>
      </c>
      <c r="J241" s="17">
        <f t="shared" si="51"/>
        <v>50</v>
      </c>
      <c r="K241" s="14">
        <f t="shared" si="53"/>
        <v>1000000</v>
      </c>
      <c r="L241" s="14">
        <v>50000000</v>
      </c>
      <c r="M241" s="18">
        <f t="shared" si="48"/>
        <v>3.0744635061181825E-3</v>
      </c>
      <c r="N241" s="19">
        <f t="shared" si="49"/>
        <v>1.4492753623188406E-3</v>
      </c>
    </row>
    <row r="242" spans="2:14" x14ac:dyDescent="0.25">
      <c r="B242" s="12" t="s">
        <v>501</v>
      </c>
      <c r="C242" s="13">
        <v>34</v>
      </c>
      <c r="D242" s="13">
        <v>35</v>
      </c>
      <c r="E242" s="14">
        <f t="shared" si="55"/>
        <v>3339</v>
      </c>
      <c r="F242" s="14">
        <f t="shared" si="47"/>
        <v>3458</v>
      </c>
      <c r="G242" s="15">
        <f t="shared" si="50"/>
        <v>120</v>
      </c>
      <c r="H242" s="16" t="str">
        <f t="shared" si="56"/>
        <v>OS</v>
      </c>
      <c r="I242" s="16">
        <v>1</v>
      </c>
      <c r="J242" s="17">
        <f t="shared" si="51"/>
        <v>120</v>
      </c>
      <c r="K242" s="14">
        <f t="shared" si="53"/>
        <v>1000000</v>
      </c>
      <c r="L242" s="14">
        <v>120000000</v>
      </c>
      <c r="M242" s="18">
        <f t="shared" si="48"/>
        <v>7.3787124146836381E-3</v>
      </c>
      <c r="N242" s="19">
        <f t="shared" si="49"/>
        <v>3.4782608695652175E-3</v>
      </c>
    </row>
    <row r="243" spans="2:14" x14ac:dyDescent="0.25">
      <c r="B243" s="12" t="s">
        <v>502</v>
      </c>
      <c r="C243" s="13">
        <v>35</v>
      </c>
      <c r="D243" s="13">
        <v>36</v>
      </c>
      <c r="E243" s="14">
        <f t="shared" si="55"/>
        <v>3459</v>
      </c>
      <c r="F243" s="14">
        <f t="shared" si="47"/>
        <v>3521</v>
      </c>
      <c r="G243" s="15">
        <f t="shared" si="50"/>
        <v>63</v>
      </c>
      <c r="H243" s="16" t="str">
        <f t="shared" si="56"/>
        <v>OS</v>
      </c>
      <c r="I243" s="16">
        <v>1</v>
      </c>
      <c r="J243" s="17">
        <f t="shared" si="51"/>
        <v>63</v>
      </c>
      <c r="K243" s="14">
        <f t="shared" si="53"/>
        <v>1000000</v>
      </c>
      <c r="L243" s="14">
        <v>63000000</v>
      </c>
      <c r="M243" s="18">
        <f t="shared" si="48"/>
        <v>3.87382401770891E-3</v>
      </c>
      <c r="N243" s="19">
        <f t="shared" si="49"/>
        <v>1.8260869565217392E-3</v>
      </c>
    </row>
    <row r="244" spans="2:14" x14ac:dyDescent="0.25">
      <c r="B244" s="12" t="s">
        <v>52</v>
      </c>
      <c r="C244" s="13">
        <v>36</v>
      </c>
      <c r="D244" s="13">
        <v>36</v>
      </c>
      <c r="E244" s="14">
        <f t="shared" si="55"/>
        <v>3522</v>
      </c>
      <c r="F244" s="14">
        <f t="shared" si="47"/>
        <v>3571</v>
      </c>
      <c r="G244" s="15">
        <f t="shared" si="50"/>
        <v>50</v>
      </c>
      <c r="H244" s="16" t="str">
        <f t="shared" si="56"/>
        <v>OS</v>
      </c>
      <c r="I244" s="16">
        <v>1</v>
      </c>
      <c r="J244" s="17">
        <f t="shared" si="51"/>
        <v>50</v>
      </c>
      <c r="K244" s="14">
        <f t="shared" si="53"/>
        <v>1000000</v>
      </c>
      <c r="L244" s="14">
        <v>50000000</v>
      </c>
      <c r="M244" s="18">
        <f t="shared" si="48"/>
        <v>3.0744635061181825E-3</v>
      </c>
      <c r="N244" s="19">
        <f t="shared" si="49"/>
        <v>1.4492753623188406E-3</v>
      </c>
    </row>
    <row r="245" spans="2:14" x14ac:dyDescent="0.25">
      <c r="B245" s="12" t="s">
        <v>503</v>
      </c>
      <c r="C245" s="13">
        <v>36</v>
      </c>
      <c r="D245" s="13">
        <v>37</v>
      </c>
      <c r="E245" s="14">
        <f t="shared" si="55"/>
        <v>3572</v>
      </c>
      <c r="F245" s="14">
        <f t="shared" si="47"/>
        <v>3671</v>
      </c>
      <c r="G245" s="15">
        <f t="shared" si="50"/>
        <v>100</v>
      </c>
      <c r="H245" s="16" t="str">
        <f t="shared" si="56"/>
        <v>OS</v>
      </c>
      <c r="I245" s="16">
        <v>1</v>
      </c>
      <c r="J245" s="17">
        <f t="shared" si="51"/>
        <v>100</v>
      </c>
      <c r="K245" s="14">
        <f t="shared" si="53"/>
        <v>1000000</v>
      </c>
      <c r="L245" s="14">
        <v>100000000</v>
      </c>
      <c r="M245" s="18">
        <f t="shared" si="48"/>
        <v>6.1489270122363649E-3</v>
      </c>
      <c r="N245" s="19">
        <f t="shared" si="49"/>
        <v>2.8985507246376812E-3</v>
      </c>
    </row>
    <row r="246" spans="2:14" x14ac:dyDescent="0.25">
      <c r="B246" s="12" t="s">
        <v>504</v>
      </c>
      <c r="C246" s="13">
        <v>37</v>
      </c>
      <c r="D246" s="13">
        <v>40</v>
      </c>
      <c r="E246" s="14">
        <f t="shared" si="55"/>
        <v>3672</v>
      </c>
      <c r="F246" s="14">
        <f t="shared" si="47"/>
        <v>3921</v>
      </c>
      <c r="G246" s="15">
        <f t="shared" si="50"/>
        <v>250</v>
      </c>
      <c r="H246" s="16" t="str">
        <f t="shared" si="56"/>
        <v>OS</v>
      </c>
      <c r="I246" s="16">
        <v>1</v>
      </c>
      <c r="J246" s="17">
        <f t="shared" si="51"/>
        <v>250</v>
      </c>
      <c r="K246" s="14">
        <f t="shared" si="53"/>
        <v>1000000</v>
      </c>
      <c r="L246" s="14">
        <v>250000000</v>
      </c>
      <c r="M246" s="18">
        <f t="shared" si="48"/>
        <v>1.5372317530590911E-2</v>
      </c>
      <c r="N246" s="19">
        <f t="shared" si="49"/>
        <v>7.246376811594203E-3</v>
      </c>
    </row>
    <row r="247" spans="2:14" x14ac:dyDescent="0.25">
      <c r="B247" s="12" t="s">
        <v>505</v>
      </c>
      <c r="C247" s="13">
        <v>40</v>
      </c>
      <c r="D247" s="13">
        <v>40</v>
      </c>
      <c r="E247" s="14">
        <f t="shared" si="55"/>
        <v>3922</v>
      </c>
      <c r="F247" s="14">
        <f t="shared" si="47"/>
        <v>3971</v>
      </c>
      <c r="G247" s="15">
        <f t="shared" si="50"/>
        <v>50</v>
      </c>
      <c r="H247" s="16" t="str">
        <f t="shared" si="56"/>
        <v>OS</v>
      </c>
      <c r="I247" s="16">
        <v>1</v>
      </c>
      <c r="J247" s="17">
        <f t="shared" si="51"/>
        <v>50</v>
      </c>
      <c r="K247" s="14">
        <f t="shared" si="53"/>
        <v>1000000</v>
      </c>
      <c r="L247" s="14">
        <v>50000000</v>
      </c>
      <c r="M247" s="18">
        <f t="shared" si="48"/>
        <v>3.0744635061181825E-3</v>
      </c>
      <c r="N247" s="19">
        <f t="shared" si="49"/>
        <v>1.4492753623188406E-3</v>
      </c>
    </row>
    <row r="248" spans="2:14" x14ac:dyDescent="0.25">
      <c r="B248" s="12" t="s">
        <v>506</v>
      </c>
      <c r="C248" s="13">
        <v>40</v>
      </c>
      <c r="D248" s="13">
        <v>40</v>
      </c>
      <c r="E248" s="14">
        <f t="shared" si="55"/>
        <v>3972</v>
      </c>
      <c r="F248" s="14">
        <f t="shared" si="47"/>
        <v>3986</v>
      </c>
      <c r="G248" s="15">
        <f t="shared" si="50"/>
        <v>15</v>
      </c>
      <c r="H248" s="16" t="str">
        <f t="shared" si="56"/>
        <v>OS</v>
      </c>
      <c r="I248" s="16">
        <v>1</v>
      </c>
      <c r="J248" s="17">
        <f t="shared" si="51"/>
        <v>15</v>
      </c>
      <c r="K248" s="14">
        <f t="shared" si="53"/>
        <v>1000000</v>
      </c>
      <c r="L248" s="14">
        <v>15000000</v>
      </c>
      <c r="M248" s="18">
        <f t="shared" si="48"/>
        <v>9.2233905183545476E-4</v>
      </c>
      <c r="N248" s="19">
        <f t="shared" si="49"/>
        <v>4.3478260869565219E-4</v>
      </c>
    </row>
    <row r="249" spans="2:14" x14ac:dyDescent="0.25">
      <c r="B249" s="12" t="s">
        <v>353</v>
      </c>
      <c r="C249" s="13">
        <v>40</v>
      </c>
      <c r="D249" s="13">
        <v>40</v>
      </c>
      <c r="E249" s="14">
        <f t="shared" si="55"/>
        <v>3987</v>
      </c>
      <c r="F249" s="14">
        <f t="shared" si="47"/>
        <v>3991</v>
      </c>
      <c r="G249" s="15">
        <f t="shared" si="50"/>
        <v>5</v>
      </c>
      <c r="H249" s="16" t="str">
        <f t="shared" si="56"/>
        <v>OS</v>
      </c>
      <c r="I249" s="16">
        <v>1</v>
      </c>
      <c r="J249" s="17">
        <f t="shared" si="51"/>
        <v>5</v>
      </c>
      <c r="K249" s="14">
        <f t="shared" si="53"/>
        <v>1000000</v>
      </c>
      <c r="L249" s="14">
        <v>5000000</v>
      </c>
      <c r="M249" s="18">
        <f t="shared" si="48"/>
        <v>3.0744635061181823E-4</v>
      </c>
      <c r="N249" s="19">
        <f t="shared" si="49"/>
        <v>1.4492753623188405E-4</v>
      </c>
    </row>
    <row r="250" spans="2:14" x14ac:dyDescent="0.25">
      <c r="B250" s="12" t="s">
        <v>53</v>
      </c>
      <c r="C250" s="13">
        <v>40</v>
      </c>
      <c r="D250" s="13">
        <v>40</v>
      </c>
      <c r="E250" s="14">
        <f t="shared" si="55"/>
        <v>3992</v>
      </c>
      <c r="F250" s="14">
        <f t="shared" si="47"/>
        <v>3996</v>
      </c>
      <c r="G250" s="15">
        <f t="shared" si="50"/>
        <v>5</v>
      </c>
      <c r="H250" s="16" t="str">
        <f t="shared" si="56"/>
        <v>OS</v>
      </c>
      <c r="I250" s="16">
        <v>1</v>
      </c>
      <c r="J250" s="17">
        <f t="shared" si="51"/>
        <v>5</v>
      </c>
      <c r="K250" s="14">
        <f t="shared" si="53"/>
        <v>1000000</v>
      </c>
      <c r="L250" s="14">
        <v>5000000</v>
      </c>
      <c r="M250" s="18">
        <f t="shared" si="48"/>
        <v>3.0744635061181823E-4</v>
      </c>
      <c r="N250" s="19">
        <f t="shared" si="49"/>
        <v>1.4492753623188405E-4</v>
      </c>
    </row>
    <row r="251" spans="2:14" x14ac:dyDescent="0.25">
      <c r="B251" s="12" t="s">
        <v>55</v>
      </c>
      <c r="C251" s="13">
        <v>40</v>
      </c>
      <c r="D251" s="13">
        <v>40</v>
      </c>
      <c r="E251" s="14">
        <f t="shared" si="55"/>
        <v>3997</v>
      </c>
      <c r="F251" s="14">
        <f t="shared" si="47"/>
        <v>4000</v>
      </c>
      <c r="G251" s="15">
        <f t="shared" si="50"/>
        <v>4</v>
      </c>
      <c r="H251" s="16" t="str">
        <f t="shared" si="56"/>
        <v>OS</v>
      </c>
      <c r="I251" s="16">
        <v>1</v>
      </c>
      <c r="J251" s="17">
        <f t="shared" si="51"/>
        <v>4</v>
      </c>
      <c r="K251" s="14">
        <f t="shared" si="53"/>
        <v>1000000</v>
      </c>
      <c r="L251" s="14">
        <v>4000000</v>
      </c>
      <c r="M251" s="18">
        <f t="shared" si="48"/>
        <v>2.4595708048945461E-4</v>
      </c>
      <c r="N251" s="19">
        <f t="shared" si="49"/>
        <v>1.1594202898550724E-4</v>
      </c>
    </row>
    <row r="252" spans="2:14" x14ac:dyDescent="0.25">
      <c r="B252" s="12" t="s">
        <v>505</v>
      </c>
      <c r="C252" s="13">
        <v>91</v>
      </c>
      <c r="D252" s="13">
        <v>91</v>
      </c>
      <c r="E252" s="14">
        <v>9001</v>
      </c>
      <c r="F252" s="14">
        <f t="shared" si="47"/>
        <v>9077</v>
      </c>
      <c r="G252" s="15">
        <f t="shared" si="50"/>
        <v>77</v>
      </c>
      <c r="H252" s="16" t="str">
        <f t="shared" si="56"/>
        <v>OS</v>
      </c>
      <c r="I252" s="16">
        <v>1</v>
      </c>
      <c r="J252" s="17">
        <f t="shared" si="51"/>
        <v>77</v>
      </c>
      <c r="K252" s="14">
        <f t="shared" si="53"/>
        <v>1000000</v>
      </c>
      <c r="L252" s="14">
        <v>77000000</v>
      </c>
      <c r="M252" s="18">
        <f t="shared" si="48"/>
        <v>4.7346737994220008E-3</v>
      </c>
      <c r="N252" s="19">
        <f t="shared" si="49"/>
        <v>2.2318840579710147E-3</v>
      </c>
    </row>
    <row r="253" spans="2:14" x14ac:dyDescent="0.25">
      <c r="B253" s="12" t="s">
        <v>497</v>
      </c>
      <c r="C253" s="13">
        <v>91</v>
      </c>
      <c r="D253" s="13">
        <v>92</v>
      </c>
      <c r="E253" s="14">
        <f>+F252+1</f>
        <v>9078</v>
      </c>
      <c r="F253" s="14">
        <f t="shared" si="47"/>
        <v>9127</v>
      </c>
      <c r="G253" s="15">
        <f t="shared" si="50"/>
        <v>50</v>
      </c>
      <c r="H253" s="16" t="str">
        <f t="shared" si="56"/>
        <v>OS</v>
      </c>
      <c r="I253" s="16">
        <v>1</v>
      </c>
      <c r="J253" s="17">
        <f t="shared" si="51"/>
        <v>50</v>
      </c>
      <c r="K253" s="14">
        <f t="shared" si="53"/>
        <v>1000000</v>
      </c>
      <c r="L253" s="14">
        <v>50000000</v>
      </c>
      <c r="M253" s="18">
        <f t="shared" si="48"/>
        <v>3.0744635061181825E-3</v>
      </c>
      <c r="N253" s="19">
        <f t="shared" si="49"/>
        <v>1.4492753623188406E-3</v>
      </c>
    </row>
    <row r="254" spans="2:14" x14ac:dyDescent="0.25">
      <c r="B254" s="12" t="s">
        <v>507</v>
      </c>
      <c r="C254" s="13">
        <v>92</v>
      </c>
      <c r="D254" s="13">
        <v>92</v>
      </c>
      <c r="E254" s="14">
        <f t="shared" ref="E254:E316" si="57">+F253+1</f>
        <v>9128</v>
      </c>
      <c r="F254" s="14">
        <f t="shared" si="47"/>
        <v>9152</v>
      </c>
      <c r="G254" s="15">
        <f t="shared" si="50"/>
        <v>25</v>
      </c>
      <c r="H254" s="16" t="str">
        <f t="shared" si="56"/>
        <v>OS</v>
      </c>
      <c r="I254" s="16">
        <v>1</v>
      </c>
      <c r="J254" s="17">
        <f t="shared" si="51"/>
        <v>25</v>
      </c>
      <c r="K254" s="14">
        <f t="shared" si="53"/>
        <v>1000000</v>
      </c>
      <c r="L254" s="14">
        <v>25000000</v>
      </c>
      <c r="M254" s="18">
        <f t="shared" si="48"/>
        <v>1.5372317530590912E-3</v>
      </c>
      <c r="N254" s="19">
        <f t="shared" si="49"/>
        <v>7.246376811594203E-4</v>
      </c>
    </row>
    <row r="255" spans="2:14" x14ac:dyDescent="0.25">
      <c r="B255" s="12" t="s">
        <v>508</v>
      </c>
      <c r="C255" s="13">
        <v>92</v>
      </c>
      <c r="D255" s="13">
        <v>92</v>
      </c>
      <c r="E255" s="14">
        <f t="shared" si="57"/>
        <v>9153</v>
      </c>
      <c r="F255" s="14">
        <f t="shared" si="47"/>
        <v>9187</v>
      </c>
      <c r="G255" s="15">
        <f t="shared" si="50"/>
        <v>35</v>
      </c>
      <c r="H255" s="16" t="str">
        <f t="shared" si="56"/>
        <v>OS</v>
      </c>
      <c r="I255" s="16">
        <v>1</v>
      </c>
      <c r="J255" s="17">
        <f t="shared" si="51"/>
        <v>35</v>
      </c>
      <c r="K255" s="14">
        <f t="shared" si="53"/>
        <v>1000000</v>
      </c>
      <c r="L255" s="14">
        <v>35000000</v>
      </c>
      <c r="M255" s="18">
        <f t="shared" si="48"/>
        <v>2.1521244542827278E-3</v>
      </c>
      <c r="N255" s="19">
        <f t="shared" si="49"/>
        <v>1.0144927536231885E-3</v>
      </c>
    </row>
    <row r="256" spans="2:14" x14ac:dyDescent="0.25">
      <c r="B256" s="12" t="s">
        <v>500</v>
      </c>
      <c r="C256" s="13">
        <v>92</v>
      </c>
      <c r="D256" s="13">
        <v>93</v>
      </c>
      <c r="E256" s="14">
        <f t="shared" si="57"/>
        <v>9188</v>
      </c>
      <c r="F256" s="14">
        <f t="shared" si="47"/>
        <v>9217</v>
      </c>
      <c r="G256" s="15">
        <f t="shared" si="50"/>
        <v>30</v>
      </c>
      <c r="H256" s="16" t="str">
        <f t="shared" si="56"/>
        <v>OS</v>
      </c>
      <c r="I256" s="16">
        <v>1</v>
      </c>
      <c r="J256" s="17">
        <f t="shared" si="51"/>
        <v>30</v>
      </c>
      <c r="K256" s="14">
        <f t="shared" si="53"/>
        <v>1000000</v>
      </c>
      <c r="L256" s="14">
        <v>30000000</v>
      </c>
      <c r="M256" s="18">
        <f t="shared" ref="M256:M287" si="58">+L256/$L$433</f>
        <v>1.8446781036709095E-3</v>
      </c>
      <c r="N256" s="19">
        <f t="shared" ref="N256:N287" si="59">+J256/$J$433</f>
        <v>8.6956521739130438E-4</v>
      </c>
    </row>
    <row r="257" spans="2:14" x14ac:dyDescent="0.25">
      <c r="B257" s="12" t="s">
        <v>504</v>
      </c>
      <c r="C257" s="13">
        <v>93</v>
      </c>
      <c r="D257" s="13">
        <v>93</v>
      </c>
      <c r="E257" s="14">
        <f t="shared" si="57"/>
        <v>9218</v>
      </c>
      <c r="F257" s="14">
        <f t="shared" si="47"/>
        <v>9272</v>
      </c>
      <c r="G257" s="15">
        <f t="shared" si="50"/>
        <v>55</v>
      </c>
      <c r="H257" s="16" t="str">
        <f t="shared" si="56"/>
        <v>OS</v>
      </c>
      <c r="I257" s="16">
        <v>1</v>
      </c>
      <c r="J257" s="17">
        <f t="shared" si="51"/>
        <v>55</v>
      </c>
      <c r="K257" s="14">
        <f t="shared" si="53"/>
        <v>1000000</v>
      </c>
      <c r="L257" s="14">
        <v>55000000</v>
      </c>
      <c r="M257" s="18">
        <f t="shared" si="58"/>
        <v>3.3819098567300005E-3</v>
      </c>
      <c r="N257" s="19">
        <f t="shared" si="59"/>
        <v>1.5942028985507246E-3</v>
      </c>
    </row>
    <row r="258" spans="2:14" x14ac:dyDescent="0.25">
      <c r="B258" s="12" t="s">
        <v>499</v>
      </c>
      <c r="C258" s="13">
        <v>93</v>
      </c>
      <c r="D258" s="13">
        <v>94</v>
      </c>
      <c r="E258" s="14">
        <f>+F257+1</f>
        <v>9273</v>
      </c>
      <c r="F258" s="14">
        <f t="shared" si="47"/>
        <v>9322</v>
      </c>
      <c r="G258" s="15">
        <f t="shared" si="50"/>
        <v>50</v>
      </c>
      <c r="H258" s="16" t="str">
        <f>+H257</f>
        <v>OS</v>
      </c>
      <c r="I258" s="16">
        <v>1</v>
      </c>
      <c r="J258" s="17">
        <f t="shared" si="51"/>
        <v>50</v>
      </c>
      <c r="K258" s="14">
        <f>+K257</f>
        <v>1000000</v>
      </c>
      <c r="L258" s="14">
        <v>50000000</v>
      </c>
      <c r="M258" s="18">
        <f t="shared" si="58"/>
        <v>3.0744635061181825E-3</v>
      </c>
      <c r="N258" s="19">
        <f t="shared" si="59"/>
        <v>1.4492753623188406E-3</v>
      </c>
    </row>
    <row r="259" spans="2:14" x14ac:dyDescent="0.25">
      <c r="B259" s="12" t="s">
        <v>498</v>
      </c>
      <c r="C259" s="13">
        <v>94</v>
      </c>
      <c r="D259" s="13">
        <v>94</v>
      </c>
      <c r="E259" s="14">
        <f t="shared" si="57"/>
        <v>9323</v>
      </c>
      <c r="F259" s="14">
        <f t="shared" si="47"/>
        <v>9385</v>
      </c>
      <c r="G259" s="15">
        <f t="shared" si="50"/>
        <v>63</v>
      </c>
      <c r="H259" s="16" t="str">
        <f t="shared" si="56"/>
        <v>OS</v>
      </c>
      <c r="I259" s="16">
        <v>1</v>
      </c>
      <c r="J259" s="17">
        <f t="shared" si="51"/>
        <v>63</v>
      </c>
      <c r="K259" s="14">
        <f t="shared" si="53"/>
        <v>1000000</v>
      </c>
      <c r="L259" s="14">
        <v>63000000</v>
      </c>
      <c r="M259" s="18">
        <f t="shared" si="58"/>
        <v>3.87382401770891E-3</v>
      </c>
      <c r="N259" s="19">
        <f t="shared" si="59"/>
        <v>1.8260869565217392E-3</v>
      </c>
    </row>
    <row r="260" spans="2:14" x14ac:dyDescent="0.25">
      <c r="B260" s="12" t="s">
        <v>509</v>
      </c>
      <c r="C260" s="13">
        <v>94</v>
      </c>
      <c r="D260" s="13">
        <v>94</v>
      </c>
      <c r="E260" s="14">
        <f t="shared" si="57"/>
        <v>9386</v>
      </c>
      <c r="F260" s="14">
        <f t="shared" si="47"/>
        <v>9400</v>
      </c>
      <c r="G260" s="15">
        <f t="shared" si="50"/>
        <v>15</v>
      </c>
      <c r="H260" s="16" t="str">
        <f t="shared" si="56"/>
        <v>OS</v>
      </c>
      <c r="I260" s="16">
        <v>1</v>
      </c>
      <c r="J260" s="17">
        <f t="shared" si="51"/>
        <v>15</v>
      </c>
      <c r="K260" s="14">
        <f t="shared" si="53"/>
        <v>1000000</v>
      </c>
      <c r="L260" s="14">
        <v>15000000</v>
      </c>
      <c r="M260" s="18">
        <f t="shared" si="58"/>
        <v>9.2233905183545476E-4</v>
      </c>
      <c r="N260" s="19">
        <f t="shared" si="59"/>
        <v>4.3478260869565219E-4</v>
      </c>
    </row>
    <row r="261" spans="2:14" x14ac:dyDescent="0.25">
      <c r="B261" s="12" t="s">
        <v>503</v>
      </c>
      <c r="C261" s="13">
        <v>95</v>
      </c>
      <c r="D261" s="13">
        <v>95</v>
      </c>
      <c r="E261" s="14">
        <f t="shared" si="57"/>
        <v>9401</v>
      </c>
      <c r="F261" s="14">
        <f t="shared" si="47"/>
        <v>9500</v>
      </c>
      <c r="G261" s="15">
        <f t="shared" si="50"/>
        <v>100</v>
      </c>
      <c r="H261" s="16" t="str">
        <f t="shared" si="56"/>
        <v>OS</v>
      </c>
      <c r="I261" s="16">
        <v>1</v>
      </c>
      <c r="J261" s="17">
        <f t="shared" si="51"/>
        <v>100</v>
      </c>
      <c r="K261" s="14">
        <f t="shared" si="53"/>
        <v>1000000</v>
      </c>
      <c r="L261" s="14">
        <v>100000000</v>
      </c>
      <c r="M261" s="18">
        <f t="shared" si="58"/>
        <v>6.1489270122363649E-3</v>
      </c>
      <c r="N261" s="19">
        <f t="shared" si="59"/>
        <v>2.8985507246376812E-3</v>
      </c>
    </row>
    <row r="262" spans="2:14" x14ac:dyDescent="0.25">
      <c r="B262" s="12" t="s">
        <v>496</v>
      </c>
      <c r="C262" s="13">
        <v>96</v>
      </c>
      <c r="D262" s="13">
        <v>96</v>
      </c>
      <c r="E262" s="14">
        <f t="shared" si="57"/>
        <v>9501</v>
      </c>
      <c r="F262" s="14">
        <f t="shared" si="47"/>
        <v>9520</v>
      </c>
      <c r="G262" s="15">
        <f t="shared" si="50"/>
        <v>20</v>
      </c>
      <c r="H262" s="16" t="str">
        <f t="shared" si="56"/>
        <v>OS</v>
      </c>
      <c r="I262" s="16">
        <v>1</v>
      </c>
      <c r="J262" s="17">
        <f t="shared" si="51"/>
        <v>20</v>
      </c>
      <c r="K262" s="14">
        <f t="shared" si="53"/>
        <v>1000000</v>
      </c>
      <c r="L262" s="14">
        <v>20000000</v>
      </c>
      <c r="M262" s="18">
        <f t="shared" si="58"/>
        <v>1.2297854024472729E-3</v>
      </c>
      <c r="N262" s="19">
        <f t="shared" si="59"/>
        <v>5.7971014492753622E-4</v>
      </c>
    </row>
    <row r="263" spans="2:14" x14ac:dyDescent="0.25">
      <c r="B263" s="12" t="s">
        <v>501</v>
      </c>
      <c r="C263" s="13">
        <v>96</v>
      </c>
      <c r="D263" s="13">
        <v>96</v>
      </c>
      <c r="E263" s="14">
        <f t="shared" si="57"/>
        <v>9521</v>
      </c>
      <c r="F263" s="14">
        <f t="shared" si="47"/>
        <v>9584</v>
      </c>
      <c r="G263" s="15">
        <f t="shared" si="50"/>
        <v>64</v>
      </c>
      <c r="H263" s="16" t="str">
        <f t="shared" si="56"/>
        <v>OS</v>
      </c>
      <c r="I263" s="16">
        <v>1</v>
      </c>
      <c r="J263" s="17">
        <f t="shared" si="51"/>
        <v>64</v>
      </c>
      <c r="K263" s="14">
        <f t="shared" si="53"/>
        <v>1000000</v>
      </c>
      <c r="L263" s="14">
        <v>64000000</v>
      </c>
      <c r="M263" s="18">
        <f t="shared" si="58"/>
        <v>3.9353132878312738E-3</v>
      </c>
      <c r="N263" s="19">
        <f t="shared" si="59"/>
        <v>1.8550724637681159E-3</v>
      </c>
    </row>
    <row r="264" spans="2:14" x14ac:dyDescent="0.25">
      <c r="B264" s="12" t="s">
        <v>494</v>
      </c>
      <c r="C264" s="13">
        <v>96</v>
      </c>
      <c r="D264" s="13">
        <v>96</v>
      </c>
      <c r="E264" s="14">
        <f t="shared" si="57"/>
        <v>9585</v>
      </c>
      <c r="F264" s="14">
        <f t="shared" si="47"/>
        <v>9587</v>
      </c>
      <c r="G264" s="15">
        <f t="shared" si="50"/>
        <v>3</v>
      </c>
      <c r="H264" s="16" t="str">
        <f t="shared" si="56"/>
        <v>OS</v>
      </c>
      <c r="I264" s="16">
        <v>1</v>
      </c>
      <c r="J264" s="17">
        <f t="shared" si="51"/>
        <v>3</v>
      </c>
      <c r="K264" s="14">
        <f>+K251</f>
        <v>1000000</v>
      </c>
      <c r="L264" s="14">
        <v>3000000</v>
      </c>
      <c r="M264" s="18">
        <f t="shared" si="58"/>
        <v>1.8446781036709093E-4</v>
      </c>
      <c r="N264" s="19">
        <f t="shared" si="59"/>
        <v>8.6956521739130441E-5</v>
      </c>
    </row>
    <row r="265" spans="2:14" x14ac:dyDescent="0.25">
      <c r="B265" s="12" t="s">
        <v>43</v>
      </c>
      <c r="C265" s="13">
        <v>96</v>
      </c>
      <c r="D265" s="13">
        <v>96</v>
      </c>
      <c r="E265" s="14">
        <f t="shared" si="57"/>
        <v>9588</v>
      </c>
      <c r="F265" s="14">
        <f t="shared" si="47"/>
        <v>9590</v>
      </c>
      <c r="G265" s="15">
        <f t="shared" si="50"/>
        <v>3</v>
      </c>
      <c r="H265" s="16" t="str">
        <f t="shared" si="56"/>
        <v>OS</v>
      </c>
      <c r="I265" s="16">
        <v>1</v>
      </c>
      <c r="J265" s="17">
        <f t="shared" si="51"/>
        <v>3</v>
      </c>
      <c r="K265" s="14">
        <v>1000000</v>
      </c>
      <c r="L265" s="14">
        <v>3000000</v>
      </c>
      <c r="M265" s="18">
        <f t="shared" si="58"/>
        <v>1.8446781036709093E-4</v>
      </c>
      <c r="N265" s="19">
        <f t="shared" si="59"/>
        <v>8.6956521739130441E-5</v>
      </c>
    </row>
    <row r="266" spans="2:14" x14ac:dyDescent="0.25">
      <c r="B266" s="12" t="s">
        <v>45</v>
      </c>
      <c r="C266" s="13">
        <v>96</v>
      </c>
      <c r="D266" s="13">
        <v>96</v>
      </c>
      <c r="E266" s="14">
        <f t="shared" si="57"/>
        <v>9591</v>
      </c>
      <c r="F266" s="14">
        <f t="shared" si="47"/>
        <v>9593</v>
      </c>
      <c r="G266" s="15">
        <f t="shared" si="50"/>
        <v>3</v>
      </c>
      <c r="H266" s="16" t="str">
        <f t="shared" si="56"/>
        <v>OS</v>
      </c>
      <c r="I266" s="16">
        <v>1</v>
      </c>
      <c r="J266" s="17">
        <f t="shared" si="51"/>
        <v>3</v>
      </c>
      <c r="K266" s="14">
        <f>+K265</f>
        <v>1000000</v>
      </c>
      <c r="L266" s="14">
        <v>3000000</v>
      </c>
      <c r="M266" s="18">
        <f t="shared" si="58"/>
        <v>1.8446781036709093E-4</v>
      </c>
      <c r="N266" s="19">
        <f t="shared" si="59"/>
        <v>8.6956521739130441E-5</v>
      </c>
    </row>
    <row r="267" spans="2:14" x14ac:dyDescent="0.25">
      <c r="B267" s="12" t="s">
        <v>47</v>
      </c>
      <c r="C267" s="13">
        <v>96</v>
      </c>
      <c r="D267" s="13">
        <v>96</v>
      </c>
      <c r="E267" s="14">
        <f t="shared" si="57"/>
        <v>9594</v>
      </c>
      <c r="F267" s="14">
        <f t="shared" si="47"/>
        <v>9596</v>
      </c>
      <c r="G267" s="15">
        <f t="shared" si="50"/>
        <v>3</v>
      </c>
      <c r="H267" s="16" t="str">
        <f t="shared" si="56"/>
        <v>OS</v>
      </c>
      <c r="I267" s="16">
        <v>1</v>
      </c>
      <c r="J267" s="17">
        <f t="shared" si="51"/>
        <v>3</v>
      </c>
      <c r="K267" s="14">
        <f t="shared" ref="K267:K270" si="60">+K266</f>
        <v>1000000</v>
      </c>
      <c r="L267" s="14">
        <v>3000000</v>
      </c>
      <c r="M267" s="18">
        <f t="shared" si="58"/>
        <v>1.8446781036709093E-4</v>
      </c>
      <c r="N267" s="19">
        <f t="shared" si="59"/>
        <v>8.6956521739130441E-5</v>
      </c>
    </row>
    <row r="268" spans="2:14" x14ac:dyDescent="0.25">
      <c r="B268" s="12" t="s">
        <v>495</v>
      </c>
      <c r="C268" s="13">
        <v>96</v>
      </c>
      <c r="D268" s="13">
        <v>97</v>
      </c>
      <c r="E268" s="14">
        <f t="shared" si="57"/>
        <v>9597</v>
      </c>
      <c r="F268" s="14">
        <f t="shared" si="47"/>
        <v>9634</v>
      </c>
      <c r="G268" s="15">
        <f t="shared" si="50"/>
        <v>38</v>
      </c>
      <c r="H268" s="16" t="str">
        <f t="shared" si="56"/>
        <v>OS</v>
      </c>
      <c r="I268" s="16">
        <v>1</v>
      </c>
      <c r="J268" s="17">
        <f t="shared" si="51"/>
        <v>38</v>
      </c>
      <c r="K268" s="14">
        <f t="shared" si="60"/>
        <v>1000000</v>
      </c>
      <c r="L268" s="14">
        <v>38000000</v>
      </c>
      <c r="M268" s="18">
        <f t="shared" si="58"/>
        <v>2.3365922646498187E-3</v>
      </c>
      <c r="N268" s="19">
        <f t="shared" si="59"/>
        <v>1.1014492753623189E-3</v>
      </c>
    </row>
    <row r="269" spans="2:14" x14ac:dyDescent="0.25">
      <c r="B269" s="12" t="s">
        <v>496</v>
      </c>
      <c r="C269" s="13">
        <v>97</v>
      </c>
      <c r="D269" s="13">
        <v>97</v>
      </c>
      <c r="E269" s="14">
        <f t="shared" si="57"/>
        <v>9635</v>
      </c>
      <c r="F269" s="14">
        <f t="shared" si="47"/>
        <v>9653</v>
      </c>
      <c r="G269" s="15">
        <f t="shared" si="50"/>
        <v>19</v>
      </c>
      <c r="H269" s="16" t="str">
        <f t="shared" si="56"/>
        <v>OS</v>
      </c>
      <c r="I269" s="16">
        <v>1</v>
      </c>
      <c r="J269" s="17">
        <f t="shared" si="51"/>
        <v>19</v>
      </c>
      <c r="K269" s="14">
        <f t="shared" si="60"/>
        <v>1000000</v>
      </c>
      <c r="L269" s="14">
        <v>19000000</v>
      </c>
      <c r="M269" s="18">
        <f t="shared" si="58"/>
        <v>1.1682961323249094E-3</v>
      </c>
      <c r="N269" s="19">
        <f t="shared" si="59"/>
        <v>5.5072463768115944E-4</v>
      </c>
    </row>
    <row r="270" spans="2:14" x14ac:dyDescent="0.25">
      <c r="B270" s="12" t="s">
        <v>497</v>
      </c>
      <c r="C270" s="13">
        <v>97</v>
      </c>
      <c r="D270" s="13">
        <v>97</v>
      </c>
      <c r="E270" s="14">
        <f t="shared" si="57"/>
        <v>9654</v>
      </c>
      <c r="F270" s="14">
        <f t="shared" si="47"/>
        <v>9691</v>
      </c>
      <c r="G270" s="15">
        <f t="shared" si="50"/>
        <v>38</v>
      </c>
      <c r="H270" s="16" t="str">
        <f t="shared" si="56"/>
        <v>OS</v>
      </c>
      <c r="I270" s="16">
        <v>1</v>
      </c>
      <c r="J270" s="17">
        <f t="shared" si="51"/>
        <v>38</v>
      </c>
      <c r="K270" s="14">
        <f t="shared" si="60"/>
        <v>1000000</v>
      </c>
      <c r="L270" s="14">
        <v>38000000</v>
      </c>
      <c r="M270" s="18">
        <f t="shared" si="58"/>
        <v>2.3365922646498187E-3</v>
      </c>
      <c r="N270" s="19">
        <f t="shared" si="59"/>
        <v>1.1014492753623189E-3</v>
      </c>
    </row>
    <row r="271" spans="2:14" x14ac:dyDescent="0.25">
      <c r="B271" s="12" t="s">
        <v>498</v>
      </c>
      <c r="C271" s="13">
        <v>97</v>
      </c>
      <c r="D271" s="13">
        <v>98</v>
      </c>
      <c r="E271" s="14">
        <f t="shared" si="57"/>
        <v>9692</v>
      </c>
      <c r="F271" s="14">
        <f t="shared" si="47"/>
        <v>9703</v>
      </c>
      <c r="G271" s="15">
        <f t="shared" si="50"/>
        <v>12</v>
      </c>
      <c r="H271" s="16" t="str">
        <f t="shared" si="56"/>
        <v>OS</v>
      </c>
      <c r="I271" s="16">
        <v>1</v>
      </c>
      <c r="J271" s="17">
        <f t="shared" si="51"/>
        <v>12</v>
      </c>
      <c r="K271" s="14">
        <v>1000000</v>
      </c>
      <c r="L271" s="14">
        <v>12000000</v>
      </c>
      <c r="M271" s="18">
        <f t="shared" si="58"/>
        <v>7.3787124146836372E-4</v>
      </c>
      <c r="N271" s="19">
        <f t="shared" si="59"/>
        <v>3.4782608695652176E-4</v>
      </c>
    </row>
    <row r="272" spans="2:14" x14ac:dyDescent="0.25">
      <c r="B272" s="12" t="s">
        <v>499</v>
      </c>
      <c r="C272" s="13">
        <v>98</v>
      </c>
      <c r="D272" s="13">
        <v>98</v>
      </c>
      <c r="E272" s="14">
        <f t="shared" si="57"/>
        <v>9704</v>
      </c>
      <c r="F272" s="14">
        <f t="shared" si="47"/>
        <v>9741</v>
      </c>
      <c r="G272" s="15">
        <f t="shared" si="50"/>
        <v>38</v>
      </c>
      <c r="H272" s="16" t="str">
        <f t="shared" si="56"/>
        <v>OS</v>
      </c>
      <c r="I272" s="16">
        <v>1</v>
      </c>
      <c r="J272" s="17">
        <f t="shared" si="51"/>
        <v>38</v>
      </c>
      <c r="K272" s="14">
        <v>1000000</v>
      </c>
      <c r="L272" s="14">
        <v>38000000</v>
      </c>
      <c r="M272" s="18">
        <f t="shared" si="58"/>
        <v>2.3365922646498187E-3</v>
      </c>
      <c r="N272" s="19">
        <f t="shared" si="59"/>
        <v>1.1014492753623189E-3</v>
      </c>
    </row>
    <row r="273" spans="2:14" x14ac:dyDescent="0.25">
      <c r="B273" s="12" t="s">
        <v>500</v>
      </c>
      <c r="C273" s="13">
        <v>98</v>
      </c>
      <c r="D273" s="13">
        <v>98</v>
      </c>
      <c r="E273" s="14">
        <f t="shared" si="57"/>
        <v>9742</v>
      </c>
      <c r="F273" s="14">
        <f t="shared" si="47"/>
        <v>9766</v>
      </c>
      <c r="G273" s="15">
        <f t="shared" si="50"/>
        <v>25</v>
      </c>
      <c r="H273" s="16" t="str">
        <f t="shared" si="56"/>
        <v>OS</v>
      </c>
      <c r="I273" s="16">
        <v>1</v>
      </c>
      <c r="J273" s="17">
        <f t="shared" si="51"/>
        <v>25</v>
      </c>
      <c r="K273" s="14">
        <v>1000000</v>
      </c>
      <c r="L273" s="14">
        <v>25000000</v>
      </c>
      <c r="M273" s="18">
        <f t="shared" si="58"/>
        <v>1.5372317530590912E-3</v>
      </c>
      <c r="N273" s="19">
        <f t="shared" si="59"/>
        <v>7.246376811594203E-4</v>
      </c>
    </row>
    <row r="274" spans="2:14" x14ac:dyDescent="0.25">
      <c r="B274" s="12" t="s">
        <v>501</v>
      </c>
      <c r="C274" s="13">
        <v>98</v>
      </c>
      <c r="D274" s="13">
        <v>99</v>
      </c>
      <c r="E274" s="14">
        <f t="shared" si="57"/>
        <v>9767</v>
      </c>
      <c r="F274" s="14">
        <f t="shared" si="47"/>
        <v>9827</v>
      </c>
      <c r="G274" s="15">
        <f t="shared" si="50"/>
        <v>61</v>
      </c>
      <c r="H274" s="16" t="str">
        <f t="shared" si="56"/>
        <v>OS</v>
      </c>
      <c r="I274" s="16">
        <v>1</v>
      </c>
      <c r="J274" s="17">
        <f t="shared" si="51"/>
        <v>61</v>
      </c>
      <c r="K274" s="14">
        <v>1000000</v>
      </c>
      <c r="L274" s="14">
        <v>61000000</v>
      </c>
      <c r="M274" s="18">
        <f t="shared" si="58"/>
        <v>3.7508454774641824E-3</v>
      </c>
      <c r="N274" s="19">
        <f t="shared" si="59"/>
        <v>1.7681159420289854E-3</v>
      </c>
    </row>
    <row r="275" spans="2:14" x14ac:dyDescent="0.25">
      <c r="B275" s="12" t="s">
        <v>502</v>
      </c>
      <c r="C275" s="13">
        <v>99</v>
      </c>
      <c r="D275" s="13">
        <v>99</v>
      </c>
      <c r="E275" s="14">
        <f t="shared" si="57"/>
        <v>9828</v>
      </c>
      <c r="F275" s="14">
        <f t="shared" si="47"/>
        <v>9859</v>
      </c>
      <c r="G275" s="15">
        <f t="shared" si="50"/>
        <v>32</v>
      </c>
      <c r="H275" s="16" t="str">
        <f t="shared" si="56"/>
        <v>OS</v>
      </c>
      <c r="I275" s="16">
        <v>1</v>
      </c>
      <c r="J275" s="17">
        <f t="shared" si="51"/>
        <v>32</v>
      </c>
      <c r="K275" s="14">
        <v>1000000</v>
      </c>
      <c r="L275" s="14">
        <v>32000000</v>
      </c>
      <c r="M275" s="18">
        <f t="shared" si="58"/>
        <v>1.9676566439156369E-3</v>
      </c>
      <c r="N275" s="19">
        <f t="shared" si="59"/>
        <v>9.2753623188405793E-4</v>
      </c>
    </row>
    <row r="276" spans="2:14" x14ac:dyDescent="0.25">
      <c r="B276" s="12" t="s">
        <v>52</v>
      </c>
      <c r="C276" s="13">
        <v>99</v>
      </c>
      <c r="D276" s="13">
        <v>99</v>
      </c>
      <c r="E276" s="14">
        <f t="shared" si="57"/>
        <v>9860</v>
      </c>
      <c r="F276" s="14">
        <f t="shared" si="47"/>
        <v>9884</v>
      </c>
      <c r="G276" s="15">
        <f t="shared" si="50"/>
        <v>25</v>
      </c>
      <c r="H276" s="16" t="str">
        <f t="shared" si="56"/>
        <v>OS</v>
      </c>
      <c r="I276" s="16">
        <v>1</v>
      </c>
      <c r="J276" s="17">
        <f t="shared" si="51"/>
        <v>25</v>
      </c>
      <c r="K276" s="14">
        <v>1000000</v>
      </c>
      <c r="L276" s="14">
        <v>25000000</v>
      </c>
      <c r="M276" s="18">
        <f t="shared" si="58"/>
        <v>1.5372317530590912E-3</v>
      </c>
      <c r="N276" s="19">
        <f t="shared" si="59"/>
        <v>7.246376811594203E-4</v>
      </c>
    </row>
    <row r="277" spans="2:14" x14ac:dyDescent="0.25">
      <c r="B277" s="12" t="s">
        <v>503</v>
      </c>
      <c r="C277" s="13">
        <v>99</v>
      </c>
      <c r="D277" s="13">
        <v>100</v>
      </c>
      <c r="E277" s="14">
        <f t="shared" si="57"/>
        <v>9885</v>
      </c>
      <c r="F277" s="14">
        <f t="shared" si="47"/>
        <v>9934</v>
      </c>
      <c r="G277" s="15">
        <f t="shared" si="50"/>
        <v>50</v>
      </c>
      <c r="H277" s="16" t="str">
        <f t="shared" si="56"/>
        <v>OS</v>
      </c>
      <c r="I277" s="16">
        <v>1</v>
      </c>
      <c r="J277" s="17">
        <f t="shared" si="51"/>
        <v>50</v>
      </c>
      <c r="K277" s="14">
        <v>1000000</v>
      </c>
      <c r="L277" s="14">
        <v>50000000</v>
      </c>
      <c r="M277" s="18">
        <f t="shared" si="58"/>
        <v>3.0744635061181825E-3</v>
      </c>
      <c r="N277" s="19">
        <f t="shared" si="59"/>
        <v>1.4492753623188406E-3</v>
      </c>
    </row>
    <row r="278" spans="2:14" x14ac:dyDescent="0.25">
      <c r="B278" s="12" t="s">
        <v>504</v>
      </c>
      <c r="C278" s="13">
        <v>100</v>
      </c>
      <c r="D278" s="13">
        <v>101</v>
      </c>
      <c r="E278" s="14">
        <f t="shared" si="57"/>
        <v>9935</v>
      </c>
      <c r="F278" s="14">
        <f t="shared" si="47"/>
        <v>10062</v>
      </c>
      <c r="G278" s="15">
        <f t="shared" si="50"/>
        <v>128</v>
      </c>
      <c r="H278" s="16" t="str">
        <f t="shared" si="56"/>
        <v>OS</v>
      </c>
      <c r="I278" s="16">
        <v>1</v>
      </c>
      <c r="J278" s="17">
        <f t="shared" si="51"/>
        <v>128</v>
      </c>
      <c r="K278" s="14">
        <v>1000000</v>
      </c>
      <c r="L278" s="14">
        <v>128000000</v>
      </c>
      <c r="M278" s="18">
        <f t="shared" si="58"/>
        <v>7.8706265756625475E-3</v>
      </c>
      <c r="N278" s="19">
        <f t="shared" si="59"/>
        <v>3.7101449275362317E-3</v>
      </c>
    </row>
    <row r="279" spans="2:14" x14ac:dyDescent="0.25">
      <c r="B279" s="12" t="s">
        <v>505</v>
      </c>
      <c r="C279" s="13">
        <v>101</v>
      </c>
      <c r="D279" s="13">
        <v>101</v>
      </c>
      <c r="E279" s="14">
        <f t="shared" si="57"/>
        <v>10063</v>
      </c>
      <c r="F279" s="14">
        <f t="shared" si="47"/>
        <v>10087</v>
      </c>
      <c r="G279" s="15">
        <f t="shared" si="50"/>
        <v>25</v>
      </c>
      <c r="H279" s="16" t="str">
        <f t="shared" si="56"/>
        <v>OS</v>
      </c>
      <c r="I279" s="16">
        <v>1</v>
      </c>
      <c r="J279" s="17">
        <f t="shared" si="51"/>
        <v>25</v>
      </c>
      <c r="K279" s="14">
        <f>+K278</f>
        <v>1000000</v>
      </c>
      <c r="L279" s="14">
        <v>25000000</v>
      </c>
      <c r="M279" s="18">
        <f t="shared" si="58"/>
        <v>1.5372317530590912E-3</v>
      </c>
      <c r="N279" s="19">
        <f t="shared" si="59"/>
        <v>7.246376811594203E-4</v>
      </c>
    </row>
    <row r="280" spans="2:14" x14ac:dyDescent="0.25">
      <c r="B280" s="12" t="s">
        <v>506</v>
      </c>
      <c r="C280" s="13">
        <v>101</v>
      </c>
      <c r="D280" s="13">
        <v>101</v>
      </c>
      <c r="E280" s="14">
        <f t="shared" si="57"/>
        <v>10088</v>
      </c>
      <c r="F280" s="14">
        <f t="shared" si="47"/>
        <v>10094</v>
      </c>
      <c r="G280" s="15">
        <f t="shared" si="50"/>
        <v>7</v>
      </c>
      <c r="H280" s="16" t="str">
        <f t="shared" si="56"/>
        <v>OS</v>
      </c>
      <c r="I280" s="16">
        <v>1</v>
      </c>
      <c r="J280" s="17">
        <f t="shared" si="51"/>
        <v>7</v>
      </c>
      <c r="K280" s="14">
        <f t="shared" ref="K280:K304" si="61">+K279</f>
        <v>1000000</v>
      </c>
      <c r="L280" s="14">
        <v>7000000</v>
      </c>
      <c r="M280" s="18">
        <f t="shared" si="58"/>
        <v>4.3042489085654554E-4</v>
      </c>
      <c r="N280" s="19">
        <f t="shared" si="59"/>
        <v>2.0289855072463768E-4</v>
      </c>
    </row>
    <row r="281" spans="2:14" x14ac:dyDescent="0.25">
      <c r="B281" s="12" t="s">
        <v>353</v>
      </c>
      <c r="C281" s="13">
        <v>101</v>
      </c>
      <c r="D281" s="13">
        <v>101</v>
      </c>
      <c r="E281" s="14">
        <f t="shared" si="57"/>
        <v>10095</v>
      </c>
      <c r="F281" s="14">
        <f t="shared" si="47"/>
        <v>10096</v>
      </c>
      <c r="G281" s="15">
        <f t="shared" si="50"/>
        <v>2</v>
      </c>
      <c r="H281" s="16" t="str">
        <f t="shared" si="56"/>
        <v>OS</v>
      </c>
      <c r="I281" s="16">
        <v>1</v>
      </c>
      <c r="J281" s="17">
        <f t="shared" si="51"/>
        <v>2</v>
      </c>
      <c r="K281" s="14">
        <f t="shared" si="61"/>
        <v>1000000</v>
      </c>
      <c r="L281" s="14">
        <v>2000000</v>
      </c>
      <c r="M281" s="18">
        <f t="shared" si="58"/>
        <v>1.229785402447273E-4</v>
      </c>
      <c r="N281" s="19">
        <f t="shared" si="59"/>
        <v>5.797101449275362E-5</v>
      </c>
    </row>
    <row r="282" spans="2:14" x14ac:dyDescent="0.25">
      <c r="B282" s="12" t="s">
        <v>53</v>
      </c>
      <c r="C282" s="13">
        <v>101</v>
      </c>
      <c r="D282" s="13">
        <v>101</v>
      </c>
      <c r="E282" s="14">
        <f t="shared" si="57"/>
        <v>10097</v>
      </c>
      <c r="F282" s="14">
        <f t="shared" si="47"/>
        <v>10098</v>
      </c>
      <c r="G282" s="15">
        <f t="shared" si="50"/>
        <v>2</v>
      </c>
      <c r="H282" s="16" t="str">
        <f t="shared" si="56"/>
        <v>OS</v>
      </c>
      <c r="I282" s="16">
        <v>1</v>
      </c>
      <c r="J282" s="17">
        <f t="shared" si="51"/>
        <v>2</v>
      </c>
      <c r="K282" s="14">
        <f t="shared" si="61"/>
        <v>1000000</v>
      </c>
      <c r="L282" s="14">
        <v>2000000</v>
      </c>
      <c r="M282" s="18">
        <f t="shared" si="58"/>
        <v>1.229785402447273E-4</v>
      </c>
      <c r="N282" s="19">
        <f t="shared" si="59"/>
        <v>5.797101449275362E-5</v>
      </c>
    </row>
    <row r="283" spans="2:14" x14ac:dyDescent="0.25">
      <c r="B283" s="12" t="s">
        <v>55</v>
      </c>
      <c r="C283" s="13">
        <v>101</v>
      </c>
      <c r="D283" s="13">
        <v>101</v>
      </c>
      <c r="E283" s="14">
        <f t="shared" si="57"/>
        <v>10099</v>
      </c>
      <c r="F283" s="14">
        <f t="shared" si="47"/>
        <v>10100</v>
      </c>
      <c r="G283" s="15">
        <f t="shared" si="50"/>
        <v>2</v>
      </c>
      <c r="H283" s="16" t="str">
        <f t="shared" si="56"/>
        <v>OS</v>
      </c>
      <c r="I283" s="16">
        <v>1</v>
      </c>
      <c r="J283" s="17">
        <f t="shared" si="51"/>
        <v>2</v>
      </c>
      <c r="K283" s="14">
        <f t="shared" si="61"/>
        <v>1000000</v>
      </c>
      <c r="L283" s="14">
        <v>2000000</v>
      </c>
      <c r="M283" s="18">
        <f t="shared" si="58"/>
        <v>1.229785402447273E-4</v>
      </c>
      <c r="N283" s="19">
        <f t="shared" si="59"/>
        <v>5.797101449275362E-5</v>
      </c>
    </row>
    <row r="284" spans="2:14" x14ac:dyDescent="0.25">
      <c r="B284" s="12" t="s">
        <v>47</v>
      </c>
      <c r="C284" s="13">
        <v>102</v>
      </c>
      <c r="D284" s="13">
        <v>103</v>
      </c>
      <c r="E284" s="14">
        <f t="shared" si="57"/>
        <v>10101</v>
      </c>
      <c r="F284" s="14">
        <f t="shared" si="47"/>
        <v>10244</v>
      </c>
      <c r="G284" s="15">
        <f t="shared" si="50"/>
        <v>144</v>
      </c>
      <c r="H284" s="16" t="str">
        <f t="shared" si="56"/>
        <v>OS</v>
      </c>
      <c r="I284" s="16">
        <v>1</v>
      </c>
      <c r="J284" s="17">
        <f t="shared" si="51"/>
        <v>144</v>
      </c>
      <c r="K284" s="14">
        <f t="shared" si="61"/>
        <v>1000000</v>
      </c>
      <c r="L284" s="14">
        <v>144000000</v>
      </c>
      <c r="M284" s="18">
        <f t="shared" si="58"/>
        <v>8.8544548976203646E-3</v>
      </c>
      <c r="N284" s="19">
        <f t="shared" si="59"/>
        <v>4.1739130434782605E-3</v>
      </c>
    </row>
    <row r="285" spans="2:14" x14ac:dyDescent="0.25">
      <c r="B285" s="12" t="s">
        <v>45</v>
      </c>
      <c r="C285" s="13">
        <v>103</v>
      </c>
      <c r="D285" s="13">
        <v>104</v>
      </c>
      <c r="E285" s="14">
        <f t="shared" si="57"/>
        <v>10245</v>
      </c>
      <c r="F285" s="14">
        <f t="shared" si="47"/>
        <v>10388</v>
      </c>
      <c r="G285" s="15">
        <f t="shared" si="50"/>
        <v>144</v>
      </c>
      <c r="H285" s="16" t="str">
        <f t="shared" si="56"/>
        <v>OS</v>
      </c>
      <c r="I285" s="16">
        <v>1</v>
      </c>
      <c r="J285" s="17">
        <f t="shared" si="51"/>
        <v>144</v>
      </c>
      <c r="K285" s="14">
        <f t="shared" si="61"/>
        <v>1000000</v>
      </c>
      <c r="L285" s="14">
        <v>144000000</v>
      </c>
      <c r="M285" s="18">
        <f t="shared" si="58"/>
        <v>8.8544548976203646E-3</v>
      </c>
      <c r="N285" s="19">
        <f t="shared" si="59"/>
        <v>4.1739130434782605E-3</v>
      </c>
    </row>
    <row r="286" spans="2:14" x14ac:dyDescent="0.25">
      <c r="B286" s="12" t="s">
        <v>43</v>
      </c>
      <c r="C286" s="13">
        <v>104</v>
      </c>
      <c r="D286" s="13">
        <v>106</v>
      </c>
      <c r="E286" s="14">
        <f t="shared" si="57"/>
        <v>10389</v>
      </c>
      <c r="F286" s="14">
        <f t="shared" si="47"/>
        <v>10532</v>
      </c>
      <c r="G286" s="15">
        <f t="shared" si="50"/>
        <v>144</v>
      </c>
      <c r="H286" s="16" t="str">
        <f t="shared" si="56"/>
        <v>OS</v>
      </c>
      <c r="I286" s="16">
        <v>1</v>
      </c>
      <c r="J286" s="17">
        <f t="shared" si="51"/>
        <v>144</v>
      </c>
      <c r="K286" s="14">
        <f t="shared" si="61"/>
        <v>1000000</v>
      </c>
      <c r="L286" s="14">
        <v>144000000</v>
      </c>
      <c r="M286" s="18">
        <f t="shared" si="58"/>
        <v>8.8544548976203646E-3</v>
      </c>
      <c r="N286" s="19">
        <f t="shared" si="59"/>
        <v>4.1739130434782605E-3</v>
      </c>
    </row>
    <row r="287" spans="2:14" x14ac:dyDescent="0.25">
      <c r="B287" s="12" t="s">
        <v>494</v>
      </c>
      <c r="C287" s="13">
        <v>106</v>
      </c>
      <c r="D287" s="13">
        <v>107</v>
      </c>
      <c r="E287" s="14">
        <f t="shared" si="57"/>
        <v>10533</v>
      </c>
      <c r="F287" s="14">
        <f t="shared" si="47"/>
        <v>10676</v>
      </c>
      <c r="G287" s="15">
        <f t="shared" si="50"/>
        <v>144</v>
      </c>
      <c r="H287" s="16" t="str">
        <f t="shared" si="56"/>
        <v>OS</v>
      </c>
      <c r="I287" s="16">
        <v>1</v>
      </c>
      <c r="J287" s="17">
        <f t="shared" si="51"/>
        <v>144</v>
      </c>
      <c r="K287" s="14">
        <f t="shared" si="61"/>
        <v>1000000</v>
      </c>
      <c r="L287" s="14">
        <v>144000000</v>
      </c>
      <c r="M287" s="18">
        <f t="shared" si="58"/>
        <v>8.8544548976203646E-3</v>
      </c>
      <c r="N287" s="19">
        <f t="shared" si="59"/>
        <v>4.1739130434782605E-3</v>
      </c>
    </row>
    <row r="288" spans="2:14" x14ac:dyDescent="0.25">
      <c r="B288" s="12" t="s">
        <v>47</v>
      </c>
      <c r="C288" s="13">
        <v>107</v>
      </c>
      <c r="D288" s="13">
        <v>109</v>
      </c>
      <c r="E288" s="14">
        <f t="shared" si="57"/>
        <v>10677</v>
      </c>
      <c r="F288" s="14">
        <f t="shared" ref="F288:F351" si="62">+((E288)+(L288/K288))-1</f>
        <v>10806</v>
      </c>
      <c r="G288" s="15">
        <f t="shared" si="50"/>
        <v>130</v>
      </c>
      <c r="H288" s="16" t="str">
        <f t="shared" si="56"/>
        <v>OS</v>
      </c>
      <c r="I288" s="16">
        <v>1</v>
      </c>
      <c r="J288" s="17">
        <f t="shared" si="51"/>
        <v>130</v>
      </c>
      <c r="K288" s="14">
        <f t="shared" si="61"/>
        <v>1000000</v>
      </c>
      <c r="L288" s="14">
        <v>130000000</v>
      </c>
      <c r="M288" s="18">
        <f t="shared" ref="M288:M319" si="63">+L288/$L$433</f>
        <v>7.9936051159072742E-3</v>
      </c>
      <c r="N288" s="19">
        <f t="shared" ref="N288:N319" si="64">+J288/$J$433</f>
        <v>3.7681159420289855E-3</v>
      </c>
    </row>
    <row r="289" spans="2:14" x14ac:dyDescent="0.25">
      <c r="B289" s="12" t="s">
        <v>45</v>
      </c>
      <c r="C289" s="13">
        <v>109</v>
      </c>
      <c r="D289" s="13">
        <v>110</v>
      </c>
      <c r="E289" s="14">
        <f t="shared" si="57"/>
        <v>10807</v>
      </c>
      <c r="F289" s="14">
        <f t="shared" si="62"/>
        <v>10936</v>
      </c>
      <c r="G289" s="15">
        <f t="shared" si="50"/>
        <v>130</v>
      </c>
      <c r="H289" s="16" t="str">
        <f t="shared" si="56"/>
        <v>OS</v>
      </c>
      <c r="I289" s="16">
        <v>1</v>
      </c>
      <c r="J289" s="17">
        <f t="shared" si="51"/>
        <v>130</v>
      </c>
      <c r="K289" s="14">
        <f t="shared" si="61"/>
        <v>1000000</v>
      </c>
      <c r="L289" s="14">
        <v>130000000</v>
      </c>
      <c r="M289" s="18">
        <f t="shared" si="63"/>
        <v>7.9936051159072742E-3</v>
      </c>
      <c r="N289" s="19">
        <f t="shared" si="64"/>
        <v>3.7681159420289855E-3</v>
      </c>
    </row>
    <row r="290" spans="2:14" x14ac:dyDescent="0.25">
      <c r="B290" s="12" t="s">
        <v>43</v>
      </c>
      <c r="C290" s="13">
        <v>110</v>
      </c>
      <c r="D290" s="13">
        <v>111</v>
      </c>
      <c r="E290" s="14">
        <f t="shared" si="57"/>
        <v>10937</v>
      </c>
      <c r="F290" s="14">
        <f t="shared" si="62"/>
        <v>11066</v>
      </c>
      <c r="G290" s="15">
        <f t="shared" si="50"/>
        <v>130</v>
      </c>
      <c r="H290" s="16" t="str">
        <f t="shared" si="56"/>
        <v>OS</v>
      </c>
      <c r="I290" s="16">
        <v>1</v>
      </c>
      <c r="J290" s="17">
        <f t="shared" si="51"/>
        <v>130</v>
      </c>
      <c r="K290" s="14">
        <f t="shared" si="61"/>
        <v>1000000</v>
      </c>
      <c r="L290" s="14">
        <v>130000000</v>
      </c>
      <c r="M290" s="18">
        <f t="shared" si="63"/>
        <v>7.9936051159072742E-3</v>
      </c>
      <c r="N290" s="19">
        <f t="shared" si="64"/>
        <v>3.7681159420289855E-3</v>
      </c>
    </row>
    <row r="291" spans="2:14" x14ac:dyDescent="0.25">
      <c r="B291" s="12" t="s">
        <v>494</v>
      </c>
      <c r="C291" s="13">
        <v>111</v>
      </c>
      <c r="D291" s="13">
        <v>112</v>
      </c>
      <c r="E291" s="14">
        <f t="shared" si="57"/>
        <v>11067</v>
      </c>
      <c r="F291" s="14">
        <f t="shared" si="62"/>
        <v>11196</v>
      </c>
      <c r="G291" s="15">
        <f t="shared" si="50"/>
        <v>130</v>
      </c>
      <c r="H291" s="16" t="str">
        <f t="shared" si="56"/>
        <v>OS</v>
      </c>
      <c r="I291" s="16">
        <v>1</v>
      </c>
      <c r="J291" s="17">
        <f t="shared" si="51"/>
        <v>130</v>
      </c>
      <c r="K291" s="14">
        <f t="shared" si="61"/>
        <v>1000000</v>
      </c>
      <c r="L291" s="14">
        <v>130000000</v>
      </c>
      <c r="M291" s="18">
        <f t="shared" si="63"/>
        <v>7.9936051159072742E-3</v>
      </c>
      <c r="N291" s="19">
        <f t="shared" si="64"/>
        <v>3.7681159420289855E-3</v>
      </c>
    </row>
    <row r="292" spans="2:14" x14ac:dyDescent="0.25">
      <c r="B292" s="12" t="s">
        <v>495</v>
      </c>
      <c r="C292" s="13">
        <v>112</v>
      </c>
      <c r="D292" s="13">
        <v>113</v>
      </c>
      <c r="E292" s="14">
        <f>+F291+1</f>
        <v>11197</v>
      </c>
      <c r="F292" s="14">
        <f t="shared" si="62"/>
        <v>11214</v>
      </c>
      <c r="G292" s="15">
        <f t="shared" si="50"/>
        <v>18</v>
      </c>
      <c r="H292" s="16" t="str">
        <f>+H291</f>
        <v>OS</v>
      </c>
      <c r="I292" s="16">
        <v>1</v>
      </c>
      <c r="J292" s="17">
        <f t="shared" si="51"/>
        <v>18</v>
      </c>
      <c r="K292" s="14">
        <f>+K291</f>
        <v>1000000</v>
      </c>
      <c r="L292" s="14">
        <v>18000000</v>
      </c>
      <c r="M292" s="18">
        <f t="shared" si="63"/>
        <v>1.1068068622025456E-3</v>
      </c>
      <c r="N292" s="19">
        <f t="shared" si="64"/>
        <v>5.2173913043478256E-4</v>
      </c>
    </row>
    <row r="293" spans="2:14" x14ac:dyDescent="0.25">
      <c r="B293" s="12" t="s">
        <v>497</v>
      </c>
      <c r="C293" s="13">
        <v>113</v>
      </c>
      <c r="D293" s="13">
        <v>113</v>
      </c>
      <c r="E293" s="14">
        <f t="shared" si="57"/>
        <v>11215</v>
      </c>
      <c r="F293" s="14">
        <f t="shared" si="62"/>
        <v>11240</v>
      </c>
      <c r="G293" s="15">
        <f t="shared" si="50"/>
        <v>26</v>
      </c>
      <c r="H293" s="16" t="str">
        <f t="shared" si="56"/>
        <v>OS</v>
      </c>
      <c r="I293" s="16">
        <v>1</v>
      </c>
      <c r="J293" s="17">
        <f t="shared" si="51"/>
        <v>26</v>
      </c>
      <c r="K293" s="14">
        <f t="shared" si="61"/>
        <v>1000000</v>
      </c>
      <c r="L293" s="14">
        <v>26000000</v>
      </c>
      <c r="M293" s="18">
        <f t="shared" si="63"/>
        <v>1.5987210231814548E-3</v>
      </c>
      <c r="N293" s="19">
        <f t="shared" si="64"/>
        <v>7.5362318840579707E-4</v>
      </c>
    </row>
    <row r="294" spans="2:14" x14ac:dyDescent="0.25">
      <c r="B294" s="12" t="s">
        <v>498</v>
      </c>
      <c r="C294" s="13">
        <v>113</v>
      </c>
      <c r="D294" s="13">
        <v>113</v>
      </c>
      <c r="E294" s="14">
        <f t="shared" si="57"/>
        <v>11241</v>
      </c>
      <c r="F294" s="14">
        <f t="shared" si="62"/>
        <v>11256</v>
      </c>
      <c r="G294" s="15">
        <f t="shared" si="50"/>
        <v>16</v>
      </c>
      <c r="H294" s="16" t="str">
        <f t="shared" si="56"/>
        <v>OS</v>
      </c>
      <c r="I294" s="16">
        <v>1</v>
      </c>
      <c r="J294" s="17">
        <f t="shared" si="51"/>
        <v>16</v>
      </c>
      <c r="K294" s="14">
        <f t="shared" si="61"/>
        <v>1000000</v>
      </c>
      <c r="L294" s="14">
        <v>16000000</v>
      </c>
      <c r="M294" s="18">
        <f t="shared" si="63"/>
        <v>9.8382832195781844E-4</v>
      </c>
      <c r="N294" s="19">
        <f t="shared" si="64"/>
        <v>4.6376811594202896E-4</v>
      </c>
    </row>
    <row r="295" spans="2:14" x14ac:dyDescent="0.25">
      <c r="B295" s="12" t="s">
        <v>499</v>
      </c>
      <c r="C295" s="13">
        <v>113</v>
      </c>
      <c r="D295" s="13">
        <v>113</v>
      </c>
      <c r="E295" s="14">
        <f t="shared" si="57"/>
        <v>11257</v>
      </c>
      <c r="F295" s="14">
        <f t="shared" si="62"/>
        <v>11281</v>
      </c>
      <c r="G295" s="15">
        <f t="shared" si="50"/>
        <v>25</v>
      </c>
      <c r="H295" s="16" t="str">
        <f t="shared" si="56"/>
        <v>OS</v>
      </c>
      <c r="I295" s="16">
        <v>1</v>
      </c>
      <c r="J295" s="17">
        <f t="shared" si="51"/>
        <v>25</v>
      </c>
      <c r="K295" s="14">
        <f t="shared" si="61"/>
        <v>1000000</v>
      </c>
      <c r="L295" s="14">
        <v>25000000</v>
      </c>
      <c r="M295" s="18">
        <f t="shared" si="63"/>
        <v>1.5372317530590912E-3</v>
      </c>
      <c r="N295" s="19">
        <f t="shared" si="64"/>
        <v>7.246376811594203E-4</v>
      </c>
    </row>
    <row r="296" spans="2:14" x14ac:dyDescent="0.25">
      <c r="B296" s="12" t="s">
        <v>500</v>
      </c>
      <c r="C296" s="13">
        <v>113</v>
      </c>
      <c r="D296" s="13">
        <v>113</v>
      </c>
      <c r="E296" s="14">
        <f t="shared" si="57"/>
        <v>11282</v>
      </c>
      <c r="F296" s="14">
        <f t="shared" si="62"/>
        <v>11297</v>
      </c>
      <c r="G296" s="15">
        <f t="shared" si="50"/>
        <v>16</v>
      </c>
      <c r="H296" s="16" t="str">
        <f t="shared" si="56"/>
        <v>OS</v>
      </c>
      <c r="I296" s="16">
        <v>1</v>
      </c>
      <c r="J296" s="17">
        <f t="shared" si="51"/>
        <v>16</v>
      </c>
      <c r="K296" s="14">
        <f t="shared" si="61"/>
        <v>1000000</v>
      </c>
      <c r="L296" s="14">
        <v>16000000</v>
      </c>
      <c r="M296" s="18">
        <f t="shared" si="63"/>
        <v>9.8382832195781844E-4</v>
      </c>
      <c r="N296" s="19">
        <f t="shared" si="64"/>
        <v>4.6376811594202896E-4</v>
      </c>
    </row>
    <row r="297" spans="2:14" x14ac:dyDescent="0.25">
      <c r="B297" s="12" t="s">
        <v>501</v>
      </c>
      <c r="C297" s="13">
        <v>113</v>
      </c>
      <c r="D297" s="13">
        <v>114</v>
      </c>
      <c r="E297" s="14">
        <f t="shared" si="57"/>
        <v>11298</v>
      </c>
      <c r="F297" s="14">
        <f t="shared" si="62"/>
        <v>11335</v>
      </c>
      <c r="G297" s="15">
        <f t="shared" si="50"/>
        <v>38</v>
      </c>
      <c r="H297" s="16" t="str">
        <f>+H293</f>
        <v>OS</v>
      </c>
      <c r="I297" s="16">
        <v>1</v>
      </c>
      <c r="J297" s="17">
        <f t="shared" si="51"/>
        <v>38</v>
      </c>
      <c r="K297" s="14">
        <f>+K293</f>
        <v>1000000</v>
      </c>
      <c r="L297" s="14">
        <v>38000000</v>
      </c>
      <c r="M297" s="18">
        <f t="shared" si="63"/>
        <v>2.3365922646498187E-3</v>
      </c>
      <c r="N297" s="19">
        <f t="shared" si="64"/>
        <v>1.1014492753623189E-3</v>
      </c>
    </row>
    <row r="298" spans="2:14" x14ac:dyDescent="0.25">
      <c r="B298" s="12" t="s">
        <v>502</v>
      </c>
      <c r="C298" s="13">
        <v>114</v>
      </c>
      <c r="D298" s="13">
        <v>114</v>
      </c>
      <c r="E298" s="14">
        <f t="shared" si="57"/>
        <v>11336</v>
      </c>
      <c r="F298" s="14">
        <f t="shared" si="62"/>
        <v>11350</v>
      </c>
      <c r="G298" s="15">
        <f t="shared" si="50"/>
        <v>15</v>
      </c>
      <c r="H298" s="16" t="str">
        <f t="shared" si="56"/>
        <v>OS</v>
      </c>
      <c r="I298" s="16">
        <v>1</v>
      </c>
      <c r="J298" s="17">
        <f t="shared" si="51"/>
        <v>15</v>
      </c>
      <c r="K298" s="14">
        <f t="shared" si="61"/>
        <v>1000000</v>
      </c>
      <c r="L298" s="14">
        <v>15000000</v>
      </c>
      <c r="M298" s="18">
        <f t="shared" si="63"/>
        <v>9.2233905183545476E-4</v>
      </c>
      <c r="N298" s="19">
        <f t="shared" si="64"/>
        <v>4.3478260869565219E-4</v>
      </c>
    </row>
    <row r="299" spans="2:14" x14ac:dyDescent="0.25">
      <c r="B299" s="12" t="s">
        <v>503</v>
      </c>
      <c r="C299" s="13">
        <v>114</v>
      </c>
      <c r="D299" s="13">
        <v>114</v>
      </c>
      <c r="E299" s="14">
        <f t="shared" si="57"/>
        <v>11351</v>
      </c>
      <c r="F299" s="14">
        <f t="shared" si="62"/>
        <v>11373</v>
      </c>
      <c r="G299" s="15">
        <f t="shared" si="50"/>
        <v>23</v>
      </c>
      <c r="H299" s="16" t="str">
        <f t="shared" si="56"/>
        <v>OS</v>
      </c>
      <c r="I299" s="16">
        <v>1</v>
      </c>
      <c r="J299" s="17">
        <f t="shared" si="51"/>
        <v>23</v>
      </c>
      <c r="K299" s="14">
        <f t="shared" si="61"/>
        <v>1000000</v>
      </c>
      <c r="L299" s="14">
        <v>23000000</v>
      </c>
      <c r="M299" s="18">
        <f t="shared" si="63"/>
        <v>1.4142532128143639E-3</v>
      </c>
      <c r="N299" s="19">
        <f t="shared" si="64"/>
        <v>6.6666666666666664E-4</v>
      </c>
    </row>
    <row r="300" spans="2:14" x14ac:dyDescent="0.25">
      <c r="B300" s="12" t="s">
        <v>504</v>
      </c>
      <c r="C300" s="13">
        <v>114</v>
      </c>
      <c r="D300" s="13">
        <v>115</v>
      </c>
      <c r="E300" s="14">
        <f t="shared" si="57"/>
        <v>11374</v>
      </c>
      <c r="F300" s="14">
        <f t="shared" si="62"/>
        <v>11441</v>
      </c>
      <c r="G300" s="15">
        <f t="shared" si="50"/>
        <v>68</v>
      </c>
      <c r="H300" s="16" t="str">
        <f t="shared" si="56"/>
        <v>OS</v>
      </c>
      <c r="I300" s="16">
        <v>1</v>
      </c>
      <c r="J300" s="17">
        <f t="shared" si="51"/>
        <v>68</v>
      </c>
      <c r="K300" s="14">
        <f t="shared" si="61"/>
        <v>1000000</v>
      </c>
      <c r="L300" s="14">
        <v>68000000</v>
      </c>
      <c r="M300" s="18">
        <f t="shared" si="63"/>
        <v>4.181270368320728E-3</v>
      </c>
      <c r="N300" s="19">
        <f t="shared" si="64"/>
        <v>1.9710144927536232E-3</v>
      </c>
    </row>
    <row r="301" spans="2:14" x14ac:dyDescent="0.25">
      <c r="B301" s="12" t="s">
        <v>505</v>
      </c>
      <c r="C301" s="13">
        <v>115</v>
      </c>
      <c r="D301" s="13">
        <v>115</v>
      </c>
      <c r="E301" s="14">
        <f t="shared" si="57"/>
        <v>11442</v>
      </c>
      <c r="F301" s="14">
        <f t="shared" si="62"/>
        <v>11465</v>
      </c>
      <c r="G301" s="15">
        <f t="shared" si="50"/>
        <v>24</v>
      </c>
      <c r="H301" s="16" t="str">
        <f t="shared" si="56"/>
        <v>OS</v>
      </c>
      <c r="I301" s="16">
        <v>1</v>
      </c>
      <c r="J301" s="17">
        <f t="shared" si="51"/>
        <v>24</v>
      </c>
      <c r="K301" s="14">
        <f t="shared" si="61"/>
        <v>1000000</v>
      </c>
      <c r="L301" s="14">
        <v>24000000</v>
      </c>
      <c r="M301" s="18">
        <f t="shared" si="63"/>
        <v>1.4757424829367274E-3</v>
      </c>
      <c r="N301" s="19">
        <f t="shared" si="64"/>
        <v>6.9565217391304353E-4</v>
      </c>
    </row>
    <row r="302" spans="2:14" x14ac:dyDescent="0.25">
      <c r="B302" s="12" t="s">
        <v>506</v>
      </c>
      <c r="C302" s="13">
        <v>115</v>
      </c>
      <c r="D302" s="13">
        <v>115</v>
      </c>
      <c r="E302" s="14">
        <f t="shared" si="57"/>
        <v>11466</v>
      </c>
      <c r="F302" s="14">
        <f t="shared" si="62"/>
        <v>11468</v>
      </c>
      <c r="G302" s="15">
        <f t="shared" si="50"/>
        <v>3</v>
      </c>
      <c r="H302" s="16" t="str">
        <f t="shared" si="56"/>
        <v>OS</v>
      </c>
      <c r="I302" s="16">
        <v>1</v>
      </c>
      <c r="J302" s="17">
        <f t="shared" si="51"/>
        <v>3</v>
      </c>
      <c r="K302" s="14">
        <f t="shared" si="61"/>
        <v>1000000</v>
      </c>
      <c r="L302" s="14">
        <v>3000000</v>
      </c>
      <c r="M302" s="18">
        <f t="shared" si="63"/>
        <v>1.8446781036709093E-4</v>
      </c>
      <c r="N302" s="19">
        <f t="shared" si="64"/>
        <v>8.6956521739130441E-5</v>
      </c>
    </row>
    <row r="303" spans="2:14" x14ac:dyDescent="0.25">
      <c r="B303" s="12" t="s">
        <v>353</v>
      </c>
      <c r="C303" s="13">
        <v>115</v>
      </c>
      <c r="D303" s="13">
        <v>115</v>
      </c>
      <c r="E303" s="14">
        <f t="shared" si="57"/>
        <v>11469</v>
      </c>
      <c r="F303" s="14">
        <f t="shared" si="62"/>
        <v>11470</v>
      </c>
      <c r="G303" s="15">
        <f t="shared" si="50"/>
        <v>2</v>
      </c>
      <c r="H303" s="16" t="str">
        <f t="shared" ref="H303:H316" si="65">+H302</f>
        <v>OS</v>
      </c>
      <c r="I303" s="16">
        <v>1</v>
      </c>
      <c r="J303" s="17">
        <f t="shared" si="51"/>
        <v>2</v>
      </c>
      <c r="K303" s="14">
        <f t="shared" si="61"/>
        <v>1000000</v>
      </c>
      <c r="L303" s="14">
        <v>2000000</v>
      </c>
      <c r="M303" s="18">
        <f t="shared" si="63"/>
        <v>1.229785402447273E-4</v>
      </c>
      <c r="N303" s="19">
        <f t="shared" si="64"/>
        <v>5.797101449275362E-5</v>
      </c>
    </row>
    <row r="304" spans="2:14" x14ac:dyDescent="0.25">
      <c r="B304" s="12" t="s">
        <v>53</v>
      </c>
      <c r="C304" s="13">
        <v>115</v>
      </c>
      <c r="D304" s="13">
        <v>115</v>
      </c>
      <c r="E304" s="14">
        <f t="shared" si="57"/>
        <v>11471</v>
      </c>
      <c r="F304" s="14">
        <f t="shared" si="62"/>
        <v>11472</v>
      </c>
      <c r="G304" s="15">
        <f t="shared" si="50"/>
        <v>2</v>
      </c>
      <c r="H304" s="16" t="str">
        <f t="shared" si="65"/>
        <v>OS</v>
      </c>
      <c r="I304" s="16">
        <v>1</v>
      </c>
      <c r="J304" s="17">
        <f t="shared" si="51"/>
        <v>2</v>
      </c>
      <c r="K304" s="14">
        <f t="shared" si="61"/>
        <v>1000000</v>
      </c>
      <c r="L304" s="14">
        <v>2000000</v>
      </c>
      <c r="M304" s="18">
        <f t="shared" si="63"/>
        <v>1.229785402447273E-4</v>
      </c>
      <c r="N304" s="19">
        <f t="shared" si="64"/>
        <v>5.797101449275362E-5</v>
      </c>
    </row>
    <row r="305" spans="2:14" x14ac:dyDescent="0.25">
      <c r="B305" s="12" t="s">
        <v>55</v>
      </c>
      <c r="C305" s="13">
        <v>115</v>
      </c>
      <c r="D305" s="13">
        <v>115</v>
      </c>
      <c r="E305" s="14">
        <f t="shared" si="57"/>
        <v>11473</v>
      </c>
      <c r="F305" s="14">
        <f t="shared" si="62"/>
        <v>11474</v>
      </c>
      <c r="G305" s="15">
        <f t="shared" si="50"/>
        <v>2</v>
      </c>
      <c r="H305" s="16" t="str">
        <f t="shared" si="65"/>
        <v>OS</v>
      </c>
      <c r="I305" s="16">
        <v>1</v>
      </c>
      <c r="J305" s="17">
        <f t="shared" si="51"/>
        <v>2</v>
      </c>
      <c r="K305" s="14">
        <f>+K304</f>
        <v>1000000</v>
      </c>
      <c r="L305" s="14">
        <v>2000000</v>
      </c>
      <c r="M305" s="18">
        <f t="shared" si="63"/>
        <v>1.229785402447273E-4</v>
      </c>
      <c r="N305" s="19">
        <f t="shared" si="64"/>
        <v>5.797101449275362E-5</v>
      </c>
    </row>
    <row r="306" spans="2:14" x14ac:dyDescent="0.25">
      <c r="B306" s="12" t="s">
        <v>507</v>
      </c>
      <c r="C306" s="13">
        <v>115</v>
      </c>
      <c r="D306" s="13">
        <v>115</v>
      </c>
      <c r="E306" s="14">
        <f t="shared" si="57"/>
        <v>11475</v>
      </c>
      <c r="F306" s="14">
        <f t="shared" si="62"/>
        <v>11478</v>
      </c>
      <c r="G306" s="15">
        <f t="shared" si="50"/>
        <v>4</v>
      </c>
      <c r="H306" s="16" t="str">
        <f t="shared" si="65"/>
        <v>OS</v>
      </c>
      <c r="I306" s="16">
        <v>1</v>
      </c>
      <c r="J306" s="17">
        <f t="shared" si="51"/>
        <v>4</v>
      </c>
      <c r="K306" s="14">
        <f t="shared" ref="K306:K367" si="66">+K305</f>
        <v>1000000</v>
      </c>
      <c r="L306" s="14">
        <v>4000000</v>
      </c>
      <c r="M306" s="18">
        <f t="shared" si="63"/>
        <v>2.4595708048945461E-4</v>
      </c>
      <c r="N306" s="19">
        <f t="shared" si="64"/>
        <v>1.1594202898550724E-4</v>
      </c>
    </row>
    <row r="307" spans="2:14" x14ac:dyDescent="0.25">
      <c r="B307" s="12" t="s">
        <v>508</v>
      </c>
      <c r="C307" s="13">
        <v>115</v>
      </c>
      <c r="D307" s="13">
        <v>115</v>
      </c>
      <c r="E307" s="14">
        <f t="shared" si="57"/>
        <v>11479</v>
      </c>
      <c r="F307" s="14">
        <f t="shared" si="62"/>
        <v>11483</v>
      </c>
      <c r="G307" s="15">
        <f t="shared" si="50"/>
        <v>5</v>
      </c>
      <c r="H307" s="16" t="str">
        <f t="shared" si="65"/>
        <v>OS</v>
      </c>
      <c r="I307" s="16">
        <v>1</v>
      </c>
      <c r="J307" s="17">
        <f t="shared" si="51"/>
        <v>5</v>
      </c>
      <c r="K307" s="14">
        <f t="shared" si="66"/>
        <v>1000000</v>
      </c>
      <c r="L307" s="14">
        <v>5000000</v>
      </c>
      <c r="M307" s="18">
        <f t="shared" si="63"/>
        <v>3.0744635061181823E-4</v>
      </c>
      <c r="N307" s="19">
        <f t="shared" si="64"/>
        <v>1.4492753623188405E-4</v>
      </c>
    </row>
    <row r="308" spans="2:14" x14ac:dyDescent="0.25">
      <c r="B308" s="12" t="s">
        <v>509</v>
      </c>
      <c r="C308" s="13">
        <v>115</v>
      </c>
      <c r="D308" s="13">
        <v>115</v>
      </c>
      <c r="E308" s="14">
        <f t="shared" si="57"/>
        <v>11484</v>
      </c>
      <c r="F308" s="14">
        <f t="shared" si="62"/>
        <v>11485</v>
      </c>
      <c r="G308" s="15">
        <f t="shared" si="50"/>
        <v>2</v>
      </c>
      <c r="H308" s="16" t="str">
        <f t="shared" si="65"/>
        <v>OS</v>
      </c>
      <c r="I308" s="16">
        <v>1</v>
      </c>
      <c r="J308" s="17">
        <f t="shared" si="51"/>
        <v>2</v>
      </c>
      <c r="K308" s="14">
        <f t="shared" si="66"/>
        <v>1000000</v>
      </c>
      <c r="L308" s="14">
        <v>2000000</v>
      </c>
      <c r="M308" s="18">
        <f t="shared" si="63"/>
        <v>1.229785402447273E-4</v>
      </c>
      <c r="N308" s="19">
        <f t="shared" si="64"/>
        <v>5.797101449275362E-5</v>
      </c>
    </row>
    <row r="309" spans="2:14" x14ac:dyDescent="0.25">
      <c r="B309" s="12" t="s">
        <v>503</v>
      </c>
      <c r="C309" s="13">
        <v>115</v>
      </c>
      <c r="D309" s="13">
        <v>115</v>
      </c>
      <c r="E309" s="14">
        <f t="shared" si="57"/>
        <v>11486</v>
      </c>
      <c r="F309" s="14">
        <f t="shared" si="62"/>
        <v>11500</v>
      </c>
      <c r="G309" s="15">
        <f t="shared" si="50"/>
        <v>15</v>
      </c>
      <c r="H309" s="16" t="str">
        <f t="shared" si="65"/>
        <v>OS</v>
      </c>
      <c r="I309" s="16">
        <v>1</v>
      </c>
      <c r="J309" s="17">
        <f t="shared" si="51"/>
        <v>15</v>
      </c>
      <c r="K309" s="14">
        <f t="shared" si="66"/>
        <v>1000000</v>
      </c>
      <c r="L309" s="14">
        <v>15000000</v>
      </c>
      <c r="M309" s="18">
        <f t="shared" si="63"/>
        <v>9.2233905183545476E-4</v>
      </c>
      <c r="N309" s="19">
        <f t="shared" si="64"/>
        <v>4.3478260869565219E-4</v>
      </c>
    </row>
    <row r="310" spans="2:14" x14ac:dyDescent="0.25">
      <c r="B310" s="12" t="s">
        <v>47</v>
      </c>
      <c r="C310" s="13">
        <v>116</v>
      </c>
      <c r="D310" s="13">
        <v>117</v>
      </c>
      <c r="E310" s="14">
        <f t="shared" si="57"/>
        <v>11501</v>
      </c>
      <c r="F310" s="14">
        <f t="shared" si="62"/>
        <v>11610</v>
      </c>
      <c r="G310" s="15">
        <f t="shared" si="50"/>
        <v>110</v>
      </c>
      <c r="H310" s="16" t="str">
        <f t="shared" si="65"/>
        <v>OS</v>
      </c>
      <c r="I310" s="16">
        <v>1</v>
      </c>
      <c r="J310" s="17">
        <f t="shared" si="51"/>
        <v>110</v>
      </c>
      <c r="K310" s="14">
        <f t="shared" si="66"/>
        <v>1000000</v>
      </c>
      <c r="L310" s="14">
        <v>110000000</v>
      </c>
      <c r="M310" s="18">
        <f t="shared" si="63"/>
        <v>6.7638197134600011E-3</v>
      </c>
      <c r="N310" s="19">
        <f t="shared" si="64"/>
        <v>3.1884057971014491E-3</v>
      </c>
    </row>
    <row r="311" spans="2:14" x14ac:dyDescent="0.25">
      <c r="B311" s="12" t="s">
        <v>510</v>
      </c>
      <c r="C311" s="13">
        <v>117</v>
      </c>
      <c r="D311" s="13">
        <v>117</v>
      </c>
      <c r="E311" s="14">
        <f t="shared" si="57"/>
        <v>11611</v>
      </c>
      <c r="F311" s="14">
        <f t="shared" si="62"/>
        <v>11625</v>
      </c>
      <c r="G311" s="15">
        <f t="shared" si="50"/>
        <v>15</v>
      </c>
      <c r="H311" s="16" t="str">
        <f t="shared" si="65"/>
        <v>OS</v>
      </c>
      <c r="I311" s="16">
        <v>1</v>
      </c>
      <c r="J311" s="17">
        <f t="shared" si="51"/>
        <v>15</v>
      </c>
      <c r="K311" s="14">
        <f t="shared" si="66"/>
        <v>1000000</v>
      </c>
      <c r="L311" s="14">
        <v>15000000</v>
      </c>
      <c r="M311" s="18">
        <f t="shared" si="63"/>
        <v>9.2233905183545476E-4</v>
      </c>
      <c r="N311" s="19">
        <f t="shared" si="64"/>
        <v>4.3478260869565219E-4</v>
      </c>
    </row>
    <row r="312" spans="2:14" x14ac:dyDescent="0.25">
      <c r="B312" s="12" t="s">
        <v>45</v>
      </c>
      <c r="C312" s="13">
        <v>117</v>
      </c>
      <c r="D312" s="13">
        <v>118</v>
      </c>
      <c r="E312" s="14">
        <f t="shared" si="57"/>
        <v>11626</v>
      </c>
      <c r="F312" s="14">
        <f t="shared" si="62"/>
        <v>11735</v>
      </c>
      <c r="G312" s="15">
        <f t="shared" si="50"/>
        <v>110</v>
      </c>
      <c r="H312" s="16" t="str">
        <f t="shared" si="65"/>
        <v>OS</v>
      </c>
      <c r="I312" s="16">
        <v>1</v>
      </c>
      <c r="J312" s="17">
        <f t="shared" si="51"/>
        <v>110</v>
      </c>
      <c r="K312" s="14">
        <f t="shared" si="66"/>
        <v>1000000</v>
      </c>
      <c r="L312" s="14">
        <v>110000000</v>
      </c>
      <c r="M312" s="18">
        <f t="shared" si="63"/>
        <v>6.7638197134600011E-3</v>
      </c>
      <c r="N312" s="19">
        <f t="shared" si="64"/>
        <v>3.1884057971014491E-3</v>
      </c>
    </row>
    <row r="313" spans="2:14" x14ac:dyDescent="0.25">
      <c r="B313" s="12" t="s">
        <v>510</v>
      </c>
      <c r="C313" s="13">
        <v>118</v>
      </c>
      <c r="D313" s="13">
        <v>118</v>
      </c>
      <c r="E313" s="14">
        <f t="shared" si="57"/>
        <v>11736</v>
      </c>
      <c r="F313" s="14">
        <f t="shared" si="62"/>
        <v>11750</v>
      </c>
      <c r="G313" s="15">
        <f t="shared" si="50"/>
        <v>15</v>
      </c>
      <c r="H313" s="16" t="str">
        <f t="shared" si="65"/>
        <v>OS</v>
      </c>
      <c r="I313" s="16">
        <v>1</v>
      </c>
      <c r="J313" s="17">
        <f t="shared" si="51"/>
        <v>15</v>
      </c>
      <c r="K313" s="14">
        <f t="shared" si="66"/>
        <v>1000000</v>
      </c>
      <c r="L313" s="14">
        <v>15000000</v>
      </c>
      <c r="M313" s="18">
        <f t="shared" si="63"/>
        <v>9.2233905183545476E-4</v>
      </c>
      <c r="N313" s="19">
        <f t="shared" si="64"/>
        <v>4.3478260869565219E-4</v>
      </c>
    </row>
    <row r="314" spans="2:14" x14ac:dyDescent="0.25">
      <c r="B314" s="12" t="s">
        <v>43</v>
      </c>
      <c r="C314" s="13">
        <v>118</v>
      </c>
      <c r="D314" s="13">
        <v>119</v>
      </c>
      <c r="E314" s="14">
        <f t="shared" si="57"/>
        <v>11751</v>
      </c>
      <c r="F314" s="14">
        <f t="shared" si="62"/>
        <v>11860</v>
      </c>
      <c r="G314" s="15">
        <f t="shared" si="50"/>
        <v>110</v>
      </c>
      <c r="H314" s="16" t="str">
        <f t="shared" si="65"/>
        <v>OS</v>
      </c>
      <c r="I314" s="16">
        <v>1</v>
      </c>
      <c r="J314" s="17">
        <f t="shared" si="51"/>
        <v>110</v>
      </c>
      <c r="K314" s="14">
        <f t="shared" si="66"/>
        <v>1000000</v>
      </c>
      <c r="L314" s="14">
        <v>110000000</v>
      </c>
      <c r="M314" s="18">
        <f t="shared" si="63"/>
        <v>6.7638197134600011E-3</v>
      </c>
      <c r="N314" s="19">
        <f t="shared" si="64"/>
        <v>3.1884057971014491E-3</v>
      </c>
    </row>
    <row r="315" spans="2:14" x14ac:dyDescent="0.25">
      <c r="B315" s="12" t="s">
        <v>510</v>
      </c>
      <c r="C315" s="13">
        <v>119</v>
      </c>
      <c r="D315" s="13">
        <v>119</v>
      </c>
      <c r="E315" s="14">
        <f t="shared" si="57"/>
        <v>11861</v>
      </c>
      <c r="F315" s="14">
        <f t="shared" si="62"/>
        <v>11875</v>
      </c>
      <c r="G315" s="15">
        <f t="shared" si="50"/>
        <v>15</v>
      </c>
      <c r="H315" s="16" t="str">
        <f t="shared" si="65"/>
        <v>OS</v>
      </c>
      <c r="I315" s="16">
        <v>1</v>
      </c>
      <c r="J315" s="17">
        <f t="shared" si="51"/>
        <v>15</v>
      </c>
      <c r="K315" s="14">
        <f t="shared" si="66"/>
        <v>1000000</v>
      </c>
      <c r="L315" s="14">
        <v>15000000</v>
      </c>
      <c r="M315" s="18">
        <f t="shared" si="63"/>
        <v>9.2233905183545476E-4</v>
      </c>
      <c r="N315" s="19">
        <f t="shared" si="64"/>
        <v>4.3478260869565219E-4</v>
      </c>
    </row>
    <row r="316" spans="2:14" x14ac:dyDescent="0.25">
      <c r="B316" s="12" t="s">
        <v>494</v>
      </c>
      <c r="C316" s="13">
        <v>119</v>
      </c>
      <c r="D316" s="13">
        <v>120</v>
      </c>
      <c r="E316" s="14">
        <f t="shared" si="57"/>
        <v>11876</v>
      </c>
      <c r="F316" s="14">
        <f t="shared" si="62"/>
        <v>12000</v>
      </c>
      <c r="G316" s="15">
        <f t="shared" si="50"/>
        <v>125</v>
      </c>
      <c r="H316" s="16" t="str">
        <f t="shared" si="65"/>
        <v>OS</v>
      </c>
      <c r="I316" s="16">
        <v>1</v>
      </c>
      <c r="J316" s="17">
        <f t="shared" si="51"/>
        <v>125</v>
      </c>
      <c r="K316" s="14">
        <f t="shared" si="66"/>
        <v>1000000</v>
      </c>
      <c r="L316" s="14">
        <v>125000000</v>
      </c>
      <c r="M316" s="18">
        <f t="shared" si="63"/>
        <v>7.6861587652954557E-3</v>
      </c>
      <c r="N316" s="19">
        <f t="shared" si="64"/>
        <v>3.6231884057971015E-3</v>
      </c>
    </row>
    <row r="317" spans="2:14" x14ac:dyDescent="0.25">
      <c r="B317" s="12" t="s">
        <v>499</v>
      </c>
      <c r="C317" s="13">
        <v>11</v>
      </c>
      <c r="D317" s="13">
        <v>11</v>
      </c>
      <c r="E317" s="14">
        <v>1001</v>
      </c>
      <c r="F317" s="14">
        <f t="shared" si="62"/>
        <v>1025</v>
      </c>
      <c r="G317" s="15">
        <f t="shared" si="50"/>
        <v>25</v>
      </c>
      <c r="H317" s="16" t="s">
        <v>511</v>
      </c>
      <c r="I317" s="17">
        <v>0</v>
      </c>
      <c r="J317" s="17">
        <f t="shared" si="51"/>
        <v>0</v>
      </c>
      <c r="K317" s="14">
        <f>+K316</f>
        <v>1000000</v>
      </c>
      <c r="L317" s="14">
        <v>25000000</v>
      </c>
      <c r="M317" s="18">
        <f t="shared" si="63"/>
        <v>1.5372317530590912E-3</v>
      </c>
      <c r="N317" s="19">
        <f t="shared" si="64"/>
        <v>0</v>
      </c>
    </row>
    <row r="318" spans="2:14" x14ac:dyDescent="0.25">
      <c r="B318" s="12" t="s">
        <v>512</v>
      </c>
      <c r="C318" s="13">
        <v>11</v>
      </c>
      <c r="D318" s="13">
        <v>11</v>
      </c>
      <c r="E318" s="14">
        <f>+F317+1</f>
        <v>1026</v>
      </c>
      <c r="F318" s="14">
        <f t="shared" si="62"/>
        <v>1050</v>
      </c>
      <c r="G318" s="15">
        <f t="shared" si="50"/>
        <v>25</v>
      </c>
      <c r="H318" s="16" t="str">
        <f>+H317</f>
        <v>A</v>
      </c>
      <c r="I318" s="17">
        <v>0</v>
      </c>
      <c r="J318" s="17">
        <f t="shared" si="51"/>
        <v>0</v>
      </c>
      <c r="K318" s="14">
        <f t="shared" si="66"/>
        <v>1000000</v>
      </c>
      <c r="L318" s="14">
        <v>25000000</v>
      </c>
      <c r="M318" s="18">
        <f t="shared" si="63"/>
        <v>1.5372317530590912E-3</v>
      </c>
      <c r="N318" s="19">
        <f t="shared" si="64"/>
        <v>0</v>
      </c>
    </row>
    <row r="319" spans="2:14" x14ac:dyDescent="0.25">
      <c r="B319" s="12" t="s">
        <v>513</v>
      </c>
      <c r="C319" s="13">
        <v>11</v>
      </c>
      <c r="D319" s="13">
        <v>11</v>
      </c>
      <c r="E319" s="14">
        <f t="shared" ref="E319:E353" si="67">+F318+1</f>
        <v>1051</v>
      </c>
      <c r="F319" s="14">
        <f t="shared" si="62"/>
        <v>1092</v>
      </c>
      <c r="G319" s="15">
        <f t="shared" si="50"/>
        <v>42</v>
      </c>
      <c r="H319" s="16" t="str">
        <f t="shared" ref="H319:H353" si="68">+H318</f>
        <v>A</v>
      </c>
      <c r="I319" s="17">
        <v>0</v>
      </c>
      <c r="J319" s="17">
        <f t="shared" si="51"/>
        <v>0</v>
      </c>
      <c r="K319" s="14">
        <f t="shared" si="66"/>
        <v>1000000</v>
      </c>
      <c r="L319" s="14">
        <v>42000000</v>
      </c>
      <c r="M319" s="18">
        <f t="shared" si="63"/>
        <v>2.582549345139273E-3</v>
      </c>
      <c r="N319" s="19">
        <f t="shared" si="64"/>
        <v>0</v>
      </c>
    </row>
    <row r="320" spans="2:14" x14ac:dyDescent="0.25">
      <c r="B320" s="12" t="s">
        <v>497</v>
      </c>
      <c r="C320" s="13">
        <v>11</v>
      </c>
      <c r="D320" s="13">
        <v>12</v>
      </c>
      <c r="E320" s="14">
        <f t="shared" si="67"/>
        <v>1093</v>
      </c>
      <c r="F320" s="14">
        <f t="shared" si="62"/>
        <v>1192</v>
      </c>
      <c r="G320" s="15">
        <f t="shared" ref="G320:G379" si="69">+F320-E320+1</f>
        <v>100</v>
      </c>
      <c r="H320" s="16" t="str">
        <f t="shared" si="68"/>
        <v>A</v>
      </c>
      <c r="I320" s="17">
        <v>0</v>
      </c>
      <c r="J320" s="17">
        <f t="shared" si="51"/>
        <v>0</v>
      </c>
      <c r="K320" s="14">
        <f t="shared" si="66"/>
        <v>1000000</v>
      </c>
      <c r="L320" s="14">
        <v>100000000</v>
      </c>
      <c r="M320" s="18">
        <f t="shared" ref="M320:M351" si="70">+L320/$L$433</f>
        <v>6.1489270122363649E-3</v>
      </c>
      <c r="N320" s="19">
        <f t="shared" ref="N320:N351" si="71">+J320/$J$433</f>
        <v>0</v>
      </c>
    </row>
    <row r="321" spans="2:14" x14ac:dyDescent="0.25">
      <c r="B321" s="12" t="s">
        <v>514</v>
      </c>
      <c r="C321" s="13">
        <v>12</v>
      </c>
      <c r="D321" s="13">
        <v>13</v>
      </c>
      <c r="E321" s="14">
        <f t="shared" si="67"/>
        <v>1193</v>
      </c>
      <c r="F321" s="14">
        <f t="shared" si="62"/>
        <v>1242</v>
      </c>
      <c r="G321" s="15">
        <f t="shared" si="69"/>
        <v>50</v>
      </c>
      <c r="H321" s="16" t="str">
        <f t="shared" si="68"/>
        <v>A</v>
      </c>
      <c r="I321" s="17">
        <v>0</v>
      </c>
      <c r="J321" s="17">
        <f t="shared" si="51"/>
        <v>0</v>
      </c>
      <c r="K321" s="14">
        <f t="shared" si="66"/>
        <v>1000000</v>
      </c>
      <c r="L321" s="14">
        <v>50000000</v>
      </c>
      <c r="M321" s="18">
        <f t="shared" si="70"/>
        <v>3.0744635061181825E-3</v>
      </c>
      <c r="N321" s="19">
        <f t="shared" si="71"/>
        <v>0</v>
      </c>
    </row>
    <row r="322" spans="2:14" x14ac:dyDescent="0.25">
      <c r="B322" s="12" t="s">
        <v>500</v>
      </c>
      <c r="C322" s="13">
        <v>13</v>
      </c>
      <c r="D322" s="13">
        <v>14</v>
      </c>
      <c r="E322" s="14">
        <f t="shared" si="67"/>
        <v>1243</v>
      </c>
      <c r="F322" s="14">
        <f t="shared" si="62"/>
        <v>1342</v>
      </c>
      <c r="G322" s="15">
        <f t="shared" si="69"/>
        <v>100</v>
      </c>
      <c r="H322" s="16" t="str">
        <f t="shared" si="68"/>
        <v>A</v>
      </c>
      <c r="I322" s="17">
        <v>0</v>
      </c>
      <c r="J322" s="17">
        <f t="shared" si="51"/>
        <v>0</v>
      </c>
      <c r="K322" s="14">
        <f t="shared" si="66"/>
        <v>1000000</v>
      </c>
      <c r="L322" s="14">
        <v>100000000</v>
      </c>
      <c r="M322" s="18">
        <f t="shared" si="70"/>
        <v>6.1489270122363649E-3</v>
      </c>
      <c r="N322" s="19">
        <f t="shared" si="71"/>
        <v>0</v>
      </c>
    </row>
    <row r="323" spans="2:14" x14ac:dyDescent="0.25">
      <c r="B323" s="12" t="s">
        <v>515</v>
      </c>
      <c r="C323" s="13">
        <v>14</v>
      </c>
      <c r="D323" s="13">
        <v>15</v>
      </c>
      <c r="E323" s="14">
        <f t="shared" si="67"/>
        <v>1343</v>
      </c>
      <c r="F323" s="14">
        <f t="shared" si="62"/>
        <v>1442</v>
      </c>
      <c r="G323" s="15">
        <f t="shared" si="69"/>
        <v>100</v>
      </c>
      <c r="H323" s="16" t="str">
        <f t="shared" si="68"/>
        <v>A</v>
      </c>
      <c r="I323" s="17">
        <v>0</v>
      </c>
      <c r="J323" s="17">
        <f t="shared" si="51"/>
        <v>0</v>
      </c>
      <c r="K323" s="14">
        <f t="shared" si="66"/>
        <v>1000000</v>
      </c>
      <c r="L323" s="14">
        <v>100000000</v>
      </c>
      <c r="M323" s="18">
        <f t="shared" si="70"/>
        <v>6.1489270122363649E-3</v>
      </c>
      <c r="N323" s="19">
        <f t="shared" si="71"/>
        <v>0</v>
      </c>
    </row>
    <row r="324" spans="2:14" x14ac:dyDescent="0.25">
      <c r="B324" s="12" t="s">
        <v>504</v>
      </c>
      <c r="C324" s="13">
        <v>15</v>
      </c>
      <c r="D324" s="13">
        <v>16</v>
      </c>
      <c r="E324" s="14">
        <f t="shared" si="67"/>
        <v>1443</v>
      </c>
      <c r="F324" s="14">
        <f t="shared" si="62"/>
        <v>1542</v>
      </c>
      <c r="G324" s="15">
        <f t="shared" si="69"/>
        <v>100</v>
      </c>
      <c r="H324" s="16" t="str">
        <f t="shared" si="68"/>
        <v>A</v>
      </c>
      <c r="I324" s="17">
        <v>0</v>
      </c>
      <c r="J324" s="17">
        <f t="shared" si="51"/>
        <v>0</v>
      </c>
      <c r="K324" s="14">
        <f t="shared" si="66"/>
        <v>1000000</v>
      </c>
      <c r="L324" s="14">
        <v>100000000</v>
      </c>
      <c r="M324" s="18">
        <f t="shared" si="70"/>
        <v>6.1489270122363649E-3</v>
      </c>
      <c r="N324" s="19">
        <f t="shared" si="71"/>
        <v>0</v>
      </c>
    </row>
    <row r="325" spans="2:14" x14ac:dyDescent="0.25">
      <c r="B325" s="12" t="s">
        <v>507</v>
      </c>
      <c r="C325" s="13">
        <v>16</v>
      </c>
      <c r="D325" s="13">
        <v>16</v>
      </c>
      <c r="E325" s="14">
        <f t="shared" si="67"/>
        <v>1543</v>
      </c>
      <c r="F325" s="14">
        <f t="shared" si="62"/>
        <v>1592</v>
      </c>
      <c r="G325" s="15">
        <f t="shared" si="69"/>
        <v>50</v>
      </c>
      <c r="H325" s="16" t="str">
        <f t="shared" si="68"/>
        <v>A</v>
      </c>
      <c r="I325" s="17">
        <v>0</v>
      </c>
      <c r="J325" s="17">
        <f t="shared" si="51"/>
        <v>0</v>
      </c>
      <c r="K325" s="14">
        <f t="shared" si="66"/>
        <v>1000000</v>
      </c>
      <c r="L325" s="14">
        <v>50000000</v>
      </c>
      <c r="M325" s="18">
        <f t="shared" si="70"/>
        <v>3.0744635061181825E-3</v>
      </c>
      <c r="N325" s="19">
        <f t="shared" si="71"/>
        <v>0</v>
      </c>
    </row>
    <row r="326" spans="2:14" x14ac:dyDescent="0.25">
      <c r="B326" s="12" t="s">
        <v>508</v>
      </c>
      <c r="C326" s="13">
        <v>16</v>
      </c>
      <c r="D326" s="13">
        <v>17</v>
      </c>
      <c r="E326" s="14">
        <f>+F325+1</f>
        <v>1593</v>
      </c>
      <c r="F326" s="14">
        <f t="shared" si="62"/>
        <v>1617</v>
      </c>
      <c r="G326" s="15">
        <f t="shared" si="69"/>
        <v>25</v>
      </c>
      <c r="H326" s="16" t="str">
        <f>+H325</f>
        <v>A</v>
      </c>
      <c r="I326" s="17">
        <v>0</v>
      </c>
      <c r="J326" s="17">
        <f t="shared" si="51"/>
        <v>0</v>
      </c>
      <c r="K326" s="14">
        <f>+K325</f>
        <v>1000000</v>
      </c>
      <c r="L326" s="14">
        <v>25000000</v>
      </c>
      <c r="M326" s="18">
        <f t="shared" si="70"/>
        <v>1.5372317530590912E-3</v>
      </c>
      <c r="N326" s="19">
        <f t="shared" si="71"/>
        <v>0</v>
      </c>
    </row>
    <row r="327" spans="2:14" x14ac:dyDescent="0.25">
      <c r="B327" s="12" t="s">
        <v>494</v>
      </c>
      <c r="C327" s="13">
        <v>17</v>
      </c>
      <c r="D327" s="13">
        <v>17</v>
      </c>
      <c r="E327" s="14">
        <f t="shared" si="67"/>
        <v>1618</v>
      </c>
      <c r="F327" s="14">
        <f t="shared" si="62"/>
        <v>1627</v>
      </c>
      <c r="G327" s="15">
        <f t="shared" si="69"/>
        <v>10</v>
      </c>
      <c r="H327" s="16" t="str">
        <f t="shared" si="68"/>
        <v>A</v>
      </c>
      <c r="I327" s="17">
        <v>0</v>
      </c>
      <c r="J327" s="17">
        <f t="shared" si="51"/>
        <v>0</v>
      </c>
      <c r="K327" s="14">
        <f t="shared" si="66"/>
        <v>1000000</v>
      </c>
      <c r="L327" s="14">
        <v>10000000</v>
      </c>
      <c r="M327" s="18">
        <f t="shared" si="70"/>
        <v>6.1489270122363647E-4</v>
      </c>
      <c r="N327" s="19">
        <f t="shared" si="71"/>
        <v>0</v>
      </c>
    </row>
    <row r="328" spans="2:14" x14ac:dyDescent="0.25">
      <c r="B328" s="12" t="s">
        <v>502</v>
      </c>
      <c r="C328" s="13">
        <v>17</v>
      </c>
      <c r="D328" s="13">
        <v>18</v>
      </c>
      <c r="E328" s="14">
        <f t="shared" si="67"/>
        <v>1628</v>
      </c>
      <c r="F328" s="14">
        <f t="shared" si="62"/>
        <v>1727</v>
      </c>
      <c r="G328" s="15">
        <f t="shared" si="69"/>
        <v>100</v>
      </c>
      <c r="H328" s="16" t="str">
        <f t="shared" si="68"/>
        <v>A</v>
      </c>
      <c r="I328" s="17">
        <v>0</v>
      </c>
      <c r="J328" s="17">
        <f t="shared" si="51"/>
        <v>0</v>
      </c>
      <c r="K328" s="14">
        <f t="shared" si="66"/>
        <v>1000000</v>
      </c>
      <c r="L328" s="14">
        <v>100000000</v>
      </c>
      <c r="M328" s="18">
        <f t="shared" si="70"/>
        <v>6.1489270122363649E-3</v>
      </c>
      <c r="N328" s="19">
        <f t="shared" si="71"/>
        <v>0</v>
      </c>
    </row>
    <row r="329" spans="2:14" x14ac:dyDescent="0.25">
      <c r="B329" s="12" t="s">
        <v>499</v>
      </c>
      <c r="C329" s="13">
        <v>18</v>
      </c>
      <c r="D329" s="13">
        <v>18</v>
      </c>
      <c r="E329" s="14">
        <f t="shared" si="67"/>
        <v>1728</v>
      </c>
      <c r="F329" s="14">
        <f t="shared" si="62"/>
        <v>1777</v>
      </c>
      <c r="G329" s="15">
        <f t="shared" si="69"/>
        <v>50</v>
      </c>
      <c r="H329" s="16" t="str">
        <f t="shared" si="68"/>
        <v>A</v>
      </c>
      <c r="I329" s="17">
        <v>0</v>
      </c>
      <c r="J329" s="17">
        <f t="shared" si="51"/>
        <v>0</v>
      </c>
      <c r="K329" s="14">
        <f t="shared" si="66"/>
        <v>1000000</v>
      </c>
      <c r="L329" s="14">
        <v>50000000</v>
      </c>
      <c r="M329" s="18">
        <f t="shared" si="70"/>
        <v>3.0744635061181825E-3</v>
      </c>
      <c r="N329" s="19">
        <f t="shared" si="71"/>
        <v>0</v>
      </c>
    </row>
    <row r="330" spans="2:14" x14ac:dyDescent="0.25">
      <c r="B330" s="12" t="s">
        <v>505</v>
      </c>
      <c r="C330" s="13">
        <v>18</v>
      </c>
      <c r="D330" s="13">
        <v>19</v>
      </c>
      <c r="E330" s="14">
        <f t="shared" si="67"/>
        <v>1778</v>
      </c>
      <c r="F330" s="14">
        <f t="shared" si="62"/>
        <v>1827</v>
      </c>
      <c r="G330" s="15">
        <f t="shared" si="69"/>
        <v>50</v>
      </c>
      <c r="H330" s="16" t="str">
        <f t="shared" si="68"/>
        <v>A</v>
      </c>
      <c r="I330" s="17">
        <v>0</v>
      </c>
      <c r="J330" s="17">
        <f t="shared" si="51"/>
        <v>0</v>
      </c>
      <c r="K330" s="14">
        <f t="shared" si="66"/>
        <v>1000000</v>
      </c>
      <c r="L330" s="14">
        <v>50000000</v>
      </c>
      <c r="M330" s="18">
        <f t="shared" si="70"/>
        <v>3.0744635061181825E-3</v>
      </c>
      <c r="N330" s="19">
        <f t="shared" si="71"/>
        <v>0</v>
      </c>
    </row>
    <row r="331" spans="2:14" x14ac:dyDescent="0.25">
      <c r="B331" s="12" t="s">
        <v>501</v>
      </c>
      <c r="C331" s="13">
        <v>19</v>
      </c>
      <c r="D331" s="13">
        <v>20</v>
      </c>
      <c r="E331" s="14">
        <f t="shared" si="67"/>
        <v>1828</v>
      </c>
      <c r="F331" s="14">
        <f t="shared" si="62"/>
        <v>1927</v>
      </c>
      <c r="G331" s="15">
        <f t="shared" si="69"/>
        <v>100</v>
      </c>
      <c r="H331" s="16" t="str">
        <f t="shared" si="68"/>
        <v>A</v>
      </c>
      <c r="I331" s="17">
        <v>0</v>
      </c>
      <c r="J331" s="17">
        <f t="shared" si="51"/>
        <v>0</v>
      </c>
      <c r="K331" s="14">
        <f t="shared" si="66"/>
        <v>1000000</v>
      </c>
      <c r="L331" s="14">
        <v>100000000</v>
      </c>
      <c r="M331" s="18">
        <f t="shared" si="70"/>
        <v>6.1489270122363649E-3</v>
      </c>
      <c r="N331" s="19">
        <f t="shared" si="71"/>
        <v>0</v>
      </c>
    </row>
    <row r="332" spans="2:14" x14ac:dyDescent="0.25">
      <c r="B332" s="12" t="s">
        <v>495</v>
      </c>
      <c r="C332" s="13">
        <v>20</v>
      </c>
      <c r="D332" s="13">
        <v>21</v>
      </c>
      <c r="E332" s="14">
        <f t="shared" si="67"/>
        <v>1928</v>
      </c>
      <c r="F332" s="14">
        <f t="shared" si="62"/>
        <v>2027</v>
      </c>
      <c r="G332" s="15">
        <f t="shared" si="69"/>
        <v>100</v>
      </c>
      <c r="H332" s="16" t="str">
        <f t="shared" si="68"/>
        <v>A</v>
      </c>
      <c r="I332" s="17">
        <v>0</v>
      </c>
      <c r="J332" s="17">
        <f t="shared" si="51"/>
        <v>0</v>
      </c>
      <c r="K332" s="14">
        <f t="shared" si="66"/>
        <v>1000000</v>
      </c>
      <c r="L332" s="14">
        <v>100000000</v>
      </c>
      <c r="M332" s="18">
        <f t="shared" si="70"/>
        <v>6.1489270122363649E-3</v>
      </c>
      <c r="N332" s="19">
        <f t="shared" si="71"/>
        <v>0</v>
      </c>
    </row>
    <row r="333" spans="2:14" x14ac:dyDescent="0.25">
      <c r="B333" s="12" t="s">
        <v>515</v>
      </c>
      <c r="C333" s="13">
        <v>21</v>
      </c>
      <c r="D333" s="13">
        <v>22</v>
      </c>
      <c r="E333" s="14">
        <f t="shared" si="67"/>
        <v>2028</v>
      </c>
      <c r="F333" s="14">
        <f t="shared" si="62"/>
        <v>2127</v>
      </c>
      <c r="G333" s="15">
        <f t="shared" si="69"/>
        <v>100</v>
      </c>
      <c r="H333" s="16" t="str">
        <f t="shared" si="68"/>
        <v>A</v>
      </c>
      <c r="I333" s="17">
        <v>0</v>
      </c>
      <c r="J333" s="17">
        <f t="shared" si="51"/>
        <v>0</v>
      </c>
      <c r="K333" s="14">
        <f t="shared" si="66"/>
        <v>1000000</v>
      </c>
      <c r="L333" s="14">
        <v>100000000</v>
      </c>
      <c r="M333" s="18">
        <f t="shared" si="70"/>
        <v>6.1489270122363649E-3</v>
      </c>
      <c r="N333" s="19">
        <f t="shared" si="71"/>
        <v>0</v>
      </c>
    </row>
    <row r="334" spans="2:14" x14ac:dyDescent="0.25">
      <c r="B334" s="12" t="s">
        <v>516</v>
      </c>
      <c r="C334" s="13">
        <v>22</v>
      </c>
      <c r="D334" s="13">
        <v>22</v>
      </c>
      <c r="E334" s="14">
        <f t="shared" si="67"/>
        <v>2128</v>
      </c>
      <c r="F334" s="14">
        <f t="shared" si="62"/>
        <v>2152</v>
      </c>
      <c r="G334" s="15">
        <f t="shared" si="69"/>
        <v>25</v>
      </c>
      <c r="H334" s="16" t="str">
        <f t="shared" si="68"/>
        <v>A</v>
      </c>
      <c r="I334" s="17">
        <v>0</v>
      </c>
      <c r="J334" s="17">
        <f t="shared" si="51"/>
        <v>0</v>
      </c>
      <c r="K334" s="14">
        <f t="shared" si="66"/>
        <v>1000000</v>
      </c>
      <c r="L334" s="14">
        <v>25000000</v>
      </c>
      <c r="M334" s="18">
        <f t="shared" si="70"/>
        <v>1.5372317530590912E-3</v>
      </c>
      <c r="N334" s="19">
        <f t="shared" si="71"/>
        <v>0</v>
      </c>
    </row>
    <row r="335" spans="2:14" x14ac:dyDescent="0.25">
      <c r="B335" s="12" t="s">
        <v>504</v>
      </c>
      <c r="C335" s="13">
        <v>22</v>
      </c>
      <c r="D335" s="13">
        <v>23</v>
      </c>
      <c r="E335" s="14">
        <f t="shared" si="67"/>
        <v>2153</v>
      </c>
      <c r="F335" s="14">
        <f t="shared" si="62"/>
        <v>2252</v>
      </c>
      <c r="G335" s="15">
        <f t="shared" si="69"/>
        <v>100</v>
      </c>
      <c r="H335" s="16" t="str">
        <f t="shared" si="68"/>
        <v>A</v>
      </c>
      <c r="I335" s="17">
        <v>0</v>
      </c>
      <c r="J335" s="17">
        <f t="shared" si="51"/>
        <v>0</v>
      </c>
      <c r="K335" s="14">
        <f t="shared" si="66"/>
        <v>1000000</v>
      </c>
      <c r="L335" s="14">
        <v>100000000</v>
      </c>
      <c r="M335" s="18">
        <f t="shared" si="70"/>
        <v>6.1489270122363649E-3</v>
      </c>
      <c r="N335" s="19">
        <f t="shared" si="71"/>
        <v>0</v>
      </c>
    </row>
    <row r="336" spans="2:14" x14ac:dyDescent="0.25">
      <c r="B336" s="12" t="s">
        <v>498</v>
      </c>
      <c r="C336" s="13">
        <v>23</v>
      </c>
      <c r="D336" s="13">
        <v>24</v>
      </c>
      <c r="E336" s="14">
        <f t="shared" si="67"/>
        <v>2253</v>
      </c>
      <c r="F336" s="14">
        <f t="shared" si="62"/>
        <v>2302</v>
      </c>
      <c r="G336" s="15">
        <f t="shared" si="69"/>
        <v>50</v>
      </c>
      <c r="H336" s="16" t="str">
        <f t="shared" si="68"/>
        <v>A</v>
      </c>
      <c r="I336" s="17">
        <v>0</v>
      </c>
      <c r="J336" s="17">
        <f t="shared" si="51"/>
        <v>0</v>
      </c>
      <c r="K336" s="14">
        <f t="shared" si="66"/>
        <v>1000000</v>
      </c>
      <c r="L336" s="14">
        <v>50000000</v>
      </c>
      <c r="M336" s="18">
        <f t="shared" si="70"/>
        <v>3.0744635061181825E-3</v>
      </c>
      <c r="N336" s="19">
        <f t="shared" si="71"/>
        <v>0</v>
      </c>
    </row>
    <row r="337" spans="2:14" x14ac:dyDescent="0.25">
      <c r="B337" s="12" t="s">
        <v>496</v>
      </c>
      <c r="C337" s="13">
        <v>24</v>
      </c>
      <c r="D337" s="13">
        <v>24</v>
      </c>
      <c r="E337" s="14">
        <f t="shared" si="67"/>
        <v>2303</v>
      </c>
      <c r="F337" s="14">
        <f t="shared" si="62"/>
        <v>2377</v>
      </c>
      <c r="G337" s="15">
        <f t="shared" si="69"/>
        <v>75</v>
      </c>
      <c r="H337" s="16" t="str">
        <f t="shared" si="68"/>
        <v>A</v>
      </c>
      <c r="I337" s="17">
        <v>0</v>
      </c>
      <c r="J337" s="17">
        <f t="shared" si="51"/>
        <v>0</v>
      </c>
      <c r="K337" s="14">
        <f t="shared" si="66"/>
        <v>1000000</v>
      </c>
      <c r="L337" s="14">
        <v>75000000</v>
      </c>
      <c r="M337" s="18">
        <f t="shared" si="70"/>
        <v>4.6116952591772732E-3</v>
      </c>
      <c r="N337" s="19">
        <f t="shared" si="71"/>
        <v>0</v>
      </c>
    </row>
    <row r="338" spans="2:14" x14ac:dyDescent="0.25">
      <c r="B338" s="12" t="s">
        <v>496</v>
      </c>
      <c r="C338" s="13">
        <v>24</v>
      </c>
      <c r="D338" s="13">
        <v>25</v>
      </c>
      <c r="E338" s="14">
        <f t="shared" si="67"/>
        <v>2378</v>
      </c>
      <c r="F338" s="14">
        <f t="shared" si="62"/>
        <v>2452</v>
      </c>
      <c r="G338" s="15">
        <f t="shared" si="69"/>
        <v>75</v>
      </c>
      <c r="H338" s="16" t="str">
        <f t="shared" si="68"/>
        <v>A</v>
      </c>
      <c r="I338" s="17">
        <v>0</v>
      </c>
      <c r="J338" s="17">
        <f t="shared" si="51"/>
        <v>0</v>
      </c>
      <c r="K338" s="14">
        <f t="shared" si="66"/>
        <v>1000000</v>
      </c>
      <c r="L338" s="14">
        <v>75000000</v>
      </c>
      <c r="M338" s="18">
        <f t="shared" si="70"/>
        <v>4.6116952591772732E-3</v>
      </c>
      <c r="N338" s="19">
        <f t="shared" si="71"/>
        <v>0</v>
      </c>
    </row>
    <row r="339" spans="2:14" x14ac:dyDescent="0.25">
      <c r="B339" s="12" t="s">
        <v>517</v>
      </c>
      <c r="C339" s="13">
        <v>25</v>
      </c>
      <c r="D339" s="13">
        <v>26</v>
      </c>
      <c r="E339" s="14">
        <f t="shared" si="67"/>
        <v>2453</v>
      </c>
      <c r="F339" s="14">
        <f t="shared" si="62"/>
        <v>2527</v>
      </c>
      <c r="G339" s="15">
        <f t="shared" si="69"/>
        <v>75</v>
      </c>
      <c r="H339" s="16" t="str">
        <f t="shared" si="68"/>
        <v>A</v>
      </c>
      <c r="I339" s="17">
        <v>0</v>
      </c>
      <c r="J339" s="17">
        <f t="shared" si="51"/>
        <v>0</v>
      </c>
      <c r="K339" s="14">
        <f t="shared" si="66"/>
        <v>1000000</v>
      </c>
      <c r="L339" s="14">
        <v>75000000</v>
      </c>
      <c r="M339" s="18">
        <f t="shared" si="70"/>
        <v>4.6116952591772732E-3</v>
      </c>
      <c r="N339" s="19">
        <f t="shared" si="71"/>
        <v>0</v>
      </c>
    </row>
    <row r="340" spans="2:14" x14ac:dyDescent="0.25">
      <c r="B340" s="12" t="s">
        <v>506</v>
      </c>
      <c r="C340" s="13">
        <v>26</v>
      </c>
      <c r="D340" s="13">
        <v>26</v>
      </c>
      <c r="E340" s="14">
        <f t="shared" si="67"/>
        <v>2528</v>
      </c>
      <c r="F340" s="14">
        <f t="shared" si="62"/>
        <v>2577</v>
      </c>
      <c r="G340" s="15">
        <f t="shared" si="69"/>
        <v>50</v>
      </c>
      <c r="H340" s="16" t="str">
        <f t="shared" si="68"/>
        <v>A</v>
      </c>
      <c r="I340" s="17">
        <v>0</v>
      </c>
      <c r="J340" s="17">
        <f t="shared" si="51"/>
        <v>0</v>
      </c>
      <c r="K340" s="14">
        <f t="shared" si="66"/>
        <v>1000000</v>
      </c>
      <c r="L340" s="14">
        <v>50000000</v>
      </c>
      <c r="M340" s="18">
        <f t="shared" si="70"/>
        <v>3.0744635061181825E-3</v>
      </c>
      <c r="N340" s="19">
        <f t="shared" si="71"/>
        <v>0</v>
      </c>
    </row>
    <row r="341" spans="2:14" x14ac:dyDescent="0.25">
      <c r="B341" s="12" t="s">
        <v>518</v>
      </c>
      <c r="C341" s="13">
        <v>26</v>
      </c>
      <c r="D341" s="13">
        <v>27</v>
      </c>
      <c r="E341" s="14">
        <f t="shared" si="67"/>
        <v>2578</v>
      </c>
      <c r="F341" s="14">
        <f t="shared" si="62"/>
        <v>2602</v>
      </c>
      <c r="G341" s="15">
        <f t="shared" si="69"/>
        <v>25</v>
      </c>
      <c r="H341" s="16" t="str">
        <f t="shared" si="68"/>
        <v>A</v>
      </c>
      <c r="I341" s="17">
        <v>0</v>
      </c>
      <c r="J341" s="17">
        <f t="shared" si="51"/>
        <v>0</v>
      </c>
      <c r="K341" s="14">
        <f t="shared" si="66"/>
        <v>1000000</v>
      </c>
      <c r="L341" s="14">
        <v>25000000</v>
      </c>
      <c r="M341" s="18">
        <f t="shared" si="70"/>
        <v>1.5372317530590912E-3</v>
      </c>
      <c r="N341" s="19">
        <f t="shared" si="71"/>
        <v>0</v>
      </c>
    </row>
    <row r="342" spans="2:14" x14ac:dyDescent="0.25">
      <c r="B342" s="12" t="s">
        <v>503</v>
      </c>
      <c r="C342" s="13">
        <v>27</v>
      </c>
      <c r="D342" s="13">
        <v>27</v>
      </c>
      <c r="E342" s="14">
        <f t="shared" si="67"/>
        <v>2603</v>
      </c>
      <c r="F342" s="14">
        <f t="shared" si="62"/>
        <v>2652</v>
      </c>
      <c r="G342" s="15">
        <f t="shared" si="69"/>
        <v>50</v>
      </c>
      <c r="H342" s="16" t="str">
        <f t="shared" si="68"/>
        <v>A</v>
      </c>
      <c r="I342" s="17">
        <v>0</v>
      </c>
      <c r="J342" s="17">
        <f t="shared" si="51"/>
        <v>0</v>
      </c>
      <c r="K342" s="14">
        <f t="shared" si="66"/>
        <v>1000000</v>
      </c>
      <c r="L342" s="14">
        <v>50000000</v>
      </c>
      <c r="M342" s="18">
        <f t="shared" si="70"/>
        <v>3.0744635061181825E-3</v>
      </c>
      <c r="N342" s="19">
        <f t="shared" si="71"/>
        <v>0</v>
      </c>
    </row>
    <row r="343" spans="2:14" x14ac:dyDescent="0.25">
      <c r="B343" s="12" t="s">
        <v>509</v>
      </c>
      <c r="C343" s="13">
        <v>27</v>
      </c>
      <c r="D343" s="13">
        <v>27</v>
      </c>
      <c r="E343" s="14">
        <f t="shared" si="67"/>
        <v>2653</v>
      </c>
      <c r="F343" s="14">
        <f t="shared" si="62"/>
        <v>2677</v>
      </c>
      <c r="G343" s="15">
        <f t="shared" si="69"/>
        <v>25</v>
      </c>
      <c r="H343" s="16" t="str">
        <f t="shared" si="68"/>
        <v>A</v>
      </c>
      <c r="I343" s="17">
        <v>0</v>
      </c>
      <c r="J343" s="17">
        <f t="shared" si="51"/>
        <v>0</v>
      </c>
      <c r="K343" s="14">
        <f t="shared" si="66"/>
        <v>1000000</v>
      </c>
      <c r="L343" s="14">
        <v>25000000</v>
      </c>
      <c r="M343" s="18">
        <f t="shared" si="70"/>
        <v>1.5372317530590912E-3</v>
      </c>
      <c r="N343" s="19">
        <f t="shared" si="71"/>
        <v>0</v>
      </c>
    </row>
    <row r="344" spans="2:14" x14ac:dyDescent="0.25">
      <c r="B344" s="12" t="s">
        <v>519</v>
      </c>
      <c r="C344" s="13">
        <v>27</v>
      </c>
      <c r="D344" s="13">
        <v>28</v>
      </c>
      <c r="E344" s="14">
        <f t="shared" si="67"/>
        <v>2678</v>
      </c>
      <c r="F344" s="14">
        <f t="shared" si="62"/>
        <v>2727</v>
      </c>
      <c r="G344" s="15">
        <f t="shared" si="69"/>
        <v>50</v>
      </c>
      <c r="H344" s="16" t="str">
        <f t="shared" si="68"/>
        <v>A</v>
      </c>
      <c r="I344" s="17">
        <v>0</v>
      </c>
      <c r="J344" s="17">
        <f t="shared" si="51"/>
        <v>0</v>
      </c>
      <c r="K344" s="14">
        <f t="shared" si="66"/>
        <v>1000000</v>
      </c>
      <c r="L344" s="14">
        <v>50000000</v>
      </c>
      <c r="M344" s="18">
        <f t="shared" si="70"/>
        <v>3.0744635061181825E-3</v>
      </c>
      <c r="N344" s="19">
        <f t="shared" si="71"/>
        <v>0</v>
      </c>
    </row>
    <row r="345" spans="2:14" x14ac:dyDescent="0.25">
      <c r="B345" s="12" t="s">
        <v>502</v>
      </c>
      <c r="C345" s="13">
        <v>28</v>
      </c>
      <c r="D345" s="13">
        <v>28</v>
      </c>
      <c r="E345" s="14">
        <f t="shared" si="67"/>
        <v>2728</v>
      </c>
      <c r="F345" s="14">
        <f t="shared" si="62"/>
        <v>2752</v>
      </c>
      <c r="G345" s="15">
        <f t="shared" si="69"/>
        <v>25</v>
      </c>
      <c r="H345" s="16" t="str">
        <f t="shared" si="68"/>
        <v>A</v>
      </c>
      <c r="I345" s="17">
        <v>0</v>
      </c>
      <c r="J345" s="17">
        <f t="shared" si="51"/>
        <v>0</v>
      </c>
      <c r="K345" s="14">
        <f t="shared" si="66"/>
        <v>1000000</v>
      </c>
      <c r="L345" s="14">
        <v>25000000</v>
      </c>
      <c r="M345" s="18">
        <f t="shared" si="70"/>
        <v>1.5372317530590912E-3</v>
      </c>
      <c r="N345" s="19">
        <f t="shared" si="71"/>
        <v>0</v>
      </c>
    </row>
    <row r="346" spans="2:14" x14ac:dyDescent="0.25">
      <c r="B346" s="12" t="s">
        <v>505</v>
      </c>
      <c r="C346" s="13">
        <v>28</v>
      </c>
      <c r="D346" s="13">
        <v>29</v>
      </c>
      <c r="E346" s="14">
        <f t="shared" si="67"/>
        <v>2753</v>
      </c>
      <c r="F346" s="14">
        <f t="shared" si="62"/>
        <v>2802</v>
      </c>
      <c r="G346" s="15">
        <f t="shared" si="69"/>
        <v>50</v>
      </c>
      <c r="H346" s="16" t="str">
        <f t="shared" si="68"/>
        <v>A</v>
      </c>
      <c r="I346" s="17">
        <v>0</v>
      </c>
      <c r="J346" s="17">
        <f t="shared" si="51"/>
        <v>0</v>
      </c>
      <c r="K346" s="14">
        <f t="shared" si="66"/>
        <v>1000000</v>
      </c>
      <c r="L346" s="14">
        <v>50000000</v>
      </c>
      <c r="M346" s="18">
        <f t="shared" si="70"/>
        <v>3.0744635061181825E-3</v>
      </c>
      <c r="N346" s="19">
        <f t="shared" si="71"/>
        <v>0</v>
      </c>
    </row>
    <row r="347" spans="2:14" x14ac:dyDescent="0.25">
      <c r="B347" s="12" t="s">
        <v>495</v>
      </c>
      <c r="C347" s="13">
        <v>29</v>
      </c>
      <c r="D347" s="13">
        <v>29</v>
      </c>
      <c r="E347" s="14">
        <f t="shared" si="67"/>
        <v>2803</v>
      </c>
      <c r="F347" s="14">
        <f t="shared" si="62"/>
        <v>2852</v>
      </c>
      <c r="G347" s="15">
        <f t="shared" si="69"/>
        <v>50</v>
      </c>
      <c r="H347" s="16" t="str">
        <f t="shared" si="68"/>
        <v>A</v>
      </c>
      <c r="I347" s="17">
        <v>0</v>
      </c>
      <c r="J347" s="17">
        <f t="shared" si="51"/>
        <v>0</v>
      </c>
      <c r="K347" s="14">
        <f t="shared" si="66"/>
        <v>1000000</v>
      </c>
      <c r="L347" s="14">
        <v>50000000</v>
      </c>
      <c r="M347" s="18">
        <f t="shared" si="70"/>
        <v>3.0744635061181825E-3</v>
      </c>
      <c r="N347" s="19">
        <f t="shared" si="71"/>
        <v>0</v>
      </c>
    </row>
    <row r="348" spans="2:14" x14ac:dyDescent="0.25">
      <c r="B348" s="12" t="s">
        <v>507</v>
      </c>
      <c r="C348" s="13">
        <v>29</v>
      </c>
      <c r="D348" s="13">
        <v>30</v>
      </c>
      <c r="E348" s="14">
        <f t="shared" si="67"/>
        <v>2853</v>
      </c>
      <c r="F348" s="14">
        <f t="shared" si="62"/>
        <v>2902</v>
      </c>
      <c r="G348" s="15">
        <f t="shared" si="69"/>
        <v>50</v>
      </c>
      <c r="H348" s="16" t="str">
        <f t="shared" si="68"/>
        <v>A</v>
      </c>
      <c r="I348" s="17">
        <v>0</v>
      </c>
      <c r="J348" s="17">
        <f t="shared" si="51"/>
        <v>0</v>
      </c>
      <c r="K348" s="14">
        <f t="shared" si="66"/>
        <v>1000000</v>
      </c>
      <c r="L348" s="14">
        <v>50000000</v>
      </c>
      <c r="M348" s="18">
        <f t="shared" si="70"/>
        <v>3.0744635061181825E-3</v>
      </c>
      <c r="N348" s="19">
        <f t="shared" si="71"/>
        <v>0</v>
      </c>
    </row>
    <row r="349" spans="2:14" x14ac:dyDescent="0.25">
      <c r="B349" s="12" t="s">
        <v>508</v>
      </c>
      <c r="C349" s="13">
        <v>30</v>
      </c>
      <c r="D349" s="13">
        <v>30</v>
      </c>
      <c r="E349" s="14">
        <f t="shared" si="67"/>
        <v>2903</v>
      </c>
      <c r="F349" s="14">
        <f t="shared" si="62"/>
        <v>2907</v>
      </c>
      <c r="G349" s="15">
        <f t="shared" si="69"/>
        <v>5</v>
      </c>
      <c r="H349" s="16" t="str">
        <f t="shared" si="68"/>
        <v>A</v>
      </c>
      <c r="I349" s="17">
        <v>0</v>
      </c>
      <c r="J349" s="17">
        <f t="shared" si="51"/>
        <v>0</v>
      </c>
      <c r="K349" s="14">
        <f t="shared" si="66"/>
        <v>1000000</v>
      </c>
      <c r="L349" s="14">
        <v>5000000</v>
      </c>
      <c r="M349" s="18">
        <f t="shared" si="70"/>
        <v>3.0744635061181823E-4</v>
      </c>
      <c r="N349" s="19">
        <f t="shared" si="71"/>
        <v>0</v>
      </c>
    </row>
    <row r="350" spans="2:14" x14ac:dyDescent="0.25">
      <c r="B350" s="12" t="s">
        <v>497</v>
      </c>
      <c r="C350" s="13">
        <v>30</v>
      </c>
      <c r="D350" s="13">
        <v>30</v>
      </c>
      <c r="E350" s="14">
        <f t="shared" si="67"/>
        <v>2908</v>
      </c>
      <c r="F350" s="14">
        <f t="shared" si="62"/>
        <v>2922</v>
      </c>
      <c r="G350" s="15">
        <f t="shared" si="69"/>
        <v>15</v>
      </c>
      <c r="H350" s="16" t="str">
        <f t="shared" si="68"/>
        <v>A</v>
      </c>
      <c r="I350" s="17">
        <v>0</v>
      </c>
      <c r="J350" s="17">
        <f t="shared" si="51"/>
        <v>0</v>
      </c>
      <c r="K350" s="14">
        <f t="shared" si="66"/>
        <v>1000000</v>
      </c>
      <c r="L350" s="14">
        <v>15000000</v>
      </c>
      <c r="M350" s="18">
        <f t="shared" si="70"/>
        <v>9.2233905183545476E-4</v>
      </c>
      <c r="N350" s="19">
        <f t="shared" si="71"/>
        <v>0</v>
      </c>
    </row>
    <row r="351" spans="2:14" x14ac:dyDescent="0.25">
      <c r="B351" s="12" t="s">
        <v>504</v>
      </c>
      <c r="C351" s="13">
        <v>30</v>
      </c>
      <c r="D351" s="13">
        <v>30</v>
      </c>
      <c r="E351" s="14">
        <f t="shared" si="67"/>
        <v>2923</v>
      </c>
      <c r="F351" s="14">
        <f t="shared" si="62"/>
        <v>2972</v>
      </c>
      <c r="G351" s="15">
        <f t="shared" si="69"/>
        <v>50</v>
      </c>
      <c r="H351" s="16" t="str">
        <f t="shared" si="68"/>
        <v>A</v>
      </c>
      <c r="I351" s="17">
        <v>0</v>
      </c>
      <c r="J351" s="17">
        <f t="shared" si="51"/>
        <v>0</v>
      </c>
      <c r="K351" s="14">
        <f t="shared" si="66"/>
        <v>1000000</v>
      </c>
      <c r="L351" s="14">
        <v>50000000</v>
      </c>
      <c r="M351" s="18">
        <f t="shared" si="70"/>
        <v>3.0744635061181825E-3</v>
      </c>
      <c r="N351" s="19">
        <f t="shared" si="71"/>
        <v>0</v>
      </c>
    </row>
    <row r="352" spans="2:14" x14ac:dyDescent="0.25">
      <c r="B352" s="12" t="s">
        <v>513</v>
      </c>
      <c r="C352" s="13">
        <v>30</v>
      </c>
      <c r="D352" s="13">
        <v>30</v>
      </c>
      <c r="E352" s="14">
        <f t="shared" si="67"/>
        <v>2973</v>
      </c>
      <c r="F352" s="14">
        <f t="shared" ref="F352:F416" si="72">+((E352)+(L352/K352))-1</f>
        <v>2980</v>
      </c>
      <c r="G352" s="15">
        <f t="shared" si="69"/>
        <v>8</v>
      </c>
      <c r="H352" s="16" t="str">
        <f t="shared" si="68"/>
        <v>A</v>
      </c>
      <c r="I352" s="17">
        <v>0</v>
      </c>
      <c r="J352" s="17">
        <f t="shared" si="51"/>
        <v>0</v>
      </c>
      <c r="K352" s="14">
        <f t="shared" si="66"/>
        <v>1000000</v>
      </c>
      <c r="L352" s="14">
        <v>8000000</v>
      </c>
      <c r="M352" s="18">
        <f t="shared" ref="M352:M383" si="73">+L352/$L$433</f>
        <v>4.9191416097890922E-4</v>
      </c>
      <c r="N352" s="19">
        <f t="shared" ref="N352:N383" si="74">+J352/$J$433</f>
        <v>0</v>
      </c>
    </row>
    <row r="353" spans="2:14" x14ac:dyDescent="0.25">
      <c r="B353" s="12" t="s">
        <v>503</v>
      </c>
      <c r="C353" s="13">
        <v>30</v>
      </c>
      <c r="D353" s="13">
        <v>30</v>
      </c>
      <c r="E353" s="14">
        <f t="shared" si="67"/>
        <v>2981</v>
      </c>
      <c r="F353" s="14">
        <f t="shared" si="72"/>
        <v>3000</v>
      </c>
      <c r="G353" s="15">
        <f t="shared" si="69"/>
        <v>20</v>
      </c>
      <c r="H353" s="16" t="str">
        <f t="shared" si="68"/>
        <v>A</v>
      </c>
      <c r="I353" s="17">
        <v>0</v>
      </c>
      <c r="J353" s="17">
        <f t="shared" si="51"/>
        <v>0</v>
      </c>
      <c r="K353" s="14">
        <f t="shared" si="66"/>
        <v>1000000</v>
      </c>
      <c r="L353" s="14">
        <v>20000000</v>
      </c>
      <c r="M353" s="18">
        <f t="shared" si="73"/>
        <v>1.2297854024472729E-3</v>
      </c>
      <c r="N353" s="19">
        <f t="shared" si="74"/>
        <v>0</v>
      </c>
    </row>
    <row r="354" spans="2:14" x14ac:dyDescent="0.25">
      <c r="B354" s="12" t="s">
        <v>499</v>
      </c>
      <c r="C354" s="13">
        <v>71</v>
      </c>
      <c r="D354" s="13">
        <v>71</v>
      </c>
      <c r="E354" s="14">
        <v>7001</v>
      </c>
      <c r="F354" s="14">
        <f t="shared" si="72"/>
        <v>7075</v>
      </c>
      <c r="G354" s="15">
        <f t="shared" si="69"/>
        <v>75</v>
      </c>
      <c r="H354" s="16" t="s">
        <v>520</v>
      </c>
      <c r="I354" s="17">
        <v>0</v>
      </c>
      <c r="J354" s="17">
        <f t="shared" si="51"/>
        <v>0</v>
      </c>
      <c r="K354" s="14">
        <f t="shared" si="66"/>
        <v>1000000</v>
      </c>
      <c r="L354" s="14">
        <v>75000000</v>
      </c>
      <c r="M354" s="18">
        <f t="shared" si="73"/>
        <v>4.6116952591772732E-3</v>
      </c>
      <c r="N354" s="19">
        <f t="shared" si="74"/>
        <v>0</v>
      </c>
    </row>
    <row r="355" spans="2:14" x14ac:dyDescent="0.25">
      <c r="B355" s="12" t="s">
        <v>501</v>
      </c>
      <c r="C355" s="13">
        <v>71</v>
      </c>
      <c r="D355" s="13">
        <v>72</v>
      </c>
      <c r="E355" s="14">
        <f t="shared" ref="E355:E374" si="75">+F354+1</f>
        <v>7076</v>
      </c>
      <c r="F355" s="14">
        <f t="shared" si="72"/>
        <v>7175</v>
      </c>
      <c r="G355" s="15">
        <f t="shared" si="69"/>
        <v>100</v>
      </c>
      <c r="H355" s="16" t="str">
        <f>+H354</f>
        <v>B</v>
      </c>
      <c r="I355" s="17">
        <v>0</v>
      </c>
      <c r="J355" s="17">
        <f t="shared" si="51"/>
        <v>0</v>
      </c>
      <c r="K355" s="14">
        <f t="shared" si="66"/>
        <v>1000000</v>
      </c>
      <c r="L355" s="14">
        <v>100000000</v>
      </c>
      <c r="M355" s="18">
        <f t="shared" si="73"/>
        <v>6.1489270122363649E-3</v>
      </c>
      <c r="N355" s="19">
        <f t="shared" si="74"/>
        <v>0</v>
      </c>
    </row>
    <row r="356" spans="2:14" x14ac:dyDescent="0.25">
      <c r="B356" s="12" t="s">
        <v>495</v>
      </c>
      <c r="C356" s="13">
        <v>72</v>
      </c>
      <c r="D356" s="13">
        <v>74</v>
      </c>
      <c r="E356" s="14">
        <f t="shared" si="75"/>
        <v>7176</v>
      </c>
      <c r="F356" s="14">
        <f t="shared" si="72"/>
        <v>7325</v>
      </c>
      <c r="G356" s="15">
        <f t="shared" si="69"/>
        <v>150</v>
      </c>
      <c r="H356" s="16" t="str">
        <f t="shared" ref="H356:H379" si="76">+H355</f>
        <v>B</v>
      </c>
      <c r="I356" s="17">
        <v>0</v>
      </c>
      <c r="J356" s="17">
        <f t="shared" si="51"/>
        <v>0</v>
      </c>
      <c r="K356" s="14">
        <f t="shared" si="66"/>
        <v>1000000</v>
      </c>
      <c r="L356" s="14">
        <v>150000000</v>
      </c>
      <c r="M356" s="18">
        <f t="shared" si="73"/>
        <v>9.2233905183545465E-3</v>
      </c>
      <c r="N356" s="19">
        <f t="shared" si="74"/>
        <v>0</v>
      </c>
    </row>
    <row r="357" spans="2:14" x14ac:dyDescent="0.25">
      <c r="B357" s="12" t="s">
        <v>494</v>
      </c>
      <c r="C357" s="13">
        <v>74</v>
      </c>
      <c r="D357" s="13">
        <v>74</v>
      </c>
      <c r="E357" s="14">
        <f t="shared" si="75"/>
        <v>7326</v>
      </c>
      <c r="F357" s="14">
        <f t="shared" si="72"/>
        <v>7345</v>
      </c>
      <c r="G357" s="15">
        <f t="shared" si="69"/>
        <v>20</v>
      </c>
      <c r="H357" s="16" t="str">
        <f t="shared" si="76"/>
        <v>B</v>
      </c>
      <c r="I357" s="17">
        <v>0</v>
      </c>
      <c r="J357" s="17">
        <f t="shared" si="51"/>
        <v>0</v>
      </c>
      <c r="K357" s="14">
        <f t="shared" si="66"/>
        <v>1000000</v>
      </c>
      <c r="L357" s="14">
        <v>20000000</v>
      </c>
      <c r="M357" s="18">
        <f t="shared" si="73"/>
        <v>1.2297854024472729E-3</v>
      </c>
      <c r="N357" s="19">
        <f t="shared" si="74"/>
        <v>0</v>
      </c>
    </row>
    <row r="358" spans="2:14" x14ac:dyDescent="0.25">
      <c r="B358" s="12" t="s">
        <v>496</v>
      </c>
      <c r="C358" s="13">
        <v>74</v>
      </c>
      <c r="D358" s="13">
        <v>75</v>
      </c>
      <c r="E358" s="14">
        <f t="shared" si="75"/>
        <v>7346</v>
      </c>
      <c r="F358" s="14">
        <f t="shared" si="72"/>
        <v>7420</v>
      </c>
      <c r="G358" s="15">
        <f t="shared" si="69"/>
        <v>75</v>
      </c>
      <c r="H358" s="16" t="str">
        <f t="shared" si="76"/>
        <v>B</v>
      </c>
      <c r="I358" s="17">
        <v>0</v>
      </c>
      <c r="J358" s="17">
        <f t="shared" si="51"/>
        <v>0</v>
      </c>
      <c r="K358" s="14">
        <f t="shared" si="66"/>
        <v>1000000</v>
      </c>
      <c r="L358" s="14">
        <v>75000000</v>
      </c>
      <c r="M358" s="18">
        <f t="shared" si="73"/>
        <v>4.6116952591772732E-3</v>
      </c>
      <c r="N358" s="19">
        <f t="shared" si="74"/>
        <v>0</v>
      </c>
    </row>
    <row r="359" spans="2:14" x14ac:dyDescent="0.25">
      <c r="B359" s="12" t="s">
        <v>47</v>
      </c>
      <c r="C359" s="13">
        <v>75</v>
      </c>
      <c r="D359" s="13">
        <v>75</v>
      </c>
      <c r="E359" s="14">
        <f t="shared" si="75"/>
        <v>7421</v>
      </c>
      <c r="F359" s="14">
        <f t="shared" si="72"/>
        <v>7445</v>
      </c>
      <c r="G359" s="15">
        <f t="shared" si="69"/>
        <v>25</v>
      </c>
      <c r="H359" s="16" t="str">
        <f t="shared" si="76"/>
        <v>B</v>
      </c>
      <c r="I359" s="17">
        <v>0</v>
      </c>
      <c r="J359" s="17">
        <f t="shared" si="51"/>
        <v>0</v>
      </c>
      <c r="K359" s="14">
        <f t="shared" si="66"/>
        <v>1000000</v>
      </c>
      <c r="L359" s="14">
        <v>25000000</v>
      </c>
      <c r="M359" s="18">
        <f t="shared" si="73"/>
        <v>1.5372317530590912E-3</v>
      </c>
      <c r="N359" s="19">
        <f t="shared" si="74"/>
        <v>0</v>
      </c>
    </row>
    <row r="360" spans="2:14" x14ac:dyDescent="0.25">
      <c r="B360" s="12" t="s">
        <v>521</v>
      </c>
      <c r="C360" s="13">
        <v>75</v>
      </c>
      <c r="D360" s="13">
        <v>75</v>
      </c>
      <c r="E360" s="14">
        <f>+F359+1</f>
        <v>7446</v>
      </c>
      <c r="F360" s="14">
        <f t="shared" si="72"/>
        <v>7470</v>
      </c>
      <c r="G360" s="15">
        <f t="shared" si="69"/>
        <v>25</v>
      </c>
      <c r="H360" s="16" t="str">
        <f>+H359</f>
        <v>B</v>
      </c>
      <c r="I360" s="17">
        <v>0</v>
      </c>
      <c r="J360" s="17">
        <f t="shared" si="51"/>
        <v>0</v>
      </c>
      <c r="K360" s="14">
        <f>+K359</f>
        <v>1000000</v>
      </c>
      <c r="L360" s="14">
        <v>25000000</v>
      </c>
      <c r="M360" s="18">
        <f t="shared" si="73"/>
        <v>1.5372317530590912E-3</v>
      </c>
      <c r="N360" s="19">
        <f t="shared" si="74"/>
        <v>0</v>
      </c>
    </row>
    <row r="361" spans="2:14" x14ac:dyDescent="0.25">
      <c r="B361" s="12" t="s">
        <v>522</v>
      </c>
      <c r="C361" s="13">
        <v>75</v>
      </c>
      <c r="D361" s="13">
        <v>77</v>
      </c>
      <c r="E361" s="14">
        <f t="shared" si="75"/>
        <v>7471</v>
      </c>
      <c r="F361" s="14">
        <f t="shared" si="72"/>
        <v>7670</v>
      </c>
      <c r="G361" s="15">
        <f t="shared" si="69"/>
        <v>200</v>
      </c>
      <c r="H361" s="16" t="str">
        <f t="shared" si="76"/>
        <v>B</v>
      </c>
      <c r="I361" s="17">
        <v>0</v>
      </c>
      <c r="J361" s="17">
        <f t="shared" si="51"/>
        <v>0</v>
      </c>
      <c r="K361" s="14">
        <f t="shared" si="66"/>
        <v>1000000</v>
      </c>
      <c r="L361" s="14">
        <v>200000000</v>
      </c>
      <c r="M361" s="18">
        <f t="shared" si="73"/>
        <v>1.229785402447273E-2</v>
      </c>
      <c r="N361" s="19">
        <f t="shared" si="74"/>
        <v>0</v>
      </c>
    </row>
    <row r="362" spans="2:14" x14ac:dyDescent="0.25">
      <c r="B362" s="12" t="s">
        <v>523</v>
      </c>
      <c r="C362" s="13">
        <v>77</v>
      </c>
      <c r="D362" s="13">
        <v>78</v>
      </c>
      <c r="E362" s="14">
        <f t="shared" si="75"/>
        <v>7671</v>
      </c>
      <c r="F362" s="14">
        <f t="shared" si="72"/>
        <v>7720</v>
      </c>
      <c r="G362" s="15">
        <f t="shared" si="69"/>
        <v>50</v>
      </c>
      <c r="H362" s="16" t="str">
        <f t="shared" si="76"/>
        <v>B</v>
      </c>
      <c r="I362" s="17">
        <v>0</v>
      </c>
      <c r="J362" s="17">
        <f t="shared" ref="J362:J402" si="77">+I362*G362</f>
        <v>0</v>
      </c>
      <c r="K362" s="14">
        <f t="shared" si="66"/>
        <v>1000000</v>
      </c>
      <c r="L362" s="14">
        <v>50000000</v>
      </c>
      <c r="M362" s="18">
        <f t="shared" si="73"/>
        <v>3.0744635061181825E-3</v>
      </c>
      <c r="N362" s="19">
        <f t="shared" si="74"/>
        <v>0</v>
      </c>
    </row>
    <row r="363" spans="2:14" x14ac:dyDescent="0.25">
      <c r="B363" s="12" t="s">
        <v>501</v>
      </c>
      <c r="C363" s="13">
        <v>78</v>
      </c>
      <c r="D363" s="13">
        <v>79</v>
      </c>
      <c r="E363" s="14">
        <f t="shared" si="75"/>
        <v>7721</v>
      </c>
      <c r="F363" s="14">
        <f t="shared" si="72"/>
        <v>7820</v>
      </c>
      <c r="G363" s="15">
        <f t="shared" si="69"/>
        <v>100</v>
      </c>
      <c r="H363" s="16" t="str">
        <f t="shared" si="76"/>
        <v>B</v>
      </c>
      <c r="I363" s="17">
        <v>0</v>
      </c>
      <c r="J363" s="17">
        <f t="shared" si="77"/>
        <v>0</v>
      </c>
      <c r="K363" s="14">
        <f t="shared" si="66"/>
        <v>1000000</v>
      </c>
      <c r="L363" s="14">
        <v>100000000</v>
      </c>
      <c r="M363" s="18">
        <f t="shared" si="73"/>
        <v>6.1489270122363649E-3</v>
      </c>
      <c r="N363" s="19">
        <f t="shared" si="74"/>
        <v>0</v>
      </c>
    </row>
    <row r="364" spans="2:14" x14ac:dyDescent="0.25">
      <c r="B364" s="12" t="s">
        <v>500</v>
      </c>
      <c r="C364" s="13">
        <v>79</v>
      </c>
      <c r="D364" s="13">
        <v>80</v>
      </c>
      <c r="E364" s="14">
        <f t="shared" si="75"/>
        <v>7821</v>
      </c>
      <c r="F364" s="14">
        <f t="shared" si="72"/>
        <v>7970</v>
      </c>
      <c r="G364" s="15">
        <f t="shared" si="69"/>
        <v>150</v>
      </c>
      <c r="H364" s="16" t="str">
        <f t="shared" si="76"/>
        <v>B</v>
      </c>
      <c r="I364" s="17">
        <v>0</v>
      </c>
      <c r="J364" s="17">
        <f t="shared" si="77"/>
        <v>0</v>
      </c>
      <c r="K364" s="14">
        <f t="shared" si="66"/>
        <v>1000000</v>
      </c>
      <c r="L364" s="14">
        <v>150000000</v>
      </c>
      <c r="M364" s="18">
        <f t="shared" si="73"/>
        <v>9.2233905183545465E-3</v>
      </c>
      <c r="N364" s="19">
        <f t="shared" si="74"/>
        <v>0</v>
      </c>
    </row>
    <row r="365" spans="2:14" x14ac:dyDescent="0.25">
      <c r="B365" s="12" t="s">
        <v>514</v>
      </c>
      <c r="C365" s="13">
        <v>80</v>
      </c>
      <c r="D365" s="13">
        <v>81</v>
      </c>
      <c r="E365" s="14">
        <f t="shared" si="75"/>
        <v>7971</v>
      </c>
      <c r="F365" s="14">
        <f t="shared" si="72"/>
        <v>8020</v>
      </c>
      <c r="G365" s="15">
        <f t="shared" si="69"/>
        <v>50</v>
      </c>
      <c r="H365" s="16" t="str">
        <f t="shared" si="76"/>
        <v>B</v>
      </c>
      <c r="I365" s="17">
        <v>0</v>
      </c>
      <c r="J365" s="17">
        <f t="shared" si="77"/>
        <v>0</v>
      </c>
      <c r="K365" s="14">
        <f t="shared" si="66"/>
        <v>1000000</v>
      </c>
      <c r="L365" s="14">
        <v>50000000</v>
      </c>
      <c r="M365" s="18">
        <f t="shared" si="73"/>
        <v>3.0744635061181825E-3</v>
      </c>
      <c r="N365" s="19">
        <f t="shared" si="74"/>
        <v>0</v>
      </c>
    </row>
    <row r="366" spans="2:14" x14ac:dyDescent="0.25">
      <c r="B366" s="12" t="s">
        <v>500</v>
      </c>
      <c r="C366" s="13">
        <v>81</v>
      </c>
      <c r="D366" s="13">
        <v>82</v>
      </c>
      <c r="E366" s="14">
        <f t="shared" si="75"/>
        <v>8021</v>
      </c>
      <c r="F366" s="14">
        <f t="shared" si="72"/>
        <v>8120</v>
      </c>
      <c r="G366" s="15">
        <f t="shared" si="69"/>
        <v>100</v>
      </c>
      <c r="H366" s="16" t="str">
        <f t="shared" si="76"/>
        <v>B</v>
      </c>
      <c r="I366" s="17">
        <v>0</v>
      </c>
      <c r="J366" s="17">
        <f t="shared" si="77"/>
        <v>0</v>
      </c>
      <c r="K366" s="14">
        <f t="shared" si="66"/>
        <v>1000000</v>
      </c>
      <c r="L366" s="14">
        <v>100000000</v>
      </c>
      <c r="M366" s="18">
        <f t="shared" si="73"/>
        <v>6.1489270122363649E-3</v>
      </c>
      <c r="N366" s="19">
        <f t="shared" si="74"/>
        <v>0</v>
      </c>
    </row>
    <row r="367" spans="2:14" x14ac:dyDescent="0.25">
      <c r="B367" s="12" t="s">
        <v>505</v>
      </c>
      <c r="C367" s="13">
        <v>82</v>
      </c>
      <c r="D367" s="13">
        <v>85</v>
      </c>
      <c r="E367" s="14">
        <f t="shared" si="75"/>
        <v>8121</v>
      </c>
      <c r="F367" s="14">
        <f t="shared" si="72"/>
        <v>8420</v>
      </c>
      <c r="G367" s="15">
        <f t="shared" si="69"/>
        <v>300</v>
      </c>
      <c r="H367" s="16" t="str">
        <f t="shared" si="76"/>
        <v>B</v>
      </c>
      <c r="I367" s="17">
        <v>0</v>
      </c>
      <c r="J367" s="17">
        <f t="shared" si="77"/>
        <v>0</v>
      </c>
      <c r="K367" s="14">
        <f t="shared" si="66"/>
        <v>1000000</v>
      </c>
      <c r="L367" s="14">
        <v>300000000</v>
      </c>
      <c r="M367" s="18">
        <f t="shared" si="73"/>
        <v>1.8446781036709093E-2</v>
      </c>
      <c r="N367" s="19">
        <f t="shared" si="74"/>
        <v>0</v>
      </c>
    </row>
    <row r="368" spans="2:14" x14ac:dyDescent="0.25">
      <c r="B368" s="12" t="s">
        <v>504</v>
      </c>
      <c r="C368" s="13">
        <v>85</v>
      </c>
      <c r="D368" s="13">
        <v>85</v>
      </c>
      <c r="E368" s="14">
        <f t="shared" si="75"/>
        <v>8421</v>
      </c>
      <c r="F368" s="14">
        <f t="shared" si="72"/>
        <v>8495</v>
      </c>
      <c r="G368" s="15">
        <f t="shared" si="69"/>
        <v>75</v>
      </c>
      <c r="H368" s="16" t="str">
        <f t="shared" si="76"/>
        <v>B</v>
      </c>
      <c r="I368" s="17">
        <v>0</v>
      </c>
      <c r="J368" s="17">
        <f t="shared" si="77"/>
        <v>0</v>
      </c>
      <c r="K368" s="14">
        <f>+K367</f>
        <v>1000000</v>
      </c>
      <c r="L368" s="14">
        <v>75000000</v>
      </c>
      <c r="M368" s="18">
        <f t="shared" si="73"/>
        <v>4.6116952591772732E-3</v>
      </c>
      <c r="N368" s="19">
        <f t="shared" si="74"/>
        <v>0</v>
      </c>
    </row>
    <row r="369" spans="2:14" x14ac:dyDescent="0.25">
      <c r="B369" s="12" t="s">
        <v>498</v>
      </c>
      <c r="C369" s="13">
        <v>85</v>
      </c>
      <c r="D369" s="13">
        <v>86</v>
      </c>
      <c r="E369" s="14">
        <f t="shared" si="75"/>
        <v>8496</v>
      </c>
      <c r="F369" s="14">
        <f t="shared" si="72"/>
        <v>8545</v>
      </c>
      <c r="G369" s="15">
        <f t="shared" si="69"/>
        <v>50</v>
      </c>
      <c r="H369" s="16" t="str">
        <f t="shared" si="76"/>
        <v>B</v>
      </c>
      <c r="I369" s="17">
        <v>0</v>
      </c>
      <c r="J369" s="17">
        <f t="shared" si="77"/>
        <v>0</v>
      </c>
      <c r="K369" s="14">
        <f t="shared" ref="K369:K379" si="78">+K368</f>
        <v>1000000</v>
      </c>
      <c r="L369" s="14">
        <v>50000000</v>
      </c>
      <c r="M369" s="18">
        <f t="shared" si="73"/>
        <v>3.0744635061181825E-3</v>
      </c>
      <c r="N369" s="19">
        <f t="shared" si="74"/>
        <v>0</v>
      </c>
    </row>
    <row r="370" spans="2:14" x14ac:dyDescent="0.25">
      <c r="B370" s="12" t="s">
        <v>519</v>
      </c>
      <c r="C370" s="13">
        <v>86</v>
      </c>
      <c r="D370" s="13">
        <v>86</v>
      </c>
      <c r="E370" s="14">
        <f t="shared" si="75"/>
        <v>8546</v>
      </c>
      <c r="F370" s="14">
        <f t="shared" si="72"/>
        <v>8595</v>
      </c>
      <c r="G370" s="15">
        <f t="shared" si="69"/>
        <v>50</v>
      </c>
      <c r="H370" s="16" t="str">
        <f t="shared" si="76"/>
        <v>B</v>
      </c>
      <c r="I370" s="17">
        <v>0</v>
      </c>
      <c r="J370" s="17">
        <f t="shared" si="77"/>
        <v>0</v>
      </c>
      <c r="K370" s="14">
        <f t="shared" si="78"/>
        <v>1000000</v>
      </c>
      <c r="L370" s="14">
        <v>50000000</v>
      </c>
      <c r="M370" s="18">
        <f t="shared" si="73"/>
        <v>3.0744635061181825E-3</v>
      </c>
      <c r="N370" s="19">
        <f t="shared" si="74"/>
        <v>0</v>
      </c>
    </row>
    <row r="371" spans="2:14" x14ac:dyDescent="0.25">
      <c r="B371" s="12" t="s">
        <v>502</v>
      </c>
      <c r="C371" s="13">
        <v>86</v>
      </c>
      <c r="D371" s="13">
        <v>88</v>
      </c>
      <c r="E371" s="14">
        <f t="shared" si="75"/>
        <v>8596</v>
      </c>
      <c r="F371" s="14">
        <f t="shared" si="72"/>
        <v>8720</v>
      </c>
      <c r="G371" s="15">
        <f t="shared" si="69"/>
        <v>125</v>
      </c>
      <c r="H371" s="16" t="str">
        <f t="shared" si="76"/>
        <v>B</v>
      </c>
      <c r="I371" s="17">
        <v>0</v>
      </c>
      <c r="J371" s="17">
        <f t="shared" si="77"/>
        <v>0</v>
      </c>
      <c r="K371" s="14">
        <f t="shared" si="78"/>
        <v>1000000</v>
      </c>
      <c r="L371" s="14">
        <v>125000000</v>
      </c>
      <c r="M371" s="18">
        <f t="shared" si="73"/>
        <v>7.6861587652954557E-3</v>
      </c>
      <c r="N371" s="19">
        <f t="shared" si="74"/>
        <v>0</v>
      </c>
    </row>
    <row r="372" spans="2:14" x14ac:dyDescent="0.25">
      <c r="B372" s="12" t="s">
        <v>503</v>
      </c>
      <c r="C372" s="13">
        <v>88</v>
      </c>
      <c r="D372" s="13">
        <v>88</v>
      </c>
      <c r="E372" s="14">
        <f t="shared" si="75"/>
        <v>8721</v>
      </c>
      <c r="F372" s="14">
        <f t="shared" si="72"/>
        <v>8790</v>
      </c>
      <c r="G372" s="15">
        <f t="shared" si="69"/>
        <v>70</v>
      </c>
      <c r="H372" s="16" t="str">
        <f t="shared" si="76"/>
        <v>B</v>
      </c>
      <c r="I372" s="17">
        <v>0</v>
      </c>
      <c r="J372" s="17">
        <f t="shared" si="77"/>
        <v>0</v>
      </c>
      <c r="K372" s="14">
        <f t="shared" si="78"/>
        <v>1000000</v>
      </c>
      <c r="L372" s="14">
        <v>70000000</v>
      </c>
      <c r="M372" s="18">
        <f t="shared" si="73"/>
        <v>4.3042489085654556E-3</v>
      </c>
      <c r="N372" s="19">
        <f t="shared" si="74"/>
        <v>0</v>
      </c>
    </row>
    <row r="373" spans="2:14" x14ac:dyDescent="0.25">
      <c r="B373" s="12" t="s">
        <v>506</v>
      </c>
      <c r="C373" s="13">
        <v>88</v>
      </c>
      <c r="D373" s="13">
        <v>89</v>
      </c>
      <c r="E373" s="14">
        <f t="shared" si="75"/>
        <v>8791</v>
      </c>
      <c r="F373" s="14">
        <f t="shared" si="72"/>
        <v>8810</v>
      </c>
      <c r="G373" s="15">
        <f t="shared" si="69"/>
        <v>20</v>
      </c>
      <c r="H373" s="16" t="str">
        <f t="shared" si="76"/>
        <v>B</v>
      </c>
      <c r="I373" s="17">
        <v>0</v>
      </c>
      <c r="J373" s="17">
        <f t="shared" si="77"/>
        <v>0</v>
      </c>
      <c r="K373" s="14">
        <f t="shared" si="78"/>
        <v>1000000</v>
      </c>
      <c r="L373" s="14">
        <v>20000000</v>
      </c>
      <c r="M373" s="18">
        <f t="shared" si="73"/>
        <v>1.2297854024472729E-3</v>
      </c>
      <c r="N373" s="19">
        <f t="shared" si="74"/>
        <v>0</v>
      </c>
    </row>
    <row r="374" spans="2:14" x14ac:dyDescent="0.25">
      <c r="B374" s="12" t="s">
        <v>499</v>
      </c>
      <c r="C374" s="13">
        <v>89</v>
      </c>
      <c r="D374" s="13">
        <v>90</v>
      </c>
      <c r="E374" s="14">
        <f t="shared" si="75"/>
        <v>8811</v>
      </c>
      <c r="F374" s="14">
        <f t="shared" si="72"/>
        <v>9000</v>
      </c>
      <c r="G374" s="15">
        <f t="shared" si="69"/>
        <v>190</v>
      </c>
      <c r="H374" s="16" t="str">
        <f t="shared" si="76"/>
        <v>B</v>
      </c>
      <c r="I374" s="17">
        <v>0</v>
      </c>
      <c r="J374" s="17">
        <f t="shared" si="77"/>
        <v>0</v>
      </c>
      <c r="K374" s="14">
        <f t="shared" si="78"/>
        <v>1000000</v>
      </c>
      <c r="L374" s="14">
        <v>190000000</v>
      </c>
      <c r="M374" s="18">
        <f t="shared" si="73"/>
        <v>1.1682961323249093E-2</v>
      </c>
      <c r="N374" s="19">
        <f t="shared" si="74"/>
        <v>0</v>
      </c>
    </row>
    <row r="375" spans="2:14" x14ac:dyDescent="0.25">
      <c r="B375" s="12" t="s">
        <v>501</v>
      </c>
      <c r="C375" s="13">
        <v>121</v>
      </c>
      <c r="D375" s="13">
        <v>121</v>
      </c>
      <c r="E375" s="14">
        <v>12001</v>
      </c>
      <c r="F375" s="14">
        <f t="shared" si="72"/>
        <v>12050</v>
      </c>
      <c r="G375" s="15">
        <f t="shared" si="69"/>
        <v>50</v>
      </c>
      <c r="H375" s="16" t="s">
        <v>524</v>
      </c>
      <c r="I375" s="17">
        <v>0</v>
      </c>
      <c r="J375" s="17">
        <f t="shared" si="77"/>
        <v>0</v>
      </c>
      <c r="K375" s="14">
        <f t="shared" si="78"/>
        <v>1000000</v>
      </c>
      <c r="L375" s="14">
        <v>50000000</v>
      </c>
      <c r="M375" s="18">
        <f t="shared" si="73"/>
        <v>3.0744635061181825E-3</v>
      </c>
      <c r="N375" s="19">
        <f t="shared" si="74"/>
        <v>0</v>
      </c>
    </row>
    <row r="376" spans="2:14" x14ac:dyDescent="0.25">
      <c r="B376" s="12" t="s">
        <v>519</v>
      </c>
      <c r="C376" s="13">
        <v>121</v>
      </c>
      <c r="D376" s="13">
        <v>121</v>
      </c>
      <c r="E376" s="14">
        <f t="shared" ref="E376:E403" si="79">+F375+1</f>
        <v>12051</v>
      </c>
      <c r="F376" s="14">
        <f t="shared" si="72"/>
        <v>12100</v>
      </c>
      <c r="G376" s="15">
        <f t="shared" si="69"/>
        <v>50</v>
      </c>
      <c r="H376" s="16" t="s">
        <v>524</v>
      </c>
      <c r="I376" s="17">
        <v>0</v>
      </c>
      <c r="J376" s="17">
        <f t="shared" si="77"/>
        <v>0</v>
      </c>
      <c r="K376" s="14">
        <f t="shared" si="78"/>
        <v>1000000</v>
      </c>
      <c r="L376" s="14">
        <v>50000000</v>
      </c>
      <c r="M376" s="18">
        <f t="shared" si="73"/>
        <v>3.0744635061181825E-3</v>
      </c>
      <c r="N376" s="19">
        <f t="shared" si="74"/>
        <v>0</v>
      </c>
    </row>
    <row r="377" spans="2:14" x14ac:dyDescent="0.25">
      <c r="B377" s="12" t="s">
        <v>500</v>
      </c>
      <c r="C377" s="13">
        <v>122</v>
      </c>
      <c r="D377" s="13">
        <v>122</v>
      </c>
      <c r="E377" s="14">
        <f t="shared" si="79"/>
        <v>12101</v>
      </c>
      <c r="F377" s="14">
        <f t="shared" si="72"/>
        <v>12200</v>
      </c>
      <c r="G377" s="15">
        <f t="shared" si="69"/>
        <v>100</v>
      </c>
      <c r="H377" s="16" t="str">
        <f t="shared" si="76"/>
        <v>C</v>
      </c>
      <c r="I377" s="17">
        <v>0</v>
      </c>
      <c r="J377" s="17">
        <f t="shared" si="77"/>
        <v>0</v>
      </c>
      <c r="K377" s="14">
        <f t="shared" si="78"/>
        <v>1000000</v>
      </c>
      <c r="L377" s="14">
        <v>100000000</v>
      </c>
      <c r="M377" s="18">
        <f t="shared" si="73"/>
        <v>6.1489270122363649E-3</v>
      </c>
      <c r="N377" s="19">
        <f t="shared" si="74"/>
        <v>0</v>
      </c>
    </row>
    <row r="378" spans="2:14" x14ac:dyDescent="0.25">
      <c r="B378" s="12" t="s">
        <v>521</v>
      </c>
      <c r="C378" s="13">
        <v>123</v>
      </c>
      <c r="D378" s="13">
        <v>123</v>
      </c>
      <c r="E378" s="14">
        <f t="shared" si="79"/>
        <v>12201</v>
      </c>
      <c r="F378" s="14">
        <f t="shared" si="72"/>
        <v>12210</v>
      </c>
      <c r="G378" s="15">
        <f t="shared" si="69"/>
        <v>10</v>
      </c>
      <c r="H378" s="16" t="str">
        <f t="shared" si="76"/>
        <v>C</v>
      </c>
      <c r="I378" s="17">
        <v>0</v>
      </c>
      <c r="J378" s="17">
        <f t="shared" si="77"/>
        <v>0</v>
      </c>
      <c r="K378" s="14">
        <f t="shared" si="78"/>
        <v>1000000</v>
      </c>
      <c r="L378" s="14">
        <v>10000000</v>
      </c>
      <c r="M378" s="18">
        <f t="shared" si="73"/>
        <v>6.1489270122363647E-4</v>
      </c>
      <c r="N378" s="19">
        <f t="shared" si="74"/>
        <v>0</v>
      </c>
    </row>
    <row r="379" spans="2:14" x14ac:dyDescent="0.25">
      <c r="B379" s="12" t="s">
        <v>499</v>
      </c>
      <c r="C379" s="13">
        <v>123</v>
      </c>
      <c r="D379" s="13">
        <v>123</v>
      </c>
      <c r="E379" s="14">
        <f t="shared" si="79"/>
        <v>12211</v>
      </c>
      <c r="F379" s="14">
        <f t="shared" si="72"/>
        <v>12285</v>
      </c>
      <c r="G379" s="15">
        <f t="shared" si="69"/>
        <v>75</v>
      </c>
      <c r="H379" s="16" t="str">
        <f t="shared" si="76"/>
        <v>C</v>
      </c>
      <c r="I379" s="17">
        <v>0</v>
      </c>
      <c r="J379" s="17">
        <f t="shared" si="77"/>
        <v>0</v>
      </c>
      <c r="K379" s="14">
        <f t="shared" si="78"/>
        <v>1000000</v>
      </c>
      <c r="L379" s="14">
        <v>75000000</v>
      </c>
      <c r="M379" s="18">
        <f t="shared" si="73"/>
        <v>4.6116952591772732E-3</v>
      </c>
      <c r="N379" s="19">
        <f t="shared" si="74"/>
        <v>0</v>
      </c>
    </row>
    <row r="380" spans="2:14" x14ac:dyDescent="0.25">
      <c r="B380" s="12" t="s">
        <v>52</v>
      </c>
      <c r="C380" s="13">
        <v>123</v>
      </c>
      <c r="D380" s="13">
        <v>123</v>
      </c>
      <c r="E380" s="14">
        <f t="shared" si="79"/>
        <v>12286</v>
      </c>
      <c r="F380" s="14">
        <f t="shared" si="72"/>
        <v>12300</v>
      </c>
      <c r="G380" s="15">
        <f>+F380-E380+1</f>
        <v>15</v>
      </c>
      <c r="H380" s="16" t="s">
        <v>524</v>
      </c>
      <c r="I380" s="17">
        <v>0</v>
      </c>
      <c r="J380" s="17">
        <f t="shared" si="77"/>
        <v>0</v>
      </c>
      <c r="K380" s="14">
        <v>1000000</v>
      </c>
      <c r="L380" s="14">
        <v>15000000</v>
      </c>
      <c r="M380" s="18">
        <f t="shared" si="73"/>
        <v>9.2233905183545476E-4</v>
      </c>
      <c r="N380" s="19">
        <f t="shared" si="74"/>
        <v>0</v>
      </c>
    </row>
    <row r="381" spans="2:14" x14ac:dyDescent="0.25">
      <c r="B381" s="12" t="s">
        <v>508</v>
      </c>
      <c r="C381" s="13">
        <v>124</v>
      </c>
      <c r="D381" s="13">
        <v>124</v>
      </c>
      <c r="E381" s="14">
        <f t="shared" si="79"/>
        <v>12301</v>
      </c>
      <c r="F381" s="14">
        <f t="shared" si="72"/>
        <v>12319</v>
      </c>
      <c r="G381" s="15">
        <f t="shared" ref="G381:G403" si="80">+F381-E381+1</f>
        <v>19</v>
      </c>
      <c r="H381" s="16" t="s">
        <v>524</v>
      </c>
      <c r="I381" s="17">
        <v>0</v>
      </c>
      <c r="J381" s="17">
        <f t="shared" si="77"/>
        <v>0</v>
      </c>
      <c r="K381" s="14">
        <v>1000000</v>
      </c>
      <c r="L381" s="14">
        <v>19000000</v>
      </c>
      <c r="M381" s="18">
        <f t="shared" si="73"/>
        <v>1.1682961323249094E-3</v>
      </c>
      <c r="N381" s="19">
        <f t="shared" si="74"/>
        <v>0</v>
      </c>
    </row>
    <row r="382" spans="2:14" x14ac:dyDescent="0.25">
      <c r="B382" s="12" t="s">
        <v>505</v>
      </c>
      <c r="C382" s="13">
        <v>124</v>
      </c>
      <c r="D382" s="13">
        <v>125</v>
      </c>
      <c r="E382" s="14">
        <f t="shared" si="79"/>
        <v>12320</v>
      </c>
      <c r="F382" s="14">
        <f t="shared" si="72"/>
        <v>12447</v>
      </c>
      <c r="G382" s="15">
        <f t="shared" si="80"/>
        <v>128</v>
      </c>
      <c r="H382" s="16" t="s">
        <v>524</v>
      </c>
      <c r="I382" s="17">
        <v>0</v>
      </c>
      <c r="J382" s="17">
        <f t="shared" si="77"/>
        <v>0</v>
      </c>
      <c r="K382" s="14">
        <v>1000000</v>
      </c>
      <c r="L382" s="14">
        <v>128000000</v>
      </c>
      <c r="M382" s="18">
        <f t="shared" si="73"/>
        <v>7.8706265756625475E-3</v>
      </c>
      <c r="N382" s="19">
        <f t="shared" si="74"/>
        <v>0</v>
      </c>
    </row>
    <row r="383" spans="2:14" x14ac:dyDescent="0.25">
      <c r="B383" s="12" t="s">
        <v>507</v>
      </c>
      <c r="C383" s="13">
        <v>125</v>
      </c>
      <c r="D383" s="13">
        <v>125</v>
      </c>
      <c r="E383" s="14">
        <f t="shared" si="79"/>
        <v>12448</v>
      </c>
      <c r="F383" s="14">
        <f t="shared" si="72"/>
        <v>12473</v>
      </c>
      <c r="G383" s="15">
        <f t="shared" si="80"/>
        <v>26</v>
      </c>
      <c r="H383" s="16" t="s">
        <v>524</v>
      </c>
      <c r="I383" s="17">
        <v>0</v>
      </c>
      <c r="J383" s="17">
        <f t="shared" si="77"/>
        <v>0</v>
      </c>
      <c r="K383" s="14">
        <v>1000000</v>
      </c>
      <c r="L383" s="14">
        <v>26000000</v>
      </c>
      <c r="M383" s="18">
        <f t="shared" si="73"/>
        <v>1.5987210231814548E-3</v>
      </c>
      <c r="N383" s="19">
        <f t="shared" si="74"/>
        <v>0</v>
      </c>
    </row>
    <row r="384" spans="2:14" x14ac:dyDescent="0.25">
      <c r="B384" s="12" t="s">
        <v>509</v>
      </c>
      <c r="C384" s="13">
        <v>125</v>
      </c>
      <c r="D384" s="13">
        <v>125</v>
      </c>
      <c r="E384" s="14">
        <f t="shared" si="79"/>
        <v>12474</v>
      </c>
      <c r="F384" s="14">
        <f t="shared" si="72"/>
        <v>12481</v>
      </c>
      <c r="G384" s="15">
        <f t="shared" si="80"/>
        <v>8</v>
      </c>
      <c r="H384" s="16" t="s">
        <v>524</v>
      </c>
      <c r="I384" s="17">
        <v>0</v>
      </c>
      <c r="J384" s="17">
        <f t="shared" si="77"/>
        <v>0</v>
      </c>
      <c r="K384" s="14">
        <v>1000000</v>
      </c>
      <c r="L384" s="14">
        <v>8000000</v>
      </c>
      <c r="M384" s="18">
        <f t="shared" ref="M384:M393" si="81">+L384/$L$433</f>
        <v>4.9191416097890922E-4</v>
      </c>
      <c r="N384" s="19">
        <f t="shared" ref="N384:N393" si="82">+J384/$J$433</f>
        <v>0</v>
      </c>
    </row>
    <row r="385" spans="2:14" x14ac:dyDescent="0.25">
      <c r="B385" s="12" t="s">
        <v>55</v>
      </c>
      <c r="C385" s="13">
        <v>125</v>
      </c>
      <c r="D385" s="13">
        <v>125</v>
      </c>
      <c r="E385" s="14">
        <f t="shared" si="79"/>
        <v>12482</v>
      </c>
      <c r="F385" s="14">
        <f t="shared" si="72"/>
        <v>12496</v>
      </c>
      <c r="G385" s="15">
        <f t="shared" si="80"/>
        <v>15</v>
      </c>
      <c r="H385" s="16" t="s">
        <v>524</v>
      </c>
      <c r="I385" s="17">
        <v>0</v>
      </c>
      <c r="J385" s="17">
        <f t="shared" si="77"/>
        <v>0</v>
      </c>
      <c r="K385" s="14">
        <v>1000000</v>
      </c>
      <c r="L385" s="14">
        <v>15000000</v>
      </c>
      <c r="M385" s="18">
        <f t="shared" si="81"/>
        <v>9.2233905183545476E-4</v>
      </c>
      <c r="N385" s="19">
        <f t="shared" si="82"/>
        <v>0</v>
      </c>
    </row>
    <row r="386" spans="2:14" x14ac:dyDescent="0.25">
      <c r="B386" s="12" t="s">
        <v>53</v>
      </c>
      <c r="C386" s="13">
        <v>125</v>
      </c>
      <c r="D386" s="13">
        <v>126</v>
      </c>
      <c r="E386" s="14">
        <f t="shared" si="79"/>
        <v>12497</v>
      </c>
      <c r="F386" s="14">
        <f t="shared" si="72"/>
        <v>12501</v>
      </c>
      <c r="G386" s="15">
        <f t="shared" si="80"/>
        <v>5</v>
      </c>
      <c r="H386" s="16" t="s">
        <v>524</v>
      </c>
      <c r="I386" s="17">
        <v>0</v>
      </c>
      <c r="J386" s="17">
        <f t="shared" si="77"/>
        <v>0</v>
      </c>
      <c r="K386" s="14">
        <v>1000000</v>
      </c>
      <c r="L386" s="14">
        <v>5000000</v>
      </c>
      <c r="M386" s="18">
        <f t="shared" si="81"/>
        <v>3.0744635061181823E-4</v>
      </c>
      <c r="N386" s="19">
        <f t="shared" si="82"/>
        <v>0</v>
      </c>
    </row>
    <row r="387" spans="2:14" x14ac:dyDescent="0.25">
      <c r="B387" s="12" t="s">
        <v>503</v>
      </c>
      <c r="C387" s="13">
        <v>126</v>
      </c>
      <c r="D387" s="13">
        <v>126</v>
      </c>
      <c r="E387" s="14">
        <f t="shared" si="79"/>
        <v>12502</v>
      </c>
      <c r="F387" s="14">
        <f t="shared" si="72"/>
        <v>12571</v>
      </c>
      <c r="G387" s="15">
        <f t="shared" si="80"/>
        <v>70</v>
      </c>
      <c r="H387" s="16" t="s">
        <v>524</v>
      </c>
      <c r="I387" s="17">
        <v>0</v>
      </c>
      <c r="J387" s="17">
        <f t="shared" si="77"/>
        <v>0</v>
      </c>
      <c r="K387" s="14">
        <v>1000000</v>
      </c>
      <c r="L387" s="14">
        <v>70000000</v>
      </c>
      <c r="M387" s="18">
        <f t="shared" si="81"/>
        <v>4.3042489085654556E-3</v>
      </c>
      <c r="N387" s="19">
        <f t="shared" si="82"/>
        <v>0</v>
      </c>
    </row>
    <row r="388" spans="2:14" x14ac:dyDescent="0.25">
      <c r="B388" s="12" t="s">
        <v>498</v>
      </c>
      <c r="C388" s="13">
        <v>126</v>
      </c>
      <c r="D388" s="13">
        <v>127</v>
      </c>
      <c r="E388" s="14">
        <f t="shared" si="79"/>
        <v>12572</v>
      </c>
      <c r="F388" s="14">
        <f t="shared" si="72"/>
        <v>12671</v>
      </c>
      <c r="G388" s="15">
        <f t="shared" si="80"/>
        <v>100</v>
      </c>
      <c r="H388" s="16" t="s">
        <v>524</v>
      </c>
      <c r="I388" s="17">
        <v>0</v>
      </c>
      <c r="J388" s="17">
        <f t="shared" si="77"/>
        <v>0</v>
      </c>
      <c r="K388" s="14">
        <v>1000000</v>
      </c>
      <c r="L388" s="14">
        <v>100000000</v>
      </c>
      <c r="M388" s="18">
        <f t="shared" si="81"/>
        <v>6.1489270122363649E-3</v>
      </c>
      <c r="N388" s="19">
        <f t="shared" si="82"/>
        <v>0</v>
      </c>
    </row>
    <row r="389" spans="2:14" x14ac:dyDescent="0.25">
      <c r="B389" s="12" t="s">
        <v>522</v>
      </c>
      <c r="C389" s="13">
        <v>127</v>
      </c>
      <c r="D389" s="13">
        <v>129</v>
      </c>
      <c r="E389" s="14">
        <f t="shared" si="79"/>
        <v>12672</v>
      </c>
      <c r="F389" s="14">
        <f t="shared" si="72"/>
        <v>12871</v>
      </c>
      <c r="G389" s="15">
        <f t="shared" si="80"/>
        <v>200</v>
      </c>
      <c r="H389" s="16" t="s">
        <v>524</v>
      </c>
      <c r="I389" s="17">
        <v>0</v>
      </c>
      <c r="J389" s="17">
        <f t="shared" si="77"/>
        <v>0</v>
      </c>
      <c r="K389" s="14">
        <v>1000000</v>
      </c>
      <c r="L389" s="14">
        <v>200000000</v>
      </c>
      <c r="M389" s="18">
        <f t="shared" si="81"/>
        <v>1.229785402447273E-2</v>
      </c>
      <c r="N389" s="19">
        <f t="shared" si="82"/>
        <v>0</v>
      </c>
    </row>
    <row r="390" spans="2:14" x14ac:dyDescent="0.25">
      <c r="B390" s="12" t="s">
        <v>370</v>
      </c>
      <c r="C390" s="13">
        <v>129</v>
      </c>
      <c r="D390" s="13">
        <v>129</v>
      </c>
      <c r="E390" s="14">
        <f t="shared" si="79"/>
        <v>12872</v>
      </c>
      <c r="F390" s="14">
        <f t="shared" si="72"/>
        <v>12883</v>
      </c>
      <c r="G390" s="15">
        <f t="shared" si="80"/>
        <v>12</v>
      </c>
      <c r="H390" s="16" t="s">
        <v>524</v>
      </c>
      <c r="I390" s="17">
        <v>0</v>
      </c>
      <c r="J390" s="17">
        <f t="shared" si="77"/>
        <v>0</v>
      </c>
      <c r="K390" s="14">
        <v>1000000</v>
      </c>
      <c r="L390" s="14">
        <v>12000000</v>
      </c>
      <c r="M390" s="18">
        <f t="shared" si="81"/>
        <v>7.3787124146836372E-4</v>
      </c>
      <c r="N390" s="19">
        <f t="shared" si="82"/>
        <v>0</v>
      </c>
    </row>
    <row r="391" spans="2:14" x14ac:dyDescent="0.25">
      <c r="B391" s="12" t="s">
        <v>525</v>
      </c>
      <c r="C391" s="13">
        <v>129</v>
      </c>
      <c r="D391" s="13">
        <v>130</v>
      </c>
      <c r="E391" s="14">
        <f t="shared" si="79"/>
        <v>12884</v>
      </c>
      <c r="F391" s="14">
        <f t="shared" si="72"/>
        <v>12983</v>
      </c>
      <c r="G391" s="15">
        <f t="shared" si="80"/>
        <v>100</v>
      </c>
      <c r="H391" s="16" t="s">
        <v>524</v>
      </c>
      <c r="I391" s="17">
        <v>0</v>
      </c>
      <c r="J391" s="17">
        <f t="shared" si="77"/>
        <v>0</v>
      </c>
      <c r="K391" s="14">
        <v>1000000</v>
      </c>
      <c r="L391" s="14">
        <v>100000000</v>
      </c>
      <c r="M391" s="18">
        <f t="shared" si="81"/>
        <v>6.1489270122363649E-3</v>
      </c>
      <c r="N391" s="19">
        <f t="shared" si="82"/>
        <v>0</v>
      </c>
    </row>
    <row r="392" spans="2:14" x14ac:dyDescent="0.25">
      <c r="B392" s="12" t="s">
        <v>508</v>
      </c>
      <c r="C392" s="13">
        <v>130</v>
      </c>
      <c r="D392" s="13">
        <v>131</v>
      </c>
      <c r="E392" s="14">
        <f t="shared" si="79"/>
        <v>12984</v>
      </c>
      <c r="F392" s="14">
        <f t="shared" si="72"/>
        <v>13003</v>
      </c>
      <c r="G392" s="15">
        <f t="shared" si="80"/>
        <v>20</v>
      </c>
      <c r="H392" s="16" t="s">
        <v>524</v>
      </c>
      <c r="I392" s="17">
        <v>0</v>
      </c>
      <c r="J392" s="17">
        <f t="shared" si="77"/>
        <v>0</v>
      </c>
      <c r="K392" s="14">
        <v>1000000</v>
      </c>
      <c r="L392" s="14">
        <v>20000000</v>
      </c>
      <c r="M392" s="18">
        <f t="shared" si="81"/>
        <v>1.2297854024472729E-3</v>
      </c>
      <c r="N392" s="19">
        <f t="shared" si="82"/>
        <v>0</v>
      </c>
    </row>
    <row r="393" spans="2:14" x14ac:dyDescent="0.25">
      <c r="B393" s="12" t="s">
        <v>494</v>
      </c>
      <c r="C393" s="13">
        <v>131</v>
      </c>
      <c r="D393" s="13">
        <v>131</v>
      </c>
      <c r="E393" s="14">
        <f t="shared" si="79"/>
        <v>13004</v>
      </c>
      <c r="F393" s="14">
        <f t="shared" si="72"/>
        <v>13022</v>
      </c>
      <c r="G393" s="15">
        <f t="shared" si="80"/>
        <v>19</v>
      </c>
      <c r="H393" s="16" t="s">
        <v>524</v>
      </c>
      <c r="I393" s="17">
        <v>0</v>
      </c>
      <c r="J393" s="17">
        <f t="shared" si="77"/>
        <v>0</v>
      </c>
      <c r="K393" s="14">
        <v>1000000</v>
      </c>
      <c r="L393" s="14">
        <v>19000000</v>
      </c>
      <c r="M393" s="18">
        <f t="shared" si="81"/>
        <v>1.1682961323249094E-3</v>
      </c>
      <c r="N393" s="19">
        <f t="shared" si="82"/>
        <v>0</v>
      </c>
    </row>
    <row r="394" spans="2:14" x14ac:dyDescent="0.25">
      <c r="B394" s="12" t="s">
        <v>495</v>
      </c>
      <c r="C394" s="13">
        <v>131</v>
      </c>
      <c r="D394" s="13">
        <v>132</v>
      </c>
      <c r="E394" s="14">
        <f>+F393+1</f>
        <v>13023</v>
      </c>
      <c r="F394" s="14">
        <f t="shared" si="72"/>
        <v>13172</v>
      </c>
      <c r="G394" s="15">
        <f t="shared" si="80"/>
        <v>150</v>
      </c>
      <c r="H394" s="16" t="s">
        <v>524</v>
      </c>
      <c r="I394" s="17">
        <v>0</v>
      </c>
      <c r="J394" s="17">
        <f t="shared" si="77"/>
        <v>0</v>
      </c>
      <c r="K394" s="14">
        <v>1000000</v>
      </c>
      <c r="L394" s="14">
        <v>150000000</v>
      </c>
      <c r="M394" s="18">
        <f t="shared" ref="M394:M415" si="83">+L394/$L$433</f>
        <v>9.2233905183545465E-3</v>
      </c>
      <c r="N394" s="19">
        <f t="shared" ref="N394:N416" si="84">+J394/$J$433</f>
        <v>0</v>
      </c>
    </row>
    <row r="395" spans="2:14" x14ac:dyDescent="0.25">
      <c r="B395" s="12" t="s">
        <v>47</v>
      </c>
      <c r="C395" s="13">
        <v>132</v>
      </c>
      <c r="D395" s="13">
        <v>132</v>
      </c>
      <c r="E395" s="14">
        <f t="shared" si="79"/>
        <v>13173</v>
      </c>
      <c r="F395" s="14">
        <f t="shared" si="72"/>
        <v>13197</v>
      </c>
      <c r="G395" s="15">
        <f t="shared" si="80"/>
        <v>25</v>
      </c>
      <c r="H395" s="16" t="s">
        <v>524</v>
      </c>
      <c r="I395" s="17">
        <v>0</v>
      </c>
      <c r="J395" s="17">
        <f t="shared" si="77"/>
        <v>0</v>
      </c>
      <c r="K395" s="14">
        <v>1000000</v>
      </c>
      <c r="L395" s="14">
        <v>25000000</v>
      </c>
      <c r="M395" s="18">
        <f t="shared" si="83"/>
        <v>1.5372317530590912E-3</v>
      </c>
      <c r="N395" s="19">
        <f t="shared" si="84"/>
        <v>0</v>
      </c>
    </row>
    <row r="396" spans="2:14" x14ac:dyDescent="0.25">
      <c r="B396" s="12" t="s">
        <v>505</v>
      </c>
      <c r="C396" s="13">
        <v>132</v>
      </c>
      <c r="D396" s="13">
        <v>133</v>
      </c>
      <c r="E396" s="14">
        <f t="shared" si="79"/>
        <v>13198</v>
      </c>
      <c r="F396" s="14">
        <f t="shared" si="72"/>
        <v>13262</v>
      </c>
      <c r="G396" s="15">
        <f t="shared" si="80"/>
        <v>65</v>
      </c>
      <c r="H396" s="16" t="s">
        <v>524</v>
      </c>
      <c r="I396" s="17">
        <v>0</v>
      </c>
      <c r="J396" s="17">
        <f t="shared" si="77"/>
        <v>0</v>
      </c>
      <c r="K396" s="14">
        <v>1000000</v>
      </c>
      <c r="L396" s="14">
        <v>65000000</v>
      </c>
      <c r="M396" s="18">
        <f t="shared" si="83"/>
        <v>3.9968025579536371E-3</v>
      </c>
      <c r="N396" s="19">
        <f t="shared" si="84"/>
        <v>0</v>
      </c>
    </row>
    <row r="397" spans="2:14" x14ac:dyDescent="0.25">
      <c r="B397" s="12" t="s">
        <v>505</v>
      </c>
      <c r="C397" s="13">
        <v>133</v>
      </c>
      <c r="D397" s="13">
        <v>134</v>
      </c>
      <c r="E397" s="14">
        <f t="shared" si="79"/>
        <v>13263</v>
      </c>
      <c r="F397" s="14">
        <f t="shared" si="72"/>
        <v>13349</v>
      </c>
      <c r="G397" s="15">
        <f t="shared" si="80"/>
        <v>87</v>
      </c>
      <c r="H397" s="16" t="s">
        <v>524</v>
      </c>
      <c r="I397" s="17">
        <v>0</v>
      </c>
      <c r="J397" s="17">
        <f t="shared" si="77"/>
        <v>0</v>
      </c>
      <c r="K397" s="14">
        <v>1000000</v>
      </c>
      <c r="L397" s="14">
        <v>87000000</v>
      </c>
      <c r="M397" s="18">
        <f t="shared" si="83"/>
        <v>5.349566500645637E-3</v>
      </c>
      <c r="N397" s="19">
        <f t="shared" si="84"/>
        <v>0</v>
      </c>
    </row>
    <row r="398" spans="2:14" x14ac:dyDescent="0.25">
      <c r="B398" s="12" t="s">
        <v>505</v>
      </c>
      <c r="C398" s="13">
        <v>134</v>
      </c>
      <c r="D398" s="13">
        <v>136</v>
      </c>
      <c r="E398" s="14">
        <f t="shared" si="79"/>
        <v>13350</v>
      </c>
      <c r="F398" s="14">
        <f t="shared" si="72"/>
        <v>13515</v>
      </c>
      <c r="G398" s="15">
        <f t="shared" si="80"/>
        <v>166</v>
      </c>
      <c r="H398" s="16" t="s">
        <v>524</v>
      </c>
      <c r="I398" s="17">
        <v>0</v>
      </c>
      <c r="J398" s="17">
        <f t="shared" si="77"/>
        <v>0</v>
      </c>
      <c r="K398" s="14">
        <v>1000000</v>
      </c>
      <c r="L398" s="14">
        <v>166000000</v>
      </c>
      <c r="M398" s="18">
        <f t="shared" si="83"/>
        <v>1.0207218840312365E-2</v>
      </c>
      <c r="N398" s="19">
        <f t="shared" si="84"/>
        <v>0</v>
      </c>
    </row>
    <row r="399" spans="2:14" x14ac:dyDescent="0.25">
      <c r="B399" s="12" t="s">
        <v>505</v>
      </c>
      <c r="C399" s="13">
        <v>136</v>
      </c>
      <c r="D399" s="13">
        <v>137</v>
      </c>
      <c r="E399" s="14">
        <f t="shared" si="79"/>
        <v>13516</v>
      </c>
      <c r="F399" s="14">
        <f t="shared" si="72"/>
        <v>13605</v>
      </c>
      <c r="G399" s="15">
        <f t="shared" si="80"/>
        <v>90</v>
      </c>
      <c r="H399" s="16" t="s">
        <v>524</v>
      </c>
      <c r="I399" s="17">
        <v>0</v>
      </c>
      <c r="J399" s="17">
        <f t="shared" si="77"/>
        <v>0</v>
      </c>
      <c r="K399" s="14">
        <v>1000000</v>
      </c>
      <c r="L399" s="14">
        <v>90000000</v>
      </c>
      <c r="M399" s="18">
        <f t="shared" si="83"/>
        <v>5.5340343110127279E-3</v>
      </c>
      <c r="N399" s="19">
        <f t="shared" si="84"/>
        <v>0</v>
      </c>
    </row>
    <row r="400" spans="2:14" x14ac:dyDescent="0.25">
      <c r="B400" s="12" t="s">
        <v>526</v>
      </c>
      <c r="C400" s="13">
        <v>137</v>
      </c>
      <c r="D400" s="13">
        <v>137</v>
      </c>
      <c r="E400" s="14">
        <f t="shared" si="79"/>
        <v>13606</v>
      </c>
      <c r="F400" s="14">
        <f t="shared" si="72"/>
        <v>13617</v>
      </c>
      <c r="G400" s="15">
        <f t="shared" si="80"/>
        <v>12</v>
      </c>
      <c r="H400" s="16" t="s">
        <v>524</v>
      </c>
      <c r="I400" s="17">
        <v>0</v>
      </c>
      <c r="J400" s="17">
        <f t="shared" si="77"/>
        <v>0</v>
      </c>
      <c r="K400" s="14">
        <v>1000000</v>
      </c>
      <c r="L400" s="14">
        <v>12000000</v>
      </c>
      <c r="M400" s="18">
        <f t="shared" si="83"/>
        <v>7.3787124146836372E-4</v>
      </c>
      <c r="N400" s="19">
        <f t="shared" si="84"/>
        <v>0</v>
      </c>
    </row>
    <row r="401" spans="2:14" x14ac:dyDescent="0.25">
      <c r="B401" s="12" t="s">
        <v>494</v>
      </c>
      <c r="C401" s="13">
        <v>137</v>
      </c>
      <c r="D401" s="13">
        <v>137</v>
      </c>
      <c r="E401" s="14">
        <f t="shared" si="79"/>
        <v>13618</v>
      </c>
      <c r="F401" s="14">
        <f t="shared" si="72"/>
        <v>13623</v>
      </c>
      <c r="G401" s="15">
        <f t="shared" si="80"/>
        <v>6</v>
      </c>
      <c r="H401" s="16" t="s">
        <v>524</v>
      </c>
      <c r="I401" s="17">
        <v>0</v>
      </c>
      <c r="J401" s="17">
        <f t="shared" si="77"/>
        <v>0</v>
      </c>
      <c r="K401" s="14">
        <v>1000000</v>
      </c>
      <c r="L401" s="14">
        <v>6000000</v>
      </c>
      <c r="M401" s="18">
        <f t="shared" si="83"/>
        <v>3.6893562073418186E-4</v>
      </c>
      <c r="N401" s="19">
        <f t="shared" si="84"/>
        <v>0</v>
      </c>
    </row>
    <row r="402" spans="2:14" x14ac:dyDescent="0.25">
      <c r="B402" s="12" t="s">
        <v>507</v>
      </c>
      <c r="C402" s="13">
        <v>137</v>
      </c>
      <c r="D402" s="13">
        <v>138</v>
      </c>
      <c r="E402" s="14">
        <f t="shared" si="79"/>
        <v>13624</v>
      </c>
      <c r="F402" s="14">
        <f t="shared" si="72"/>
        <v>13703</v>
      </c>
      <c r="G402" s="15">
        <f t="shared" si="80"/>
        <v>80</v>
      </c>
      <c r="H402" s="16" t="s">
        <v>524</v>
      </c>
      <c r="I402" s="17">
        <v>0</v>
      </c>
      <c r="J402" s="17">
        <f t="shared" si="77"/>
        <v>0</v>
      </c>
      <c r="K402" s="14">
        <v>1000000</v>
      </c>
      <c r="L402" s="14">
        <v>80000000</v>
      </c>
      <c r="M402" s="18">
        <f t="shared" si="83"/>
        <v>4.9191416097890918E-3</v>
      </c>
      <c r="N402" s="19">
        <f t="shared" si="84"/>
        <v>0</v>
      </c>
    </row>
    <row r="403" spans="2:14" x14ac:dyDescent="0.25">
      <c r="B403" s="12" t="s">
        <v>353</v>
      </c>
      <c r="C403" s="13">
        <v>138</v>
      </c>
      <c r="D403" s="13">
        <v>138</v>
      </c>
      <c r="E403" s="14">
        <f t="shared" si="79"/>
        <v>13704</v>
      </c>
      <c r="F403" s="14">
        <f t="shared" si="72"/>
        <v>13713</v>
      </c>
      <c r="G403" s="15">
        <f t="shared" si="80"/>
        <v>10</v>
      </c>
      <c r="H403" s="16" t="s">
        <v>524</v>
      </c>
      <c r="I403" s="17">
        <v>0</v>
      </c>
      <c r="J403" s="17">
        <v>0</v>
      </c>
      <c r="K403" s="14">
        <v>1000000</v>
      </c>
      <c r="L403" s="14">
        <v>10000000</v>
      </c>
      <c r="M403" s="18">
        <f t="shared" si="83"/>
        <v>6.1489270122363647E-4</v>
      </c>
      <c r="N403" s="19">
        <f t="shared" si="84"/>
        <v>0</v>
      </c>
    </row>
    <row r="404" spans="2:14" x14ac:dyDescent="0.25">
      <c r="B404" s="12" t="s">
        <v>513</v>
      </c>
      <c r="C404" s="13">
        <v>138</v>
      </c>
      <c r="D404" s="13">
        <v>138</v>
      </c>
      <c r="E404" s="14">
        <f t="shared" ref="E404" si="85">+F403+1</f>
        <v>13714</v>
      </c>
      <c r="F404" s="14">
        <f t="shared" ref="F404" si="86">+((E404)+(L404/K404))-1</f>
        <v>13763</v>
      </c>
      <c r="G404" s="15">
        <f t="shared" ref="G404" si="87">+F404-E404+1</f>
        <v>50</v>
      </c>
      <c r="H404" s="16" t="s">
        <v>524</v>
      </c>
      <c r="I404" s="17">
        <v>0</v>
      </c>
      <c r="J404" s="17">
        <v>0</v>
      </c>
      <c r="K404" s="14">
        <v>1000000</v>
      </c>
      <c r="L404" s="14">
        <v>50000000</v>
      </c>
      <c r="M404" s="18">
        <f t="shared" si="83"/>
        <v>3.0744635061181825E-3</v>
      </c>
      <c r="N404" s="19">
        <f t="shared" si="84"/>
        <v>0</v>
      </c>
    </row>
    <row r="405" spans="2:14" x14ac:dyDescent="0.25">
      <c r="B405" s="12" t="s">
        <v>47</v>
      </c>
      <c r="C405" s="13">
        <v>141</v>
      </c>
      <c r="D405" s="13">
        <v>145</v>
      </c>
      <c r="E405" s="14">
        <v>14001</v>
      </c>
      <c r="F405" s="14">
        <f t="shared" si="72"/>
        <v>14500</v>
      </c>
      <c r="G405" s="15">
        <f>+F405-E405+1</f>
        <v>500</v>
      </c>
      <c r="H405" s="16" t="s">
        <v>76</v>
      </c>
      <c r="I405" s="17">
        <v>5</v>
      </c>
      <c r="J405" s="17">
        <f t="shared" ref="J405:J429" si="88">+I405*G405</f>
        <v>2500</v>
      </c>
      <c r="K405" s="14">
        <f>+K374</f>
        <v>1000000</v>
      </c>
      <c r="L405" s="14">
        <v>500000000</v>
      </c>
      <c r="M405" s="18">
        <f t="shared" si="83"/>
        <v>3.0744635061181823E-2</v>
      </c>
      <c r="N405" s="19">
        <f t="shared" si="84"/>
        <v>7.2463768115942032E-2</v>
      </c>
    </row>
    <row r="406" spans="2:14" x14ac:dyDescent="0.25">
      <c r="B406" s="12" t="s">
        <v>43</v>
      </c>
      <c r="C406" s="13">
        <v>146</v>
      </c>
      <c r="D406" s="13">
        <v>150</v>
      </c>
      <c r="E406" s="14">
        <f>+F405+1</f>
        <v>14501</v>
      </c>
      <c r="F406" s="14">
        <f t="shared" si="72"/>
        <v>15000</v>
      </c>
      <c r="G406" s="15">
        <f>+F406-E406+1</f>
        <v>500</v>
      </c>
      <c r="H406" s="16" t="s">
        <v>76</v>
      </c>
      <c r="I406" s="17">
        <v>5</v>
      </c>
      <c r="J406" s="17">
        <f t="shared" si="88"/>
        <v>2500</v>
      </c>
      <c r="K406" s="14">
        <f>+K405</f>
        <v>1000000</v>
      </c>
      <c r="L406" s="14">
        <v>500000000</v>
      </c>
      <c r="M406" s="18">
        <f t="shared" si="83"/>
        <v>3.0744635061181823E-2</v>
      </c>
      <c r="N406" s="19">
        <f t="shared" si="84"/>
        <v>7.2463768115942032E-2</v>
      </c>
    </row>
    <row r="407" spans="2:14" x14ac:dyDescent="0.25">
      <c r="B407" s="12" t="s">
        <v>45</v>
      </c>
      <c r="C407" s="13">
        <v>151</v>
      </c>
      <c r="D407" s="13">
        <v>155</v>
      </c>
      <c r="E407" s="14">
        <f t="shared" ref="E407:E408" si="89">+F406+1</f>
        <v>15001</v>
      </c>
      <c r="F407" s="14">
        <f t="shared" si="72"/>
        <v>15500</v>
      </c>
      <c r="G407" s="15">
        <f>+F407-E407+1</f>
        <v>500</v>
      </c>
      <c r="H407" s="16" t="s">
        <v>76</v>
      </c>
      <c r="I407" s="17">
        <v>5</v>
      </c>
      <c r="J407" s="17">
        <f t="shared" si="88"/>
        <v>2500</v>
      </c>
      <c r="K407" s="14">
        <f>+K406</f>
        <v>1000000</v>
      </c>
      <c r="L407" s="14">
        <v>500000000</v>
      </c>
      <c r="M407" s="18">
        <f t="shared" si="83"/>
        <v>3.0744635061181823E-2</v>
      </c>
      <c r="N407" s="19">
        <f t="shared" si="84"/>
        <v>7.2463768115942032E-2</v>
      </c>
    </row>
    <row r="408" spans="2:14" x14ac:dyDescent="0.25">
      <c r="B408" s="12" t="s">
        <v>494</v>
      </c>
      <c r="C408" s="13">
        <v>156</v>
      </c>
      <c r="D408" s="13">
        <v>160</v>
      </c>
      <c r="E408" s="14">
        <f t="shared" si="89"/>
        <v>15501</v>
      </c>
      <c r="F408" s="14">
        <f t="shared" si="72"/>
        <v>16000</v>
      </c>
      <c r="G408" s="15">
        <f>+F408-E408+1</f>
        <v>500</v>
      </c>
      <c r="H408" s="16" t="s">
        <v>76</v>
      </c>
      <c r="I408" s="17">
        <v>5</v>
      </c>
      <c r="J408" s="17">
        <f t="shared" si="88"/>
        <v>2500</v>
      </c>
      <c r="K408" s="14">
        <f>+K407</f>
        <v>1000000</v>
      </c>
      <c r="L408" s="14">
        <v>500000000</v>
      </c>
      <c r="M408" s="18">
        <f t="shared" si="83"/>
        <v>3.0744635061181823E-2</v>
      </c>
      <c r="N408" s="19">
        <f t="shared" si="84"/>
        <v>7.2463768115942032E-2</v>
      </c>
    </row>
    <row r="409" spans="2:14" x14ac:dyDescent="0.25">
      <c r="B409" s="12" t="s">
        <v>504</v>
      </c>
      <c r="C409" s="13">
        <v>161</v>
      </c>
      <c r="D409" s="13">
        <v>161</v>
      </c>
      <c r="E409" s="14">
        <v>16001</v>
      </c>
      <c r="F409" s="14">
        <f t="shared" si="72"/>
        <v>16063</v>
      </c>
      <c r="G409" s="15">
        <f t="shared" ref="G409:G429" si="90">+F409-E409+1</f>
        <v>63</v>
      </c>
      <c r="H409" s="16" t="s">
        <v>77</v>
      </c>
      <c r="I409" s="17">
        <v>1</v>
      </c>
      <c r="J409" s="17">
        <f t="shared" si="88"/>
        <v>63</v>
      </c>
      <c r="K409" s="14">
        <f t="shared" ref="K409:K429" si="91">+K408</f>
        <v>1000000</v>
      </c>
      <c r="L409" s="14">
        <v>63000000</v>
      </c>
      <c r="M409" s="18">
        <f t="shared" si="83"/>
        <v>3.87382401770891E-3</v>
      </c>
      <c r="N409" s="19">
        <f t="shared" si="84"/>
        <v>1.8260869565217392E-3</v>
      </c>
    </row>
    <row r="410" spans="2:14" x14ac:dyDescent="0.25">
      <c r="B410" s="12" t="s">
        <v>506</v>
      </c>
      <c r="C410" s="13">
        <v>161</v>
      </c>
      <c r="D410" s="13">
        <v>161</v>
      </c>
      <c r="E410" s="14">
        <f>+F409+1</f>
        <v>16064</v>
      </c>
      <c r="F410" s="14">
        <f t="shared" si="72"/>
        <v>16066</v>
      </c>
      <c r="G410" s="15">
        <f t="shared" si="90"/>
        <v>3</v>
      </c>
      <c r="H410" s="16" t="s">
        <v>77</v>
      </c>
      <c r="I410" s="17">
        <v>1</v>
      </c>
      <c r="J410" s="17">
        <f t="shared" si="88"/>
        <v>3</v>
      </c>
      <c r="K410" s="14">
        <f t="shared" si="91"/>
        <v>1000000</v>
      </c>
      <c r="L410" s="14">
        <v>3000000</v>
      </c>
      <c r="M410" s="18">
        <f t="shared" si="83"/>
        <v>1.8446781036709093E-4</v>
      </c>
      <c r="N410" s="19">
        <f t="shared" si="84"/>
        <v>8.6956521739130441E-5</v>
      </c>
    </row>
    <row r="411" spans="2:14" x14ac:dyDescent="0.25">
      <c r="B411" s="12" t="s">
        <v>45</v>
      </c>
      <c r="C411" s="13">
        <v>161</v>
      </c>
      <c r="D411" s="13">
        <v>162</v>
      </c>
      <c r="E411" s="14">
        <f t="shared" ref="E411:E429" si="92">+F410+1</f>
        <v>16067</v>
      </c>
      <c r="F411" s="14">
        <f t="shared" si="72"/>
        <v>16115</v>
      </c>
      <c r="G411" s="15">
        <f t="shared" si="90"/>
        <v>49</v>
      </c>
      <c r="H411" s="16" t="s">
        <v>77</v>
      </c>
      <c r="I411" s="17">
        <v>1</v>
      </c>
      <c r="J411" s="17">
        <f t="shared" si="88"/>
        <v>49</v>
      </c>
      <c r="K411" s="14">
        <f t="shared" si="91"/>
        <v>1000000</v>
      </c>
      <c r="L411" s="14">
        <v>49000000</v>
      </c>
      <c r="M411" s="18">
        <f t="shared" si="83"/>
        <v>3.0129742359958187E-3</v>
      </c>
      <c r="N411" s="19">
        <f t="shared" si="84"/>
        <v>1.4202898550724637E-3</v>
      </c>
    </row>
    <row r="412" spans="2:14" x14ac:dyDescent="0.25">
      <c r="B412" s="12" t="s">
        <v>43</v>
      </c>
      <c r="C412" s="13">
        <v>162</v>
      </c>
      <c r="D412" s="13">
        <v>162</v>
      </c>
      <c r="E412" s="14">
        <f t="shared" si="92"/>
        <v>16116</v>
      </c>
      <c r="F412" s="14">
        <f t="shared" si="72"/>
        <v>16164</v>
      </c>
      <c r="G412" s="15">
        <f t="shared" si="90"/>
        <v>49</v>
      </c>
      <c r="H412" s="16" t="s">
        <v>77</v>
      </c>
      <c r="I412" s="17">
        <v>1</v>
      </c>
      <c r="J412" s="17">
        <f t="shared" si="88"/>
        <v>49</v>
      </c>
      <c r="K412" s="14">
        <f t="shared" si="91"/>
        <v>1000000</v>
      </c>
      <c r="L412" s="14">
        <v>49000000</v>
      </c>
      <c r="M412" s="18">
        <f t="shared" si="83"/>
        <v>3.0129742359958187E-3</v>
      </c>
      <c r="N412" s="19">
        <f t="shared" si="84"/>
        <v>1.4202898550724637E-3</v>
      </c>
    </row>
    <row r="413" spans="2:14" x14ac:dyDescent="0.25">
      <c r="B413" s="12" t="s">
        <v>499</v>
      </c>
      <c r="C413" s="13">
        <v>162</v>
      </c>
      <c r="D413" s="13">
        <v>162</v>
      </c>
      <c r="E413" s="14">
        <f t="shared" si="92"/>
        <v>16165</v>
      </c>
      <c r="F413" s="14">
        <f t="shared" si="72"/>
        <v>16187</v>
      </c>
      <c r="G413" s="15">
        <f t="shared" si="90"/>
        <v>23</v>
      </c>
      <c r="H413" s="16" t="s">
        <v>77</v>
      </c>
      <c r="I413" s="17">
        <v>1</v>
      </c>
      <c r="J413" s="17">
        <f t="shared" si="88"/>
        <v>23</v>
      </c>
      <c r="K413" s="14">
        <f t="shared" si="91"/>
        <v>1000000</v>
      </c>
      <c r="L413" s="14">
        <v>23000000</v>
      </c>
      <c r="M413" s="18">
        <f t="shared" si="83"/>
        <v>1.4142532128143639E-3</v>
      </c>
      <c r="N413" s="19">
        <f t="shared" si="84"/>
        <v>6.6666666666666664E-4</v>
      </c>
    </row>
    <row r="414" spans="2:14" x14ac:dyDescent="0.25">
      <c r="B414" s="12" t="s">
        <v>510</v>
      </c>
      <c r="C414" s="13">
        <v>162</v>
      </c>
      <c r="D414" s="13">
        <v>162</v>
      </c>
      <c r="E414" s="14">
        <f t="shared" si="92"/>
        <v>16188</v>
      </c>
      <c r="F414" s="14">
        <f t="shared" si="72"/>
        <v>16193</v>
      </c>
      <c r="G414" s="15">
        <f t="shared" si="90"/>
        <v>6</v>
      </c>
      <c r="H414" s="16" t="s">
        <v>77</v>
      </c>
      <c r="I414" s="17">
        <v>1</v>
      </c>
      <c r="J414" s="17">
        <f t="shared" si="88"/>
        <v>6</v>
      </c>
      <c r="K414" s="14">
        <f t="shared" si="91"/>
        <v>1000000</v>
      </c>
      <c r="L414" s="14">
        <v>6000000</v>
      </c>
      <c r="M414" s="18">
        <f t="shared" si="83"/>
        <v>3.6893562073418186E-4</v>
      </c>
      <c r="N414" s="19">
        <f t="shared" si="84"/>
        <v>1.7391304347826088E-4</v>
      </c>
    </row>
    <row r="415" spans="2:14" x14ac:dyDescent="0.25">
      <c r="B415" s="12" t="s">
        <v>502</v>
      </c>
      <c r="C415" s="13">
        <v>162</v>
      </c>
      <c r="D415" s="13">
        <v>163</v>
      </c>
      <c r="E415" s="14">
        <f t="shared" si="92"/>
        <v>16194</v>
      </c>
      <c r="F415" s="14">
        <f t="shared" si="72"/>
        <v>16207</v>
      </c>
      <c r="G415" s="15">
        <f t="shared" si="90"/>
        <v>14</v>
      </c>
      <c r="H415" s="16" t="s">
        <v>77</v>
      </c>
      <c r="I415" s="17">
        <v>1</v>
      </c>
      <c r="J415" s="17">
        <f t="shared" si="88"/>
        <v>14</v>
      </c>
      <c r="K415" s="14">
        <f t="shared" si="91"/>
        <v>1000000</v>
      </c>
      <c r="L415" s="14">
        <v>14000000</v>
      </c>
      <c r="M415" s="18">
        <f t="shared" si="83"/>
        <v>8.6084978171309108E-4</v>
      </c>
      <c r="N415" s="19">
        <f t="shared" si="84"/>
        <v>4.0579710144927536E-4</v>
      </c>
    </row>
    <row r="416" spans="2:14" x14ac:dyDescent="0.25">
      <c r="B416" s="12" t="s">
        <v>47</v>
      </c>
      <c r="C416" s="13">
        <v>163</v>
      </c>
      <c r="D416" s="13">
        <v>163</v>
      </c>
      <c r="E416" s="14">
        <f t="shared" si="92"/>
        <v>16208</v>
      </c>
      <c r="F416" s="14">
        <f t="shared" si="72"/>
        <v>16256</v>
      </c>
      <c r="G416" s="15">
        <f t="shared" si="90"/>
        <v>49</v>
      </c>
      <c r="H416" s="16" t="s">
        <v>77</v>
      </c>
      <c r="I416" s="17">
        <v>1</v>
      </c>
      <c r="J416" s="17">
        <f t="shared" si="88"/>
        <v>49</v>
      </c>
      <c r="K416" s="14">
        <f t="shared" si="91"/>
        <v>1000000</v>
      </c>
      <c r="L416" s="14">
        <v>49000000</v>
      </c>
      <c r="M416" s="18">
        <f t="shared" ref="M416" si="93">+L416/$L$433</f>
        <v>3.0129742359958187E-3</v>
      </c>
      <c r="N416" s="19">
        <f t="shared" si="84"/>
        <v>1.4202898550724637E-3</v>
      </c>
    </row>
    <row r="417" spans="2:14" x14ac:dyDescent="0.25">
      <c r="B417" s="12" t="s">
        <v>500</v>
      </c>
      <c r="C417" s="13">
        <v>163</v>
      </c>
      <c r="D417" s="13">
        <v>163</v>
      </c>
      <c r="E417" s="14">
        <f t="shared" si="92"/>
        <v>16257</v>
      </c>
      <c r="F417" s="14">
        <f t="shared" ref="F417:F429" si="94">+((E417)+(L417/K417))-1</f>
        <v>16271</v>
      </c>
      <c r="G417" s="15">
        <f t="shared" si="90"/>
        <v>15</v>
      </c>
      <c r="H417" s="16" t="s">
        <v>77</v>
      </c>
      <c r="I417" s="17">
        <v>1</v>
      </c>
      <c r="J417" s="17">
        <f t="shared" si="88"/>
        <v>15</v>
      </c>
      <c r="K417" s="14">
        <f t="shared" si="91"/>
        <v>1000000</v>
      </c>
      <c r="L417" s="14">
        <v>15000000</v>
      </c>
      <c r="M417" s="18">
        <f t="shared" ref="M417:M429" si="95">+L417/$L$433</f>
        <v>9.2233905183545476E-4</v>
      </c>
      <c r="N417" s="19">
        <f t="shared" ref="N417:N429" si="96">+J417/$J$433</f>
        <v>4.3478260869565219E-4</v>
      </c>
    </row>
    <row r="418" spans="2:14" x14ac:dyDescent="0.25">
      <c r="B418" s="12" t="s">
        <v>495</v>
      </c>
      <c r="C418" s="13">
        <v>163</v>
      </c>
      <c r="D418" s="13">
        <v>163</v>
      </c>
      <c r="E418" s="14">
        <f t="shared" si="92"/>
        <v>16272</v>
      </c>
      <c r="F418" s="14">
        <f t="shared" si="94"/>
        <v>16287</v>
      </c>
      <c r="G418" s="15">
        <f t="shared" si="90"/>
        <v>16</v>
      </c>
      <c r="H418" s="16" t="s">
        <v>77</v>
      </c>
      <c r="I418" s="17">
        <v>1</v>
      </c>
      <c r="J418" s="17">
        <f t="shared" si="88"/>
        <v>16</v>
      </c>
      <c r="K418" s="14">
        <f t="shared" si="91"/>
        <v>1000000</v>
      </c>
      <c r="L418" s="14">
        <v>16000000</v>
      </c>
      <c r="M418" s="18">
        <f t="shared" si="95"/>
        <v>9.8382832195781844E-4</v>
      </c>
      <c r="N418" s="19">
        <f t="shared" si="96"/>
        <v>4.6376811594202896E-4</v>
      </c>
    </row>
    <row r="419" spans="2:14" x14ac:dyDescent="0.25">
      <c r="B419" s="12" t="s">
        <v>498</v>
      </c>
      <c r="C419" s="13">
        <v>163</v>
      </c>
      <c r="D419" s="13">
        <v>164</v>
      </c>
      <c r="E419" s="14">
        <f t="shared" si="92"/>
        <v>16288</v>
      </c>
      <c r="F419" s="14">
        <f t="shared" si="94"/>
        <v>16301</v>
      </c>
      <c r="G419" s="15">
        <f t="shared" si="90"/>
        <v>14</v>
      </c>
      <c r="H419" s="16" t="s">
        <v>77</v>
      </c>
      <c r="I419" s="17">
        <v>1</v>
      </c>
      <c r="J419" s="17">
        <f t="shared" si="88"/>
        <v>14</v>
      </c>
      <c r="K419" s="14">
        <f t="shared" si="91"/>
        <v>1000000</v>
      </c>
      <c r="L419" s="14">
        <v>14000000</v>
      </c>
      <c r="M419" s="18">
        <f t="shared" si="95"/>
        <v>8.6084978171309108E-4</v>
      </c>
      <c r="N419" s="19">
        <f t="shared" si="96"/>
        <v>4.0579710144927536E-4</v>
      </c>
    </row>
    <row r="420" spans="2:14" x14ac:dyDescent="0.25">
      <c r="B420" s="12" t="s">
        <v>505</v>
      </c>
      <c r="C420" s="13">
        <v>164</v>
      </c>
      <c r="D420" s="13">
        <v>164</v>
      </c>
      <c r="E420" s="14">
        <f t="shared" si="92"/>
        <v>16302</v>
      </c>
      <c r="F420" s="14">
        <f t="shared" si="94"/>
        <v>16323</v>
      </c>
      <c r="G420" s="15">
        <f t="shared" si="90"/>
        <v>22</v>
      </c>
      <c r="H420" s="16" t="s">
        <v>77</v>
      </c>
      <c r="I420" s="17">
        <v>1</v>
      </c>
      <c r="J420" s="17">
        <f t="shared" si="88"/>
        <v>22</v>
      </c>
      <c r="K420" s="14">
        <f t="shared" si="91"/>
        <v>1000000</v>
      </c>
      <c r="L420" s="14">
        <v>22000000</v>
      </c>
      <c r="M420" s="18">
        <f t="shared" si="95"/>
        <v>1.3527639426920003E-3</v>
      </c>
      <c r="N420" s="19">
        <f t="shared" si="96"/>
        <v>6.3768115942028987E-4</v>
      </c>
    </row>
    <row r="421" spans="2:14" x14ac:dyDescent="0.25">
      <c r="B421" s="12" t="s">
        <v>494</v>
      </c>
      <c r="C421" s="13">
        <v>164</v>
      </c>
      <c r="D421" s="13">
        <v>164</v>
      </c>
      <c r="E421" s="14">
        <f t="shared" si="92"/>
        <v>16324</v>
      </c>
      <c r="F421" s="14">
        <f t="shared" si="94"/>
        <v>16372</v>
      </c>
      <c r="G421" s="15">
        <f t="shared" si="90"/>
        <v>49</v>
      </c>
      <c r="H421" s="16" t="s">
        <v>77</v>
      </c>
      <c r="I421" s="17">
        <v>1</v>
      </c>
      <c r="J421" s="17">
        <f t="shared" si="88"/>
        <v>49</v>
      </c>
      <c r="K421" s="14">
        <f t="shared" si="91"/>
        <v>1000000</v>
      </c>
      <c r="L421" s="14">
        <v>49000000</v>
      </c>
      <c r="M421" s="18">
        <f t="shared" si="95"/>
        <v>3.0129742359958187E-3</v>
      </c>
      <c r="N421" s="19">
        <f t="shared" si="96"/>
        <v>1.4202898550724637E-3</v>
      </c>
    </row>
    <row r="422" spans="2:14" x14ac:dyDescent="0.25">
      <c r="B422" s="12" t="s">
        <v>496</v>
      </c>
      <c r="C422" s="13">
        <v>164</v>
      </c>
      <c r="D422" s="13">
        <v>164</v>
      </c>
      <c r="E422" s="14">
        <f t="shared" si="92"/>
        <v>16373</v>
      </c>
      <c r="F422" s="14">
        <f t="shared" si="94"/>
        <v>16382</v>
      </c>
      <c r="G422" s="15">
        <f t="shared" si="90"/>
        <v>10</v>
      </c>
      <c r="H422" s="16" t="s">
        <v>77</v>
      </c>
      <c r="I422" s="17">
        <v>1</v>
      </c>
      <c r="J422" s="17">
        <f t="shared" si="88"/>
        <v>10</v>
      </c>
      <c r="K422" s="14">
        <f t="shared" si="91"/>
        <v>1000000</v>
      </c>
      <c r="L422" s="14">
        <v>10000000</v>
      </c>
      <c r="M422" s="18">
        <f t="shared" si="95"/>
        <v>6.1489270122363647E-4</v>
      </c>
      <c r="N422" s="19">
        <f t="shared" si="96"/>
        <v>2.8985507246376811E-4</v>
      </c>
    </row>
    <row r="423" spans="2:14" x14ac:dyDescent="0.25">
      <c r="B423" s="12" t="s">
        <v>497</v>
      </c>
      <c r="C423" s="13">
        <v>164</v>
      </c>
      <c r="D423" s="13">
        <v>165</v>
      </c>
      <c r="E423" s="14">
        <f t="shared" si="92"/>
        <v>16383</v>
      </c>
      <c r="F423" s="14">
        <f t="shared" si="94"/>
        <v>16406</v>
      </c>
      <c r="G423" s="15">
        <f t="shared" si="90"/>
        <v>24</v>
      </c>
      <c r="H423" s="16" t="s">
        <v>77</v>
      </c>
      <c r="I423" s="17">
        <v>1</v>
      </c>
      <c r="J423" s="17">
        <f t="shared" si="88"/>
        <v>24</v>
      </c>
      <c r="K423" s="14">
        <f t="shared" si="91"/>
        <v>1000000</v>
      </c>
      <c r="L423" s="14">
        <v>24000000</v>
      </c>
      <c r="M423" s="18">
        <f t="shared" si="95"/>
        <v>1.4757424829367274E-3</v>
      </c>
      <c r="N423" s="19">
        <f t="shared" si="96"/>
        <v>6.9565217391304353E-4</v>
      </c>
    </row>
    <row r="424" spans="2:14" x14ac:dyDescent="0.25">
      <c r="B424" s="12" t="s">
        <v>507</v>
      </c>
      <c r="C424" s="13">
        <v>165</v>
      </c>
      <c r="D424" s="13">
        <v>165</v>
      </c>
      <c r="E424" s="14">
        <f t="shared" si="92"/>
        <v>16407</v>
      </c>
      <c r="F424" s="14">
        <f t="shared" si="94"/>
        <v>16410</v>
      </c>
      <c r="G424" s="15">
        <f t="shared" si="90"/>
        <v>4</v>
      </c>
      <c r="H424" s="16" t="s">
        <v>77</v>
      </c>
      <c r="I424" s="17">
        <v>1</v>
      </c>
      <c r="J424" s="17">
        <f t="shared" si="88"/>
        <v>4</v>
      </c>
      <c r="K424" s="14">
        <f t="shared" si="91"/>
        <v>1000000</v>
      </c>
      <c r="L424" s="14">
        <v>4000000</v>
      </c>
      <c r="M424" s="18">
        <f t="shared" si="95"/>
        <v>2.4595708048945461E-4</v>
      </c>
      <c r="N424" s="19">
        <f t="shared" si="96"/>
        <v>1.1594202898550724E-4</v>
      </c>
    </row>
    <row r="425" spans="2:14" x14ac:dyDescent="0.25">
      <c r="B425" s="12" t="s">
        <v>353</v>
      </c>
      <c r="C425" s="13">
        <v>165</v>
      </c>
      <c r="D425" s="13">
        <v>165</v>
      </c>
      <c r="E425" s="14">
        <f t="shared" si="92"/>
        <v>16411</v>
      </c>
      <c r="F425" s="14">
        <f t="shared" si="94"/>
        <v>16411</v>
      </c>
      <c r="G425" s="15">
        <f t="shared" si="90"/>
        <v>1</v>
      </c>
      <c r="H425" s="16" t="s">
        <v>77</v>
      </c>
      <c r="I425" s="17">
        <v>1</v>
      </c>
      <c r="J425" s="17">
        <f t="shared" si="88"/>
        <v>1</v>
      </c>
      <c r="K425" s="14">
        <f t="shared" si="91"/>
        <v>1000000</v>
      </c>
      <c r="L425" s="14">
        <v>1000000</v>
      </c>
      <c r="M425" s="18">
        <f t="shared" si="95"/>
        <v>6.1489270122363652E-5</v>
      </c>
      <c r="N425" s="19">
        <f t="shared" si="96"/>
        <v>2.898550724637681E-5</v>
      </c>
    </row>
    <row r="426" spans="2:14" x14ac:dyDescent="0.25">
      <c r="B426" s="12" t="s">
        <v>503</v>
      </c>
      <c r="C426" s="13">
        <v>165</v>
      </c>
      <c r="D426" s="13">
        <v>165</v>
      </c>
      <c r="E426" s="14">
        <f t="shared" si="92"/>
        <v>16412</v>
      </c>
      <c r="F426" s="14">
        <f t="shared" si="94"/>
        <v>16447</v>
      </c>
      <c r="G426" s="15">
        <f t="shared" si="90"/>
        <v>36</v>
      </c>
      <c r="H426" s="16" t="s">
        <v>77</v>
      </c>
      <c r="I426" s="17">
        <v>1</v>
      </c>
      <c r="J426" s="17">
        <f t="shared" si="88"/>
        <v>36</v>
      </c>
      <c r="K426" s="14">
        <f t="shared" si="91"/>
        <v>1000000</v>
      </c>
      <c r="L426" s="14">
        <v>36000000</v>
      </c>
      <c r="M426" s="18">
        <f t="shared" si="95"/>
        <v>2.2136137244050912E-3</v>
      </c>
      <c r="N426" s="19">
        <f t="shared" si="96"/>
        <v>1.0434782608695651E-3</v>
      </c>
    </row>
    <row r="427" spans="2:14" x14ac:dyDescent="0.25">
      <c r="B427" s="12" t="s">
        <v>509</v>
      </c>
      <c r="C427" s="13">
        <v>165</v>
      </c>
      <c r="D427" s="13">
        <v>165</v>
      </c>
      <c r="E427" s="14">
        <f t="shared" si="92"/>
        <v>16448</v>
      </c>
      <c r="F427" s="14">
        <f t="shared" si="94"/>
        <v>16449</v>
      </c>
      <c r="G427" s="15">
        <f t="shared" si="90"/>
        <v>2</v>
      </c>
      <c r="H427" s="16" t="s">
        <v>77</v>
      </c>
      <c r="I427" s="17">
        <v>1</v>
      </c>
      <c r="J427" s="17">
        <f t="shared" si="88"/>
        <v>2</v>
      </c>
      <c r="K427" s="14">
        <f t="shared" si="91"/>
        <v>1000000</v>
      </c>
      <c r="L427" s="14">
        <v>2000000</v>
      </c>
      <c r="M427" s="18">
        <f t="shared" si="95"/>
        <v>1.229785402447273E-4</v>
      </c>
      <c r="N427" s="19">
        <f t="shared" si="96"/>
        <v>5.797101449275362E-5</v>
      </c>
    </row>
    <row r="428" spans="2:14" x14ac:dyDescent="0.25">
      <c r="B428" s="12" t="s">
        <v>501</v>
      </c>
      <c r="C428" s="13">
        <v>165</v>
      </c>
      <c r="D428" s="13">
        <v>165</v>
      </c>
      <c r="E428" s="14">
        <f t="shared" si="92"/>
        <v>16450</v>
      </c>
      <c r="F428" s="14">
        <f t="shared" si="94"/>
        <v>16484</v>
      </c>
      <c r="G428" s="15">
        <f t="shared" si="90"/>
        <v>35</v>
      </c>
      <c r="H428" s="16" t="s">
        <v>77</v>
      </c>
      <c r="I428" s="17">
        <v>1</v>
      </c>
      <c r="J428" s="17">
        <f t="shared" si="88"/>
        <v>35</v>
      </c>
      <c r="K428" s="14">
        <f t="shared" si="91"/>
        <v>1000000</v>
      </c>
      <c r="L428" s="14">
        <v>35000000</v>
      </c>
      <c r="M428" s="18">
        <f t="shared" si="95"/>
        <v>2.1521244542827278E-3</v>
      </c>
      <c r="N428" s="19">
        <f t="shared" si="96"/>
        <v>1.0144927536231885E-3</v>
      </c>
    </row>
    <row r="429" spans="2:14" x14ac:dyDescent="0.25">
      <c r="B429" s="12" t="s">
        <v>508</v>
      </c>
      <c r="C429" s="13">
        <v>165</v>
      </c>
      <c r="D429" s="13">
        <v>165</v>
      </c>
      <c r="E429" s="14">
        <f t="shared" si="92"/>
        <v>16485</v>
      </c>
      <c r="F429" s="14">
        <f t="shared" si="94"/>
        <v>16489</v>
      </c>
      <c r="G429" s="15">
        <f t="shared" si="90"/>
        <v>5</v>
      </c>
      <c r="H429" s="16" t="s">
        <v>77</v>
      </c>
      <c r="I429" s="17">
        <v>1</v>
      </c>
      <c r="J429" s="17">
        <f t="shared" si="88"/>
        <v>5</v>
      </c>
      <c r="K429" s="14">
        <f t="shared" si="91"/>
        <v>1000000</v>
      </c>
      <c r="L429" s="14">
        <v>5000000</v>
      </c>
      <c r="M429" s="18">
        <f t="shared" si="95"/>
        <v>3.0744635061181823E-4</v>
      </c>
      <c r="N429" s="19">
        <f t="shared" si="96"/>
        <v>1.4492753623188405E-4</v>
      </c>
    </row>
    <row r="430" spans="2:14" x14ac:dyDescent="0.25">
      <c r="B430" s="12" t="s">
        <v>53</v>
      </c>
      <c r="C430" s="13">
        <v>165</v>
      </c>
      <c r="D430" s="13">
        <v>165</v>
      </c>
      <c r="E430" s="14">
        <f t="shared" ref="E430" si="97">+F429+1</f>
        <v>16490</v>
      </c>
      <c r="F430" s="14">
        <f t="shared" ref="F430" si="98">+((E430)+(L430/K430))-1</f>
        <v>16490</v>
      </c>
      <c r="G430" s="15">
        <f t="shared" ref="G430" si="99">+F430-E430+1</f>
        <v>1</v>
      </c>
      <c r="H430" s="16" t="s">
        <v>77</v>
      </c>
      <c r="I430" s="17">
        <v>1</v>
      </c>
      <c r="J430" s="17">
        <f t="shared" ref="J430" si="100">+I430*G430</f>
        <v>1</v>
      </c>
      <c r="K430" s="14">
        <v>1000000</v>
      </c>
      <c r="L430" s="14">
        <v>1000000</v>
      </c>
      <c r="M430" s="18">
        <f t="shared" ref="M430" si="101">+L430/$L$433</f>
        <v>6.1489270122363652E-5</v>
      </c>
      <c r="N430" s="19">
        <f t="shared" ref="N430" si="102">+J430/$J$433</f>
        <v>2.898550724637681E-5</v>
      </c>
    </row>
    <row r="431" spans="2:14" x14ac:dyDescent="0.25">
      <c r="B431" s="12" t="s">
        <v>510</v>
      </c>
      <c r="C431" s="13">
        <v>165</v>
      </c>
      <c r="D431" s="13">
        <v>166</v>
      </c>
      <c r="E431" s="14">
        <f t="shared" ref="E431" si="103">+F430+1</f>
        <v>16491</v>
      </c>
      <c r="F431" s="14">
        <f t="shared" ref="F431" si="104">+((E431)+(L431/K431))-1</f>
        <v>16500</v>
      </c>
      <c r="G431" s="15">
        <f t="shared" ref="G431" si="105">+F431-E431+1</f>
        <v>10</v>
      </c>
      <c r="H431" s="16" t="s">
        <v>77</v>
      </c>
      <c r="I431" s="17">
        <v>1</v>
      </c>
      <c r="J431" s="17">
        <f t="shared" ref="J431" si="106">+I431*G431</f>
        <v>10</v>
      </c>
      <c r="K431" s="14">
        <v>1000000</v>
      </c>
      <c r="L431" s="14">
        <v>10000000</v>
      </c>
      <c r="M431" s="18">
        <f t="shared" ref="M431" si="107">+L431/$L$433</f>
        <v>6.1489270122363647E-4</v>
      </c>
      <c r="N431" s="19">
        <f t="shared" ref="N431" si="108">+J431/$J$433</f>
        <v>2.8985507246376811E-4</v>
      </c>
    </row>
    <row r="432" spans="2:14" ht="15.75" thickBot="1" x14ac:dyDescent="0.3">
      <c r="B432" s="22"/>
      <c r="C432" s="23"/>
      <c r="D432" s="23"/>
      <c r="E432" s="24"/>
      <c r="F432" s="24"/>
      <c r="G432" s="25"/>
      <c r="H432" s="26"/>
      <c r="I432" s="28"/>
      <c r="J432" s="28"/>
      <c r="K432" s="24"/>
      <c r="L432" s="24"/>
      <c r="M432" s="29"/>
      <c r="N432" s="30"/>
    </row>
    <row r="433" spans="2:14" ht="15.75" thickBot="1" x14ac:dyDescent="0.3">
      <c r="B433" s="455" t="s">
        <v>81</v>
      </c>
      <c r="C433" s="456"/>
      <c r="D433" s="456"/>
      <c r="E433" s="456"/>
      <c r="F433" s="457"/>
      <c r="G433" s="40">
        <f>SUM(G224:G432)</f>
        <v>16263</v>
      </c>
      <c r="H433" s="32"/>
      <c r="I433" s="32"/>
      <c r="J433" s="40">
        <f>SUM(J224:J432)</f>
        <v>34500</v>
      </c>
      <c r="K433" s="32"/>
      <c r="L433" s="40">
        <f>SUM(L224:L432)</f>
        <v>16263000000</v>
      </c>
      <c r="M433" s="33">
        <f>SUM(M224:M432)</f>
        <v>0.99999999999999967</v>
      </c>
      <c r="N433" s="33">
        <f>SUM(N224:N432)</f>
        <v>1.0000000000000004</v>
      </c>
    </row>
  </sheetData>
  <mergeCells count="29">
    <mergeCell ref="B2:N2"/>
    <mergeCell ref="B433:F433"/>
    <mergeCell ref="M7:M8"/>
    <mergeCell ref="N7:N8"/>
    <mergeCell ref="B218:F218"/>
    <mergeCell ref="B221:N221"/>
    <mergeCell ref="B222:B223"/>
    <mergeCell ref="C222:D222"/>
    <mergeCell ref="E222:F222"/>
    <mergeCell ref="G222:G223"/>
    <mergeCell ref="H222:H223"/>
    <mergeCell ref="I222:I223"/>
    <mergeCell ref="B7:B8"/>
    <mergeCell ref="C7:D7"/>
    <mergeCell ref="E7:F7"/>
    <mergeCell ref="G7:G8"/>
    <mergeCell ref="B3:N3"/>
    <mergeCell ref="B4:N4"/>
    <mergeCell ref="J222:J223"/>
    <mergeCell ref="K222:K223"/>
    <mergeCell ref="L222:L223"/>
    <mergeCell ref="M222:M223"/>
    <mergeCell ref="N222:N223"/>
    <mergeCell ref="B6:N6"/>
    <mergeCell ref="I7:I8"/>
    <mergeCell ref="J7:J8"/>
    <mergeCell ref="K7:K8"/>
    <mergeCell ref="L7:L8"/>
    <mergeCell ref="H7:H8"/>
  </mergeCells>
  <hyperlinks>
    <hyperlink ref="A1" location="ÍNDICE!A1" display="Indice" xr:uid="{0AE18FD8-87CE-4959-9BBD-193BDB70F061}"/>
  </hyperlinks>
  <pageMargins left="0.25" right="0.25"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D7C2-84D8-443D-ADED-6DC70F9496E7}">
  <sheetPr>
    <pageSetUpPr fitToPage="1"/>
  </sheetPr>
  <dimension ref="B2:C17"/>
  <sheetViews>
    <sheetView showGridLines="0" zoomScaleNormal="100" workbookViewId="0">
      <selection activeCell="B15" sqref="B15"/>
    </sheetView>
  </sheetViews>
  <sheetFormatPr baseColWidth="10" defaultColWidth="11.42578125" defaultRowHeight="15" x14ac:dyDescent="0.25"/>
  <cols>
    <col min="1" max="1" width="2.85546875" style="1" customWidth="1"/>
    <col min="2" max="2" width="68.85546875" style="1" customWidth="1"/>
    <col min="3" max="3" width="11.42578125" style="1"/>
    <col min="4" max="4" width="2.85546875" style="1" customWidth="1"/>
    <col min="5" max="16384" width="11.42578125" style="1"/>
  </cols>
  <sheetData>
    <row r="2" spans="2:3" x14ac:dyDescent="0.25">
      <c r="B2" s="361" t="s">
        <v>0</v>
      </c>
      <c r="C2" s="361"/>
    </row>
    <row r="3" spans="2:3" x14ac:dyDescent="0.25">
      <c r="B3" s="235"/>
    </row>
    <row r="4" spans="2:3" x14ac:dyDescent="0.25">
      <c r="B4" s="2" t="s">
        <v>1</v>
      </c>
      <c r="C4" s="258" t="s">
        <v>2</v>
      </c>
    </row>
    <row r="5" spans="2:3" x14ac:dyDescent="0.25">
      <c r="B5" s="2" t="s">
        <v>3</v>
      </c>
      <c r="C5" s="258" t="s">
        <v>4</v>
      </c>
    </row>
    <row r="6" spans="2:3" x14ac:dyDescent="0.25">
      <c r="B6" s="2" t="s">
        <v>5</v>
      </c>
      <c r="C6" s="258" t="s">
        <v>6</v>
      </c>
    </row>
    <row r="7" spans="2:3" x14ac:dyDescent="0.25">
      <c r="B7" s="2" t="s">
        <v>7</v>
      </c>
      <c r="C7" s="258" t="s">
        <v>8</v>
      </c>
    </row>
    <row r="8" spans="2:3" x14ac:dyDescent="0.25">
      <c r="B8" s="2" t="s">
        <v>9</v>
      </c>
      <c r="C8" s="258" t="s">
        <v>10</v>
      </c>
    </row>
    <row r="9" spans="2:3" x14ac:dyDescent="0.25">
      <c r="B9" s="259" t="s">
        <v>532</v>
      </c>
      <c r="C9" s="258" t="s">
        <v>11</v>
      </c>
    </row>
    <row r="10" spans="2:3" x14ac:dyDescent="0.25">
      <c r="B10" s="259" t="s">
        <v>529</v>
      </c>
      <c r="C10" s="258" t="s">
        <v>12</v>
      </c>
    </row>
    <row r="11" spans="2:3" x14ac:dyDescent="0.25">
      <c r="B11" s="259" t="s">
        <v>13</v>
      </c>
      <c r="C11" s="258" t="s">
        <v>14</v>
      </c>
    </row>
    <row r="12" spans="2:3" x14ac:dyDescent="0.25">
      <c r="B12" s="259" t="s">
        <v>530</v>
      </c>
      <c r="C12" s="258" t="s">
        <v>15</v>
      </c>
    </row>
    <row r="13" spans="2:3" x14ac:dyDescent="0.25">
      <c r="B13" s="259" t="s">
        <v>531</v>
      </c>
      <c r="C13" s="258" t="s">
        <v>16</v>
      </c>
    </row>
    <row r="14" spans="2:3" x14ac:dyDescent="0.25">
      <c r="B14" s="2" t="s">
        <v>581</v>
      </c>
      <c r="C14" s="258" t="s">
        <v>17</v>
      </c>
    </row>
    <row r="15" spans="2:3" x14ac:dyDescent="0.25">
      <c r="B15" s="2" t="s">
        <v>584</v>
      </c>
      <c r="C15" s="258" t="s">
        <v>18</v>
      </c>
    </row>
    <row r="16" spans="2:3" x14ac:dyDescent="0.25">
      <c r="B16" s="2" t="s">
        <v>583</v>
      </c>
      <c r="C16" s="258" t="s">
        <v>19</v>
      </c>
    </row>
    <row r="17" spans="2:3" x14ac:dyDescent="0.25">
      <c r="B17" s="2" t="s">
        <v>582</v>
      </c>
      <c r="C17" s="258">
        <v>14</v>
      </c>
    </row>
  </sheetData>
  <mergeCells count="1">
    <mergeCell ref="B2:C2"/>
  </mergeCells>
  <hyperlinks>
    <hyperlink ref="B17" location="'14'!A1" display="Composición Accionaria" xr:uid="{DAFE6A9F-B45F-4525-B372-0BE1BD4DCFD7}"/>
    <hyperlink ref="B4" location="'01'!A1" display="INFORMACIÓN GENERAL DE LA ENTIDAD" xr:uid="{26B9E2BD-767D-4606-9BF1-F5E8F2CE311C}"/>
    <hyperlink ref="B5" location="'02'!A1" display="BALANCE GENERAL" xr:uid="{D3020F31-60B1-4DB6-BF4E-0B987120D268}"/>
    <hyperlink ref="B6" location="'03'!A1" display="ESTADO DE RESULTADO" xr:uid="{402EA977-F9FD-4263-ACC4-6696DE36DE1D}"/>
    <hyperlink ref="B7" location="'04'!A1" display="FLUJO DE CAJA" xr:uid="{D206098C-A661-474F-8C3E-3629BE7D8A99}"/>
    <hyperlink ref="B8" location="'05'!A1" display="EVOLUCIÓN DEL PATRIMONIO NETO" xr:uid="{5ADDA97C-DB5E-4AA3-BA18-DD17EE1CBEC0}"/>
    <hyperlink ref="B9" location="'06'!A1" display="NOTAS A LOS ESTADOS CONRABLES (NOTA 1 A NOTA 4)" xr:uid="{0D3166B4-A42C-4CF7-9E6F-817BD1FC07AF}"/>
    <hyperlink ref="B10" location="'07'!A1" display="NOTAS A LOS ESTADOS CONRABLES NOTA 5 (INCISO A A I)" xr:uid="{AAE48104-1575-4D8B-89F6-451AA6ADBC3A}"/>
    <hyperlink ref="B11" location="'08'!A1" display="NOTAS A LOS ESTADOS CONRABLES NOTA 5 (INCISO J)" xr:uid="{76B7F85D-6E98-4A40-AD2C-AC560975EB36}"/>
    <hyperlink ref="B12" location="'09'!A1" display="NOTAS A LOS ESTADOS CONRABLES NOTA 5 (INCISO K A W)" xr:uid="{89E94D3F-F68E-4EA0-93D9-43C3FC8B7CA0}"/>
    <hyperlink ref="B13" location="'10'!A1" display="NOTAS A LOS ESTADOS CONRABLES (NOTA 6 A NOTA 13)" xr:uid="{EE5E2D2D-A13E-4DBD-B60F-91AB3E0AEF75}"/>
    <hyperlink ref="B14" location="'11'!A1" display="ANEXO I: INFORMACIÓN SOBRE PERSONAS VINVULADAS O RELACIONADAS" xr:uid="{4EDDF28C-BDB1-4C68-B4C4-72045F2B20FA}"/>
    <hyperlink ref="B15" location="'12'!A1" display="CARTERA DE INVERSIONES" xr:uid="{28E56AC8-4DC2-406D-9B4E-4ADF11FCB415}"/>
    <hyperlink ref="B16" location="'13'!A1" display="BIENES DE USO" xr:uid="{E3CB6384-E84F-4249-8B26-E0C0040999A3}"/>
  </hyperlinks>
  <pageMargins left="0.25" right="0.25" top="0.75" bottom="0.75" header="0.3" footer="0.3"/>
  <pageSetup paperSize="9" orientation="portrait" r:id="rId1"/>
  <ignoredErrors>
    <ignoredError sqref="C4:C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A059F-0E00-4A15-9F03-7D9E0B7FE5D7}">
  <sheetPr>
    <pageSetUpPr fitToPage="1"/>
  </sheetPr>
  <dimension ref="B1:J95"/>
  <sheetViews>
    <sheetView showGridLines="0" topLeftCell="A81" zoomScaleNormal="100" workbookViewId="0">
      <selection activeCell="B31" sqref="B31:D31"/>
    </sheetView>
  </sheetViews>
  <sheetFormatPr baseColWidth="10" defaultColWidth="11.42578125" defaultRowHeight="15" x14ac:dyDescent="0.25"/>
  <cols>
    <col min="1" max="1" width="2.85546875" style="1" customWidth="1"/>
    <col min="2" max="2" width="6.140625" style="1" customWidth="1"/>
    <col min="3" max="3" width="23.140625" style="1" customWidth="1"/>
    <col min="4" max="8" width="22.5703125" style="1" customWidth="1"/>
    <col min="9" max="9" width="2.7109375" style="1" customWidth="1"/>
    <col min="10" max="16384" width="11.42578125" style="1"/>
  </cols>
  <sheetData>
    <row r="1" spans="2:10" x14ac:dyDescent="0.25">
      <c r="J1" s="2" t="s">
        <v>20</v>
      </c>
    </row>
    <row r="2" spans="2:10" x14ac:dyDescent="0.25">
      <c r="B2" s="362" t="s">
        <v>1</v>
      </c>
      <c r="C2" s="362"/>
      <c r="D2" s="362"/>
      <c r="E2" s="362"/>
      <c r="F2" s="362"/>
    </row>
    <row r="3" spans="2:10" x14ac:dyDescent="0.25">
      <c r="B3" s="363" t="s">
        <v>629</v>
      </c>
      <c r="C3" s="363"/>
      <c r="D3" s="363"/>
      <c r="E3" s="363"/>
      <c r="F3" s="363"/>
    </row>
    <row r="4" spans="2:10" x14ac:dyDescent="0.25">
      <c r="B4" s="364" t="s">
        <v>21</v>
      </c>
      <c r="C4" s="364"/>
      <c r="D4" s="364"/>
      <c r="E4" s="364"/>
      <c r="F4" s="364"/>
    </row>
    <row r="5" spans="2:10" x14ac:dyDescent="0.25">
      <c r="B5" s="169"/>
      <c r="C5" s="169"/>
      <c r="D5" s="169"/>
      <c r="E5" s="169"/>
      <c r="F5" s="169"/>
    </row>
    <row r="6" spans="2:10" x14ac:dyDescent="0.25">
      <c r="B6" s="36" t="s">
        <v>22</v>
      </c>
      <c r="E6" s="193" t="s">
        <v>550</v>
      </c>
      <c r="F6" s="193"/>
      <c r="G6" s="193"/>
      <c r="H6" s="193"/>
    </row>
    <row r="7" spans="2:10" x14ac:dyDescent="0.25">
      <c r="B7" s="36" t="s">
        <v>23</v>
      </c>
      <c r="C7" s="36"/>
      <c r="D7" s="36"/>
      <c r="E7" s="1" t="s">
        <v>24</v>
      </c>
    </row>
    <row r="8" spans="2:10" x14ac:dyDescent="0.25">
      <c r="B8" s="36" t="s">
        <v>25</v>
      </c>
      <c r="C8" s="36"/>
      <c r="D8" s="36"/>
      <c r="E8" s="1" t="s">
        <v>26</v>
      </c>
    </row>
    <row r="9" spans="2:10" x14ac:dyDescent="0.25">
      <c r="B9" s="36" t="s">
        <v>27</v>
      </c>
      <c r="C9" s="36"/>
      <c r="D9" s="36"/>
      <c r="E9" s="1" t="s">
        <v>28</v>
      </c>
    </row>
    <row r="10" spans="2:10" x14ac:dyDescent="0.25">
      <c r="B10" s="36" t="s">
        <v>29</v>
      </c>
      <c r="C10" s="36"/>
      <c r="D10" s="36"/>
      <c r="E10" s="1" t="s">
        <v>30</v>
      </c>
    </row>
    <row r="11" spans="2:10" x14ac:dyDescent="0.25">
      <c r="B11" s="36" t="s">
        <v>31</v>
      </c>
      <c r="C11" s="36"/>
      <c r="D11" s="36"/>
      <c r="E11" s="1" t="s">
        <v>32</v>
      </c>
    </row>
    <row r="12" spans="2:10" x14ac:dyDescent="0.25">
      <c r="B12" s="36" t="s">
        <v>33</v>
      </c>
      <c r="C12" s="36"/>
      <c r="D12" s="36"/>
      <c r="E12" s="1" t="s">
        <v>34</v>
      </c>
    </row>
    <row r="13" spans="2:10" x14ac:dyDescent="0.25">
      <c r="B13" s="36" t="s">
        <v>35</v>
      </c>
      <c r="C13" s="36"/>
      <c r="D13" s="36"/>
      <c r="E13" s="1" t="s">
        <v>28</v>
      </c>
    </row>
    <row r="15" spans="2:10" x14ac:dyDescent="0.25">
      <c r="B15" s="364" t="s">
        <v>36</v>
      </c>
      <c r="C15" s="364"/>
      <c r="D15" s="364"/>
      <c r="E15" s="364"/>
      <c r="F15" s="364"/>
    </row>
    <row r="17" spans="2:8" ht="16.5" customHeight="1" x14ac:dyDescent="0.25">
      <c r="B17" s="366" t="s">
        <v>37</v>
      </c>
      <c r="C17" s="366"/>
      <c r="D17" s="366"/>
      <c r="E17" s="366"/>
      <c r="F17" s="366"/>
      <c r="G17" s="366"/>
      <c r="H17" s="366"/>
    </row>
    <row r="18" spans="2:8" x14ac:dyDescent="0.25">
      <c r="B18" s="366"/>
      <c r="C18" s="366"/>
      <c r="D18" s="366"/>
      <c r="E18" s="366"/>
      <c r="F18" s="366"/>
      <c r="G18" s="366"/>
      <c r="H18" s="366"/>
    </row>
    <row r="19" spans="2:8" x14ac:dyDescent="0.25">
      <c r="B19" s="366"/>
      <c r="C19" s="366"/>
      <c r="D19" s="366"/>
      <c r="E19" s="366"/>
      <c r="F19" s="366"/>
      <c r="G19" s="366"/>
      <c r="H19" s="366"/>
    </row>
    <row r="20" spans="2:8" x14ac:dyDescent="0.25">
      <c r="B20" s="366"/>
      <c r="C20" s="366"/>
      <c r="D20" s="366"/>
      <c r="E20" s="366"/>
      <c r="F20" s="366"/>
      <c r="G20" s="366"/>
      <c r="H20" s="366"/>
    </row>
    <row r="21" spans="2:8" x14ac:dyDescent="0.25">
      <c r="B21" s="366"/>
      <c r="C21" s="366"/>
      <c r="D21" s="366"/>
      <c r="E21" s="366"/>
      <c r="F21" s="366"/>
      <c r="G21" s="366"/>
      <c r="H21" s="366"/>
    </row>
    <row r="23" spans="2:8" x14ac:dyDescent="0.25">
      <c r="B23" s="372" t="s">
        <v>38</v>
      </c>
      <c r="C23" s="372"/>
      <c r="D23" s="372"/>
      <c r="E23" s="372"/>
      <c r="F23" s="372"/>
      <c r="G23" s="372"/>
      <c r="H23" s="372"/>
    </row>
    <row r="25" spans="2:8" x14ac:dyDescent="0.25">
      <c r="B25" s="367" t="s">
        <v>39</v>
      </c>
      <c r="C25" s="367"/>
      <c r="D25" s="34"/>
      <c r="E25" s="368" t="s">
        <v>40</v>
      </c>
      <c r="F25" s="368"/>
    </row>
    <row r="26" spans="2:8" x14ac:dyDescent="0.25">
      <c r="B26" s="368" t="s">
        <v>41</v>
      </c>
      <c r="C26" s="368"/>
      <c r="D26" s="224"/>
    </row>
    <row r="27" spans="2:8" x14ac:dyDescent="0.25">
      <c r="B27" s="365" t="s">
        <v>42</v>
      </c>
      <c r="C27" s="365"/>
      <c r="D27" s="193"/>
      <c r="E27" s="366" t="s">
        <v>43</v>
      </c>
      <c r="F27" s="366"/>
    </row>
    <row r="28" spans="2:8" x14ac:dyDescent="0.25">
      <c r="B28" s="365" t="s">
        <v>44</v>
      </c>
      <c r="C28" s="365"/>
      <c r="D28" s="193"/>
      <c r="E28" s="366" t="s">
        <v>45</v>
      </c>
      <c r="F28" s="366"/>
    </row>
    <row r="29" spans="2:8" x14ac:dyDescent="0.25">
      <c r="B29" s="365" t="s">
        <v>46</v>
      </c>
      <c r="C29" s="365"/>
      <c r="D29" s="193"/>
      <c r="E29" s="366" t="s">
        <v>47</v>
      </c>
      <c r="F29" s="366"/>
    </row>
    <row r="30" spans="2:8" x14ac:dyDescent="0.25">
      <c r="B30" s="365" t="s">
        <v>570</v>
      </c>
      <c r="C30" s="365"/>
      <c r="D30" s="193"/>
      <c r="E30" s="244" t="s">
        <v>415</v>
      </c>
      <c r="F30" s="244"/>
    </row>
    <row r="31" spans="2:8" x14ac:dyDescent="0.25">
      <c r="B31" s="369" t="s">
        <v>48</v>
      </c>
      <c r="C31" s="369"/>
      <c r="D31" s="245"/>
      <c r="E31" s="244"/>
      <c r="F31" s="244"/>
    </row>
    <row r="32" spans="2:8" x14ac:dyDescent="0.25">
      <c r="B32" s="365" t="s">
        <v>49</v>
      </c>
      <c r="C32" s="365"/>
      <c r="D32" s="193"/>
      <c r="E32" s="366" t="s">
        <v>50</v>
      </c>
      <c r="F32" s="366"/>
    </row>
    <row r="33" spans="2:8" x14ac:dyDescent="0.25">
      <c r="B33" s="365" t="s">
        <v>51</v>
      </c>
      <c r="C33" s="365"/>
      <c r="D33" s="193"/>
      <c r="E33" s="366" t="s">
        <v>52</v>
      </c>
      <c r="F33" s="366"/>
    </row>
    <row r="34" spans="2:8" x14ac:dyDescent="0.25">
      <c r="B34" s="365" t="s">
        <v>535</v>
      </c>
      <c r="C34" s="365"/>
      <c r="D34" s="193"/>
      <c r="E34" s="366" t="s">
        <v>53</v>
      </c>
      <c r="F34" s="366"/>
    </row>
    <row r="35" spans="2:8" x14ac:dyDescent="0.25">
      <c r="B35" s="365" t="s">
        <v>54</v>
      </c>
      <c r="C35" s="365"/>
      <c r="D35" s="365"/>
      <c r="E35" s="366" t="s">
        <v>55</v>
      </c>
      <c r="F35" s="366"/>
    </row>
    <row r="36" spans="2:8" x14ac:dyDescent="0.25">
      <c r="B36" s="365" t="s">
        <v>56</v>
      </c>
      <c r="C36" s="365"/>
      <c r="D36" s="193"/>
      <c r="E36" s="366" t="s">
        <v>559</v>
      </c>
      <c r="F36" s="366"/>
    </row>
    <row r="37" spans="2:8" x14ac:dyDescent="0.25">
      <c r="B37" s="365" t="s">
        <v>536</v>
      </c>
      <c r="C37" s="365"/>
      <c r="D37" s="193"/>
      <c r="E37" s="366" t="s">
        <v>368</v>
      </c>
      <c r="F37" s="366"/>
    </row>
    <row r="38" spans="2:8" x14ac:dyDescent="0.25">
      <c r="B38" s="365" t="s">
        <v>57</v>
      </c>
      <c r="C38" s="365"/>
      <c r="D38" s="193"/>
      <c r="E38" s="366" t="s">
        <v>58</v>
      </c>
      <c r="F38" s="366"/>
    </row>
    <row r="40" spans="2:8" x14ac:dyDescent="0.25">
      <c r="B40" s="224" t="s">
        <v>59</v>
      </c>
    </row>
    <row r="42" spans="2:8" ht="16.5" customHeight="1" x14ac:dyDescent="0.25">
      <c r="B42" s="366" t="s">
        <v>60</v>
      </c>
      <c r="C42" s="366"/>
      <c r="D42" s="366"/>
      <c r="E42" s="366"/>
      <c r="F42" s="366"/>
      <c r="G42" s="366"/>
      <c r="H42" s="366"/>
    </row>
    <row r="43" spans="2:8" x14ac:dyDescent="0.25">
      <c r="B43" s="366"/>
      <c r="C43" s="366"/>
      <c r="D43" s="366"/>
      <c r="E43" s="366"/>
      <c r="F43" s="366"/>
      <c r="G43" s="366"/>
      <c r="H43" s="366"/>
    </row>
    <row r="44" spans="2:8" x14ac:dyDescent="0.25">
      <c r="B44" s="36" t="s">
        <v>61</v>
      </c>
      <c r="E44" s="1" t="s">
        <v>62</v>
      </c>
    </row>
    <row r="45" spans="2:8" x14ac:dyDescent="0.25">
      <c r="B45" s="36" t="s">
        <v>63</v>
      </c>
      <c r="E45" s="1" t="s">
        <v>539</v>
      </c>
    </row>
    <row r="46" spans="2:8" x14ac:dyDescent="0.25">
      <c r="B46" s="36" t="s">
        <v>64</v>
      </c>
      <c r="E46" s="1" t="s">
        <v>540</v>
      </c>
    </row>
    <row r="47" spans="2:8" x14ac:dyDescent="0.25">
      <c r="B47" s="36" t="s">
        <v>65</v>
      </c>
      <c r="E47" s="1" t="s">
        <v>66</v>
      </c>
    </row>
    <row r="49" spans="2:8" x14ac:dyDescent="0.25">
      <c r="B49" s="374" t="s">
        <v>67</v>
      </c>
      <c r="C49" s="375"/>
      <c r="D49" s="375"/>
      <c r="E49" s="375"/>
      <c r="F49" s="375"/>
      <c r="G49" s="375"/>
      <c r="H49" s="376"/>
    </row>
    <row r="50" spans="2:8" ht="59.25" customHeight="1" x14ac:dyDescent="0.25">
      <c r="B50" s="246" t="s">
        <v>68</v>
      </c>
      <c r="C50" s="246" t="s">
        <v>69</v>
      </c>
      <c r="D50" s="246" t="s">
        <v>70</v>
      </c>
      <c r="E50" s="246" t="s">
        <v>71</v>
      </c>
      <c r="F50" s="246" t="s">
        <v>72</v>
      </c>
      <c r="G50" s="247" t="s">
        <v>73</v>
      </c>
      <c r="H50" s="248" t="s">
        <v>74</v>
      </c>
    </row>
    <row r="51" spans="2:8" x14ac:dyDescent="0.25">
      <c r="B51" s="249">
        <v>1</v>
      </c>
      <c r="C51" s="249" t="s">
        <v>75</v>
      </c>
      <c r="D51" s="109">
        <f>+G51/1000000</f>
        <v>4500</v>
      </c>
      <c r="E51" s="251" t="s">
        <v>76</v>
      </c>
      <c r="F51" s="252">
        <f>5*D51</f>
        <v>22500</v>
      </c>
      <c r="G51" s="109">
        <v>4500000000</v>
      </c>
      <c r="H51" s="253">
        <f>+G51/$G$56</f>
        <v>0.30481609428977852</v>
      </c>
    </row>
    <row r="52" spans="2:8" x14ac:dyDescent="0.25">
      <c r="B52" s="249">
        <v>2</v>
      </c>
      <c r="C52" s="249" t="s">
        <v>75</v>
      </c>
      <c r="D52" s="109">
        <f>+G52/1000000</f>
        <v>4510</v>
      </c>
      <c r="E52" s="251" t="s">
        <v>77</v>
      </c>
      <c r="F52" s="252">
        <v>4000</v>
      </c>
      <c r="G52" s="109">
        <v>4510000000</v>
      </c>
      <c r="H52" s="253">
        <f t="shared" ref="H52:H55" si="0">+G52/$G$56</f>
        <v>0.30549346338820021</v>
      </c>
    </row>
    <row r="53" spans="2:8" x14ac:dyDescent="0.25">
      <c r="B53" s="249">
        <v>3</v>
      </c>
      <c r="C53" s="249" t="s">
        <v>75</v>
      </c>
      <c r="D53" s="109">
        <f>+G53/1000000</f>
        <v>2000</v>
      </c>
      <c r="E53" s="251" t="s">
        <v>78</v>
      </c>
      <c r="F53" s="252">
        <v>0</v>
      </c>
      <c r="G53" s="109">
        <v>2000000000</v>
      </c>
      <c r="H53" s="253">
        <f t="shared" si="0"/>
        <v>0.13547381968434599</v>
      </c>
    </row>
    <row r="54" spans="2:8" x14ac:dyDescent="0.25">
      <c r="B54" s="249">
        <v>4</v>
      </c>
      <c r="C54" s="249" t="s">
        <v>75</v>
      </c>
      <c r="D54" s="109">
        <f>+G54/1000000</f>
        <v>2000</v>
      </c>
      <c r="E54" s="251" t="s">
        <v>79</v>
      </c>
      <c r="F54" s="252">
        <v>0</v>
      </c>
      <c r="G54" s="109">
        <v>2000000000</v>
      </c>
      <c r="H54" s="253">
        <f t="shared" si="0"/>
        <v>0.13547381968434599</v>
      </c>
    </row>
    <row r="55" spans="2:8" x14ac:dyDescent="0.25">
      <c r="B55" s="249">
        <v>5</v>
      </c>
      <c r="C55" s="349" t="s">
        <v>75</v>
      </c>
      <c r="D55" s="109">
        <f>+G55/1000000</f>
        <v>1753</v>
      </c>
      <c r="E55" s="251" t="s">
        <v>80</v>
      </c>
      <c r="F55" s="252">
        <v>0</v>
      </c>
      <c r="G55" s="109">
        <v>1753000000</v>
      </c>
      <c r="H55" s="253">
        <f t="shared" si="0"/>
        <v>0.11874280295332927</v>
      </c>
    </row>
    <row r="56" spans="2:8" x14ac:dyDescent="0.25">
      <c r="B56" s="370" t="s">
        <v>81</v>
      </c>
      <c r="C56" s="371"/>
      <c r="D56" s="75">
        <f>SUM(D51:D55)</f>
        <v>14763</v>
      </c>
      <c r="E56" s="255"/>
      <c r="F56" s="159">
        <f>SUM(F51:F54)</f>
        <v>26500</v>
      </c>
      <c r="G56" s="159">
        <f>SUM(G51:G55)</f>
        <v>14763000000</v>
      </c>
      <c r="H56" s="256">
        <f>SUM(H51:H55)</f>
        <v>1</v>
      </c>
    </row>
    <row r="58" spans="2:8" x14ac:dyDescent="0.25">
      <c r="B58" s="374" t="s">
        <v>82</v>
      </c>
      <c r="C58" s="375"/>
      <c r="D58" s="375"/>
      <c r="E58" s="375"/>
      <c r="F58" s="375"/>
      <c r="G58" s="375"/>
      <c r="H58" s="376"/>
    </row>
    <row r="59" spans="2:8" ht="59.25" customHeight="1" x14ac:dyDescent="0.25">
      <c r="B59" s="246" t="s">
        <v>68</v>
      </c>
      <c r="C59" s="246" t="s">
        <v>69</v>
      </c>
      <c r="D59" s="246" t="s">
        <v>70</v>
      </c>
      <c r="E59" s="246" t="s">
        <v>71</v>
      </c>
      <c r="F59" s="246" t="s">
        <v>72</v>
      </c>
      <c r="G59" s="247" t="s">
        <v>73</v>
      </c>
      <c r="H59" s="248" t="s">
        <v>83</v>
      </c>
    </row>
    <row r="60" spans="2:8" x14ac:dyDescent="0.25">
      <c r="B60" s="249">
        <v>1</v>
      </c>
      <c r="C60" s="250" t="s">
        <v>75</v>
      </c>
      <c r="D60" s="233">
        <f>+G60/1000000</f>
        <v>6000</v>
      </c>
      <c r="E60" s="251" t="s">
        <v>76</v>
      </c>
      <c r="F60" s="252">
        <f>5*D60</f>
        <v>30000</v>
      </c>
      <c r="G60" s="109">
        <v>6000000000</v>
      </c>
      <c r="H60" s="253">
        <f>+G60/$G$65</f>
        <v>0.3689356207341819</v>
      </c>
    </row>
    <row r="61" spans="2:8" x14ac:dyDescent="0.25">
      <c r="B61" s="249">
        <v>2</v>
      </c>
      <c r="C61" s="250" t="s">
        <v>75</v>
      </c>
      <c r="D61" s="233">
        <f>+G61/1000000</f>
        <v>4510</v>
      </c>
      <c r="E61" s="251" t="s">
        <v>77</v>
      </c>
      <c r="F61" s="252">
        <f>1*D61</f>
        <v>4510</v>
      </c>
      <c r="G61" s="109">
        <v>4510000000</v>
      </c>
      <c r="H61" s="253">
        <f t="shared" ref="H61:H64" si="1">+G61/$G$65</f>
        <v>0.27731660825186005</v>
      </c>
    </row>
    <row r="62" spans="2:8" x14ac:dyDescent="0.25">
      <c r="B62" s="249">
        <v>3</v>
      </c>
      <c r="C62" s="250" t="s">
        <v>75</v>
      </c>
      <c r="D62" s="233">
        <f>+G62/1000000</f>
        <v>2000</v>
      </c>
      <c r="E62" s="251" t="s">
        <v>78</v>
      </c>
      <c r="F62" s="252">
        <v>0</v>
      </c>
      <c r="G62" s="109">
        <v>2000000000</v>
      </c>
      <c r="H62" s="253">
        <f t="shared" si="1"/>
        <v>0.12297854024472729</v>
      </c>
    </row>
    <row r="63" spans="2:8" x14ac:dyDescent="0.25">
      <c r="B63" s="249">
        <v>4</v>
      </c>
      <c r="C63" s="250" t="s">
        <v>75</v>
      </c>
      <c r="D63" s="233">
        <f>+G63/1000000</f>
        <v>2000</v>
      </c>
      <c r="E63" s="251" t="s">
        <v>79</v>
      </c>
      <c r="F63" s="252">
        <v>0</v>
      </c>
      <c r="G63" s="109">
        <v>2000000000</v>
      </c>
      <c r="H63" s="253">
        <f t="shared" si="1"/>
        <v>0.12297854024472729</v>
      </c>
    </row>
    <row r="64" spans="2:8" x14ac:dyDescent="0.25">
      <c r="B64" s="249">
        <v>5</v>
      </c>
      <c r="C64" s="254" t="s">
        <v>75</v>
      </c>
      <c r="D64" s="233">
        <f>+G64/1000000</f>
        <v>1753</v>
      </c>
      <c r="E64" s="251" t="s">
        <v>80</v>
      </c>
      <c r="F64" s="252">
        <v>0</v>
      </c>
      <c r="G64" s="109">
        <v>1753000000</v>
      </c>
      <c r="H64" s="253">
        <f t="shared" si="1"/>
        <v>0.10779069052450348</v>
      </c>
    </row>
    <row r="65" spans="2:8" x14ac:dyDescent="0.25">
      <c r="B65" s="370" t="s">
        <v>81</v>
      </c>
      <c r="C65" s="371"/>
      <c r="D65" s="75">
        <f>SUM(D60:D64)</f>
        <v>16263</v>
      </c>
      <c r="E65" s="255"/>
      <c r="F65" s="159">
        <f>SUM(F60:F63)</f>
        <v>34510</v>
      </c>
      <c r="G65" s="159">
        <f>SUM(G60:G64)</f>
        <v>16263000000</v>
      </c>
      <c r="H65" s="256">
        <f>SUM(H60:H64)</f>
        <v>1</v>
      </c>
    </row>
    <row r="66" spans="2:8" x14ac:dyDescent="0.25">
      <c r="B66" s="373" t="s">
        <v>537</v>
      </c>
      <c r="C66" s="373"/>
      <c r="D66" s="373"/>
      <c r="E66" s="373"/>
    </row>
    <row r="68" spans="2:8" x14ac:dyDescent="0.25">
      <c r="B68" s="372" t="s">
        <v>84</v>
      </c>
      <c r="C68" s="372"/>
      <c r="D68" s="372"/>
      <c r="E68" s="372"/>
      <c r="F68" s="372"/>
      <c r="G68" s="372"/>
      <c r="H68" s="372"/>
    </row>
    <row r="70" spans="2:8" x14ac:dyDescent="0.25">
      <c r="B70" s="36" t="s">
        <v>85</v>
      </c>
      <c r="D70" s="1" t="s">
        <v>86</v>
      </c>
    </row>
    <row r="71" spans="2:8" x14ac:dyDescent="0.25">
      <c r="B71" s="36" t="s">
        <v>23</v>
      </c>
      <c r="D71" s="1" t="s">
        <v>87</v>
      </c>
    </row>
    <row r="72" spans="2:8" x14ac:dyDescent="0.25">
      <c r="B72" s="36" t="s">
        <v>88</v>
      </c>
      <c r="D72" s="1" t="s">
        <v>89</v>
      </c>
    </row>
    <row r="73" spans="2:8" x14ac:dyDescent="0.25">
      <c r="B73" s="36" t="s">
        <v>29</v>
      </c>
      <c r="D73" s="1" t="s">
        <v>90</v>
      </c>
    </row>
    <row r="75" spans="2:8" x14ac:dyDescent="0.25">
      <c r="B75" s="364" t="s">
        <v>91</v>
      </c>
      <c r="C75" s="364"/>
      <c r="D75" s="364"/>
      <c r="E75" s="364"/>
      <c r="F75" s="364"/>
      <c r="G75" s="364"/>
      <c r="H75" s="364"/>
    </row>
    <row r="77" spans="2:8" x14ac:dyDescent="0.25">
      <c r="B77" s="364" t="s">
        <v>621</v>
      </c>
      <c r="C77" s="364"/>
      <c r="D77" s="364"/>
      <c r="E77" s="364"/>
      <c r="F77" s="364"/>
      <c r="G77" s="364"/>
      <c r="H77" s="364"/>
    </row>
    <row r="78" spans="2:8" x14ac:dyDescent="0.25">
      <c r="B78" s="36" t="s">
        <v>92</v>
      </c>
      <c r="E78" s="1" t="s">
        <v>93</v>
      </c>
    </row>
    <row r="79" spans="2:8" x14ac:dyDescent="0.25">
      <c r="B79" s="36" t="s">
        <v>88</v>
      </c>
      <c r="E79" s="1" t="s">
        <v>28</v>
      </c>
    </row>
    <row r="80" spans="2:8" x14ac:dyDescent="0.25">
      <c r="B80" s="36" t="s">
        <v>94</v>
      </c>
      <c r="E80" s="1" t="s">
        <v>95</v>
      </c>
    </row>
    <row r="81" spans="2:8" x14ac:dyDescent="0.25">
      <c r="B81" s="36" t="s">
        <v>96</v>
      </c>
      <c r="E81" s="257">
        <v>0.84660000000000002</v>
      </c>
    </row>
    <row r="82" spans="2:8" x14ac:dyDescent="0.25">
      <c r="B82" s="36" t="s">
        <v>97</v>
      </c>
      <c r="E82" s="257">
        <v>0.84660000000000002</v>
      </c>
    </row>
    <row r="83" spans="2:8" x14ac:dyDescent="0.25">
      <c r="B83" s="364" t="s">
        <v>622</v>
      </c>
      <c r="C83" s="364"/>
      <c r="D83" s="364"/>
      <c r="E83" s="364"/>
      <c r="F83" s="364"/>
      <c r="G83" s="364"/>
      <c r="H83" s="364"/>
    </row>
    <row r="84" spans="2:8" x14ac:dyDescent="0.25">
      <c r="B84" s="235" t="s">
        <v>98</v>
      </c>
      <c r="D84" s="365" t="s">
        <v>545</v>
      </c>
      <c r="E84" s="365"/>
      <c r="F84" s="365"/>
      <c r="G84" s="365"/>
      <c r="H84" s="365"/>
    </row>
    <row r="85" spans="2:8" x14ac:dyDescent="0.25">
      <c r="B85" s="36" t="s">
        <v>99</v>
      </c>
      <c r="D85" s="365" t="s">
        <v>546</v>
      </c>
      <c r="E85" s="365"/>
      <c r="F85" s="365"/>
      <c r="G85" s="365"/>
      <c r="H85" s="365"/>
    </row>
    <row r="86" spans="2:8" x14ac:dyDescent="0.25">
      <c r="B86" s="36" t="s">
        <v>100</v>
      </c>
      <c r="D86" s="365" t="s">
        <v>547</v>
      </c>
      <c r="E86" s="365"/>
      <c r="F86" s="365"/>
      <c r="G86" s="365"/>
      <c r="H86" s="365"/>
    </row>
    <row r="87" spans="2:8" x14ac:dyDescent="0.25">
      <c r="B87" s="36" t="s">
        <v>101</v>
      </c>
      <c r="D87" s="365" t="s">
        <v>548</v>
      </c>
      <c r="E87" s="365"/>
      <c r="F87" s="365"/>
      <c r="G87" s="365"/>
      <c r="H87" s="365"/>
    </row>
    <row r="88" spans="2:8" x14ac:dyDescent="0.25">
      <c r="B88" s="36" t="s">
        <v>102</v>
      </c>
      <c r="D88" s="1" t="s">
        <v>103</v>
      </c>
    </row>
    <row r="89" spans="2:8" x14ac:dyDescent="0.25">
      <c r="B89" s="36" t="s">
        <v>104</v>
      </c>
      <c r="D89" s="1" t="s">
        <v>105</v>
      </c>
    </row>
    <row r="90" spans="2:8" x14ac:dyDescent="0.25">
      <c r="B90" s="36" t="s">
        <v>106</v>
      </c>
      <c r="D90" s="1" t="s">
        <v>107</v>
      </c>
    </row>
    <row r="91" spans="2:8" x14ac:dyDescent="0.25">
      <c r="B91" s="36" t="s">
        <v>108</v>
      </c>
      <c r="D91" s="1" t="s">
        <v>109</v>
      </c>
    </row>
    <row r="92" spans="2:8" x14ac:dyDescent="0.25">
      <c r="B92" s="36" t="s">
        <v>110</v>
      </c>
      <c r="D92" s="1" t="s">
        <v>111</v>
      </c>
    </row>
    <row r="93" spans="2:8" x14ac:dyDescent="0.25">
      <c r="B93" s="36" t="s">
        <v>625</v>
      </c>
      <c r="D93" s="1" t="s">
        <v>538</v>
      </c>
    </row>
    <row r="94" spans="2:8" x14ac:dyDescent="0.25">
      <c r="B94" s="36" t="s">
        <v>58</v>
      </c>
      <c r="D94" s="1" t="s">
        <v>57</v>
      </c>
    </row>
    <row r="95" spans="2:8" x14ac:dyDescent="0.25">
      <c r="B95" s="36" t="s">
        <v>112</v>
      </c>
      <c r="D95" s="1" t="s">
        <v>113</v>
      </c>
    </row>
  </sheetData>
  <mergeCells count="45">
    <mergeCell ref="D87:H87"/>
    <mergeCell ref="D84:H84"/>
    <mergeCell ref="D85:H85"/>
    <mergeCell ref="D86:H86"/>
    <mergeCell ref="B68:H68"/>
    <mergeCell ref="B75:H75"/>
    <mergeCell ref="B77:H77"/>
    <mergeCell ref="B83:H83"/>
    <mergeCell ref="B65:C65"/>
    <mergeCell ref="B17:H21"/>
    <mergeCell ref="B23:H23"/>
    <mergeCell ref="B42:H43"/>
    <mergeCell ref="B66:E66"/>
    <mergeCell ref="B49:H49"/>
    <mergeCell ref="B56:C56"/>
    <mergeCell ref="B58:H58"/>
    <mergeCell ref="B38:C38"/>
    <mergeCell ref="E38:F38"/>
    <mergeCell ref="B33:C33"/>
    <mergeCell ref="B34:C34"/>
    <mergeCell ref="B36:C36"/>
    <mergeCell ref="B37:C37"/>
    <mergeCell ref="E32:F32"/>
    <mergeCell ref="E37:F37"/>
    <mergeCell ref="E36:F36"/>
    <mergeCell ref="B25:C25"/>
    <mergeCell ref="E25:F25"/>
    <mergeCell ref="B26:C26"/>
    <mergeCell ref="B31:C31"/>
    <mergeCell ref="E27:F27"/>
    <mergeCell ref="E28:F28"/>
    <mergeCell ref="E29:F29"/>
    <mergeCell ref="B27:C27"/>
    <mergeCell ref="B28:C28"/>
    <mergeCell ref="B29:C29"/>
    <mergeCell ref="B30:C30"/>
    <mergeCell ref="B2:F2"/>
    <mergeCell ref="B3:F3"/>
    <mergeCell ref="B4:F4"/>
    <mergeCell ref="B15:F15"/>
    <mergeCell ref="B35:D35"/>
    <mergeCell ref="B32:C32"/>
    <mergeCell ref="E33:F33"/>
    <mergeCell ref="E34:F34"/>
    <mergeCell ref="E35:F35"/>
  </mergeCells>
  <hyperlinks>
    <hyperlink ref="B66:E66" location="'14'!A1" display="Cuadro s/ Res. 950/06 expresado en el Anexo de Capital" xr:uid="{6E4C359A-86FC-46E0-99D3-E10723B8E899}"/>
    <hyperlink ref="J1" location="ÍNDICE!A1" display="Indice" xr:uid="{E58AC891-5EA3-4A73-B657-58433CADD0F8}"/>
  </hyperlinks>
  <pageMargins left="0.25" right="0.25"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506-38D7-4615-BD76-655EF24BAB6A}">
  <sheetPr>
    <pageSetUpPr fitToPage="1"/>
  </sheetPr>
  <dimension ref="A1:I73"/>
  <sheetViews>
    <sheetView showGridLines="0" topLeftCell="B56" zoomScaleNormal="100" workbookViewId="0">
      <selection activeCell="B64" sqref="B64"/>
    </sheetView>
  </sheetViews>
  <sheetFormatPr baseColWidth="10" defaultColWidth="11.42578125" defaultRowHeight="15" x14ac:dyDescent="0.25"/>
  <cols>
    <col min="1" max="1" width="2.85546875" style="1" customWidth="1"/>
    <col min="2" max="2" width="81.7109375" style="1" bestFit="1" customWidth="1"/>
    <col min="3" max="3" width="7.85546875" style="1" customWidth="1"/>
    <col min="4" max="5" width="19" style="1" customWidth="1"/>
    <col min="6" max="6" width="59.140625" style="1" bestFit="1" customWidth="1"/>
    <col min="7" max="7" width="7.85546875" style="1" customWidth="1"/>
    <col min="8" max="9" width="19" style="1" customWidth="1"/>
    <col min="10" max="10" width="2.85546875" style="1" customWidth="1"/>
    <col min="11" max="16384" width="11.42578125" style="1"/>
  </cols>
  <sheetData>
    <row r="1" spans="1:9" x14ac:dyDescent="0.25">
      <c r="A1" s="2" t="s">
        <v>20</v>
      </c>
    </row>
    <row r="2" spans="1:9" x14ac:dyDescent="0.25">
      <c r="B2" s="377" t="s">
        <v>114</v>
      </c>
      <c r="C2" s="377"/>
      <c r="D2" s="377"/>
      <c r="E2" s="377"/>
      <c r="F2" s="377"/>
      <c r="G2" s="377"/>
      <c r="H2" s="377"/>
      <c r="I2" s="377"/>
    </row>
    <row r="3" spans="1:9" x14ac:dyDescent="0.25">
      <c r="B3" s="378" t="s">
        <v>3</v>
      </c>
      <c r="C3" s="378"/>
      <c r="D3" s="378"/>
      <c r="E3" s="378"/>
      <c r="F3" s="378"/>
      <c r="G3" s="378"/>
      <c r="H3" s="378"/>
      <c r="I3" s="378"/>
    </row>
    <row r="4" spans="1:9" x14ac:dyDescent="0.25">
      <c r="B4" s="379" t="s">
        <v>630</v>
      </c>
      <c r="C4" s="379"/>
      <c r="D4" s="379"/>
      <c r="E4" s="379"/>
      <c r="F4" s="379"/>
      <c r="G4" s="379"/>
      <c r="H4" s="379"/>
      <c r="I4" s="379"/>
    </row>
    <row r="5" spans="1:9" x14ac:dyDescent="0.25">
      <c r="B5" s="379" t="s">
        <v>115</v>
      </c>
      <c r="C5" s="379"/>
      <c r="D5" s="379"/>
      <c r="E5" s="379"/>
      <c r="F5" s="379"/>
      <c r="G5" s="379"/>
      <c r="H5" s="379"/>
      <c r="I5" s="379"/>
    </row>
    <row r="6" spans="1:9" x14ac:dyDescent="0.25">
      <c r="B6" s="318"/>
      <c r="C6" s="318"/>
      <c r="D6" s="318"/>
      <c r="E6" s="302"/>
      <c r="F6" s="318"/>
      <c r="G6" s="318"/>
      <c r="H6" s="318"/>
      <c r="I6" s="318"/>
    </row>
    <row r="7" spans="1:9" x14ac:dyDescent="0.25">
      <c r="B7" s="319" t="s">
        <v>116</v>
      </c>
      <c r="C7" s="301" t="s">
        <v>117</v>
      </c>
      <c r="D7" s="320">
        <v>43921</v>
      </c>
      <c r="E7" s="320">
        <v>43830</v>
      </c>
      <c r="F7" s="319" t="s">
        <v>118</v>
      </c>
      <c r="G7" s="301" t="s">
        <v>117</v>
      </c>
      <c r="H7" s="320">
        <v>43921</v>
      </c>
      <c r="I7" s="320">
        <v>43830</v>
      </c>
    </row>
    <row r="8" spans="1:9" x14ac:dyDescent="0.25">
      <c r="B8" s="321" t="s">
        <v>119</v>
      </c>
      <c r="C8" s="322"/>
      <c r="D8" s="322"/>
      <c r="E8" s="323"/>
      <c r="F8" s="324" t="s">
        <v>120</v>
      </c>
      <c r="G8" s="325"/>
      <c r="H8" s="325"/>
      <c r="I8" s="326"/>
    </row>
    <row r="9" spans="1:9" x14ac:dyDescent="0.25">
      <c r="B9" s="324" t="s">
        <v>121</v>
      </c>
      <c r="C9" s="327" t="s">
        <v>122</v>
      </c>
      <c r="D9" s="326">
        <v>4532814805</v>
      </c>
      <c r="E9" s="328">
        <v>7292766449</v>
      </c>
      <c r="F9" s="324" t="s">
        <v>123</v>
      </c>
      <c r="G9" s="329"/>
      <c r="H9" s="326">
        <v>20963617918.100712</v>
      </c>
      <c r="I9" s="326">
        <v>4116557378</v>
      </c>
    </row>
    <row r="10" spans="1:9" x14ac:dyDescent="0.25">
      <c r="B10" s="330" t="s">
        <v>124</v>
      </c>
      <c r="C10" s="327"/>
      <c r="D10" s="270">
        <v>1010000</v>
      </c>
      <c r="E10" s="331">
        <v>1000000</v>
      </c>
      <c r="F10" s="330" t="s">
        <v>125</v>
      </c>
      <c r="G10" s="332" t="s">
        <v>126</v>
      </c>
      <c r="H10" s="270">
        <v>20687341561.11071</v>
      </c>
      <c r="I10" s="270">
        <v>2065869961</v>
      </c>
    </row>
    <row r="11" spans="1:9" x14ac:dyDescent="0.25">
      <c r="B11" s="330" t="s">
        <v>127</v>
      </c>
      <c r="C11" s="327"/>
      <c r="D11" s="270">
        <v>0</v>
      </c>
      <c r="E11" s="331">
        <v>2575000</v>
      </c>
      <c r="F11" s="330" t="s">
        <v>128</v>
      </c>
      <c r="G11" s="332" t="s">
        <v>129</v>
      </c>
      <c r="H11" s="270">
        <v>110169780</v>
      </c>
      <c r="I11" s="270">
        <v>399286941</v>
      </c>
    </row>
    <row r="12" spans="1:9" x14ac:dyDescent="0.25">
      <c r="B12" s="330" t="s">
        <v>130</v>
      </c>
      <c r="C12" s="327"/>
      <c r="D12" s="270">
        <v>4531804805</v>
      </c>
      <c r="E12" s="331">
        <v>7289191449</v>
      </c>
      <c r="F12" s="330" t="s">
        <v>131</v>
      </c>
      <c r="G12" s="332" t="s">
        <v>132</v>
      </c>
      <c r="H12" s="270">
        <v>166106576.99000001</v>
      </c>
      <c r="I12" s="270">
        <v>1651400476</v>
      </c>
    </row>
    <row r="13" spans="1:9" x14ac:dyDescent="0.25">
      <c r="B13" s="333"/>
      <c r="C13" s="234"/>
      <c r="D13" s="333"/>
      <c r="E13" s="234"/>
      <c r="F13" s="330" t="s">
        <v>133</v>
      </c>
      <c r="G13" s="332" t="s">
        <v>134</v>
      </c>
      <c r="H13" s="270">
        <v>0</v>
      </c>
      <c r="I13" s="270">
        <v>0</v>
      </c>
    </row>
    <row r="14" spans="1:9" x14ac:dyDescent="0.25">
      <c r="B14" s="334" t="s">
        <v>135</v>
      </c>
      <c r="C14" s="327" t="s">
        <v>689</v>
      </c>
      <c r="D14" s="335">
        <v>65337788246</v>
      </c>
      <c r="E14" s="328">
        <v>69260134028</v>
      </c>
      <c r="F14" s="330" t="s">
        <v>136</v>
      </c>
      <c r="G14" s="332"/>
      <c r="H14" s="270">
        <v>0</v>
      </c>
      <c r="I14" s="270">
        <v>0</v>
      </c>
    </row>
    <row r="15" spans="1:9" x14ac:dyDescent="0.25">
      <c r="B15" s="330" t="s">
        <v>137</v>
      </c>
      <c r="C15" s="327"/>
      <c r="D15" s="270">
        <v>10138736074</v>
      </c>
      <c r="E15" s="331">
        <v>7631583912</v>
      </c>
      <c r="F15" s="330"/>
      <c r="G15" s="332"/>
      <c r="H15" s="332"/>
      <c r="I15" s="270"/>
    </row>
    <row r="16" spans="1:9" x14ac:dyDescent="0.25">
      <c r="B16" s="330" t="s">
        <v>138</v>
      </c>
      <c r="C16" s="327"/>
      <c r="D16" s="270">
        <v>29475045168</v>
      </c>
      <c r="E16" s="331">
        <v>33384327906</v>
      </c>
      <c r="F16" s="334" t="s">
        <v>139</v>
      </c>
      <c r="G16" s="332"/>
      <c r="H16" s="335">
        <v>36927077708</v>
      </c>
      <c r="I16" s="335">
        <v>60502847985</v>
      </c>
    </row>
    <row r="17" spans="2:9" x14ac:dyDescent="0.25">
      <c r="B17" s="330" t="s">
        <v>140</v>
      </c>
      <c r="C17" s="327"/>
      <c r="D17" s="270">
        <v>0</v>
      </c>
      <c r="E17" s="331">
        <v>0</v>
      </c>
      <c r="F17" s="330" t="s">
        <v>141</v>
      </c>
      <c r="G17" s="332" t="s">
        <v>150</v>
      </c>
      <c r="H17" s="270">
        <v>3709900188</v>
      </c>
      <c r="I17" s="270">
        <v>17172014252</v>
      </c>
    </row>
    <row r="18" spans="2:9" x14ac:dyDescent="0.25">
      <c r="B18" s="333" t="s">
        <v>142</v>
      </c>
      <c r="C18" s="234"/>
      <c r="D18" s="270">
        <v>25720504141</v>
      </c>
      <c r="E18" s="331">
        <v>28241425299</v>
      </c>
      <c r="F18" s="330" t="s">
        <v>143</v>
      </c>
      <c r="G18" s="332" t="s">
        <v>150</v>
      </c>
      <c r="H18" s="270">
        <v>9549643147</v>
      </c>
      <c r="I18" s="270">
        <v>17549328613</v>
      </c>
    </row>
    <row r="19" spans="2:9" x14ac:dyDescent="0.25">
      <c r="B19" s="333" t="s">
        <v>695</v>
      </c>
      <c r="C19" s="234"/>
      <c r="D19" s="166">
        <v>3502863</v>
      </c>
      <c r="E19" s="236">
        <v>2796911</v>
      </c>
      <c r="F19" s="330" t="s">
        <v>144</v>
      </c>
      <c r="G19" s="332"/>
      <c r="H19" s="270">
        <v>0</v>
      </c>
      <c r="I19" s="270">
        <v>0</v>
      </c>
    </row>
    <row r="20" spans="2:9" x14ac:dyDescent="0.25">
      <c r="B20" s="334" t="s">
        <v>145</v>
      </c>
      <c r="C20" s="327" t="s">
        <v>148</v>
      </c>
      <c r="D20" s="335">
        <v>2462327113.1692801</v>
      </c>
      <c r="E20" s="328">
        <v>1161874800.3600001</v>
      </c>
      <c r="F20" s="330" t="s">
        <v>146</v>
      </c>
      <c r="G20" s="332"/>
      <c r="H20" s="270">
        <v>181380330</v>
      </c>
      <c r="I20" s="270">
        <v>57794637</v>
      </c>
    </row>
    <row r="21" spans="2:9" x14ac:dyDescent="0.25">
      <c r="B21" s="330" t="s">
        <v>147</v>
      </c>
      <c r="C21" s="327" t="s">
        <v>148</v>
      </c>
      <c r="D21" s="270">
        <v>1515065504.0544801</v>
      </c>
      <c r="E21" s="331">
        <v>506322795</v>
      </c>
      <c r="F21" s="330" t="s">
        <v>149</v>
      </c>
      <c r="G21" s="332" t="s">
        <v>150</v>
      </c>
      <c r="H21" s="270">
        <v>23486154043</v>
      </c>
      <c r="I21" s="270">
        <v>25723710483</v>
      </c>
    </row>
    <row r="22" spans="2:9" x14ac:dyDescent="0.25">
      <c r="B22" s="330" t="s">
        <v>151</v>
      </c>
      <c r="C22" s="327" t="s">
        <v>148</v>
      </c>
      <c r="D22" s="270">
        <v>292034139.24000001</v>
      </c>
      <c r="E22" s="331">
        <v>292986402.36000001</v>
      </c>
      <c r="F22" s="330"/>
      <c r="G22" s="332"/>
      <c r="H22" s="270"/>
      <c r="I22" s="270"/>
    </row>
    <row r="23" spans="2:9" x14ac:dyDescent="0.25">
      <c r="B23" s="330" t="s">
        <v>152</v>
      </c>
      <c r="C23" s="327" t="s">
        <v>148</v>
      </c>
      <c r="D23" s="270">
        <v>350920437.87479997</v>
      </c>
      <c r="E23" s="331">
        <v>166563323</v>
      </c>
      <c r="F23" s="334" t="s">
        <v>153</v>
      </c>
      <c r="G23" s="332"/>
      <c r="H23" s="335">
        <v>558337501</v>
      </c>
      <c r="I23" s="335">
        <v>561865246</v>
      </c>
    </row>
    <row r="24" spans="2:9" x14ac:dyDescent="0.25">
      <c r="B24" s="330" t="s">
        <v>154</v>
      </c>
      <c r="C24" s="327"/>
      <c r="D24" s="270">
        <v>0</v>
      </c>
      <c r="E24" s="331">
        <v>0</v>
      </c>
      <c r="F24" s="330" t="s">
        <v>155</v>
      </c>
      <c r="G24" s="332"/>
      <c r="H24" s="270">
        <v>383115144</v>
      </c>
      <c r="I24" s="270">
        <v>383115144</v>
      </c>
    </row>
    <row r="25" spans="2:9" x14ac:dyDescent="0.25">
      <c r="B25" s="330" t="s">
        <v>156</v>
      </c>
      <c r="C25" s="327" t="s">
        <v>148</v>
      </c>
      <c r="D25" s="270">
        <v>304307032</v>
      </c>
      <c r="E25" s="331">
        <v>196002280</v>
      </c>
      <c r="F25" s="330" t="s">
        <v>157</v>
      </c>
      <c r="G25" s="332"/>
      <c r="H25" s="270">
        <v>10014464</v>
      </c>
      <c r="I25" s="270">
        <v>95571876</v>
      </c>
    </row>
    <row r="26" spans="2:9" x14ac:dyDescent="0.25">
      <c r="B26" s="330" t="s">
        <v>158</v>
      </c>
      <c r="C26" s="327"/>
      <c r="D26" s="270">
        <v>0</v>
      </c>
      <c r="E26" s="331">
        <v>0</v>
      </c>
      <c r="F26" s="330" t="s">
        <v>159</v>
      </c>
      <c r="G26" s="332"/>
      <c r="H26" s="270">
        <v>0</v>
      </c>
      <c r="I26" s="270">
        <v>0</v>
      </c>
    </row>
    <row r="27" spans="2:9" x14ac:dyDescent="0.25">
      <c r="B27" s="330" t="s">
        <v>160</v>
      </c>
      <c r="C27" s="327"/>
      <c r="D27" s="270">
        <v>0</v>
      </c>
      <c r="E27" s="331">
        <v>0</v>
      </c>
      <c r="F27" s="330" t="s">
        <v>161</v>
      </c>
      <c r="G27" s="332"/>
      <c r="H27" s="270">
        <v>165207893</v>
      </c>
      <c r="I27" s="270">
        <v>83178226</v>
      </c>
    </row>
    <row r="28" spans="2:9" x14ac:dyDescent="0.25">
      <c r="B28" s="330"/>
      <c r="C28" s="327"/>
      <c r="D28" s="336"/>
      <c r="E28" s="331"/>
      <c r="F28" s="334" t="s">
        <v>162</v>
      </c>
      <c r="G28" s="332"/>
      <c r="H28" s="335">
        <v>321805542.00999999</v>
      </c>
      <c r="I28" s="335">
        <v>289932659</v>
      </c>
    </row>
    <row r="29" spans="2:9" x14ac:dyDescent="0.25">
      <c r="B29" s="334" t="s">
        <v>163</v>
      </c>
      <c r="C29" s="327"/>
      <c r="D29" s="335">
        <v>449024880</v>
      </c>
      <c r="E29" s="328">
        <v>395744607</v>
      </c>
      <c r="F29" s="330" t="s">
        <v>164</v>
      </c>
      <c r="G29" s="332"/>
      <c r="H29" s="270">
        <v>0</v>
      </c>
      <c r="I29" s="270">
        <v>0</v>
      </c>
    </row>
    <row r="30" spans="2:9" x14ac:dyDescent="0.25">
      <c r="B30" s="330" t="s">
        <v>165</v>
      </c>
      <c r="C30" s="327" t="s">
        <v>166</v>
      </c>
      <c r="D30" s="270">
        <v>449024880</v>
      </c>
      <c r="E30" s="331">
        <v>395744607</v>
      </c>
      <c r="F30" s="330" t="s">
        <v>167</v>
      </c>
      <c r="G30" s="332"/>
      <c r="H30" s="270">
        <v>14433087</v>
      </c>
      <c r="I30" s="270">
        <v>14433087</v>
      </c>
    </row>
    <row r="31" spans="2:9" x14ac:dyDescent="0.25">
      <c r="B31" s="330"/>
      <c r="C31" s="327"/>
      <c r="D31" s="336"/>
      <c r="E31" s="331"/>
      <c r="F31" s="330" t="s">
        <v>168</v>
      </c>
      <c r="G31" s="332" t="s">
        <v>169</v>
      </c>
      <c r="H31" s="270">
        <v>307372455.00999999</v>
      </c>
      <c r="I31" s="270">
        <v>275499572</v>
      </c>
    </row>
    <row r="32" spans="2:9" x14ac:dyDescent="0.25">
      <c r="B32" s="330"/>
      <c r="C32" s="327"/>
      <c r="D32" s="336"/>
      <c r="E32" s="331"/>
      <c r="F32" s="330"/>
      <c r="G32" s="332"/>
      <c r="H32" s="332"/>
      <c r="I32" s="270"/>
    </row>
    <row r="33" spans="2:9" x14ac:dyDescent="0.25">
      <c r="B33" s="334" t="s">
        <v>170</v>
      </c>
      <c r="C33" s="327"/>
      <c r="D33" s="335">
        <v>72781955044.169281</v>
      </c>
      <c r="E33" s="328">
        <v>78110519884.360001</v>
      </c>
      <c r="F33" s="334" t="s">
        <v>171</v>
      </c>
      <c r="G33" s="332"/>
      <c r="H33" s="335">
        <v>58770838669.11071</v>
      </c>
      <c r="I33" s="335">
        <v>65471203268</v>
      </c>
    </row>
    <row r="34" spans="2:9" x14ac:dyDescent="0.25">
      <c r="B34" s="334"/>
      <c r="C34" s="327"/>
      <c r="D34" s="336"/>
      <c r="E34" s="328"/>
      <c r="F34" s="334"/>
      <c r="G34" s="332"/>
      <c r="H34" s="332"/>
      <c r="I34" s="335"/>
    </row>
    <row r="35" spans="2:9" x14ac:dyDescent="0.25">
      <c r="B35" s="334" t="s">
        <v>172</v>
      </c>
      <c r="C35" s="327"/>
      <c r="D35" s="336"/>
      <c r="E35" s="328"/>
      <c r="F35" s="334" t="s">
        <v>173</v>
      </c>
      <c r="G35" s="332"/>
      <c r="H35" s="332"/>
      <c r="I35" s="335"/>
    </row>
    <row r="36" spans="2:9" x14ac:dyDescent="0.25">
      <c r="B36" s="334" t="s">
        <v>174</v>
      </c>
      <c r="C36" s="327" t="s">
        <v>689</v>
      </c>
      <c r="D36" s="335">
        <v>5662300000</v>
      </c>
      <c r="E36" s="328">
        <v>5662300000</v>
      </c>
      <c r="F36" s="334" t="s">
        <v>175</v>
      </c>
      <c r="G36" s="332"/>
      <c r="H36" s="335">
        <v>0</v>
      </c>
      <c r="I36" s="335">
        <v>0</v>
      </c>
    </row>
    <row r="37" spans="2:9" x14ac:dyDescent="0.25">
      <c r="B37" s="330" t="s">
        <v>176</v>
      </c>
      <c r="C37" s="327"/>
      <c r="D37" s="270">
        <v>4912300000</v>
      </c>
      <c r="E37" s="331">
        <v>4912300000</v>
      </c>
      <c r="F37" s="330" t="s">
        <v>133</v>
      </c>
      <c r="G37" s="332" t="s">
        <v>134</v>
      </c>
      <c r="H37" s="270">
        <v>0</v>
      </c>
      <c r="I37" s="270">
        <v>0</v>
      </c>
    </row>
    <row r="38" spans="2:9" x14ac:dyDescent="0.25">
      <c r="B38" s="330" t="s">
        <v>177</v>
      </c>
      <c r="C38" s="327"/>
      <c r="D38" s="270">
        <v>0</v>
      </c>
      <c r="E38" s="331">
        <v>0</v>
      </c>
      <c r="F38" s="330" t="s">
        <v>178</v>
      </c>
      <c r="G38" s="332"/>
      <c r="H38" s="270">
        <v>0</v>
      </c>
      <c r="I38" s="270">
        <v>0</v>
      </c>
    </row>
    <row r="39" spans="2:9" x14ac:dyDescent="0.25">
      <c r="B39" s="330" t="s">
        <v>179</v>
      </c>
      <c r="C39" s="327"/>
      <c r="D39" s="270">
        <v>750000000</v>
      </c>
      <c r="E39" s="331">
        <v>750000000</v>
      </c>
      <c r="F39" s="330" t="s">
        <v>136</v>
      </c>
      <c r="G39" s="332"/>
      <c r="H39" s="270">
        <v>0</v>
      </c>
      <c r="I39" s="270">
        <v>0</v>
      </c>
    </row>
    <row r="40" spans="2:9" x14ac:dyDescent="0.25">
      <c r="B40" s="330" t="s">
        <v>140</v>
      </c>
      <c r="C40" s="327"/>
      <c r="D40" s="270">
        <v>0</v>
      </c>
      <c r="E40" s="331">
        <v>0</v>
      </c>
      <c r="F40" s="330" t="s">
        <v>180</v>
      </c>
      <c r="G40" s="332" t="s">
        <v>132</v>
      </c>
      <c r="H40" s="270">
        <v>0</v>
      </c>
      <c r="I40" s="270">
        <v>0</v>
      </c>
    </row>
    <row r="41" spans="2:9" x14ac:dyDescent="0.25">
      <c r="B41" s="330"/>
      <c r="C41" s="327"/>
      <c r="D41" s="336"/>
      <c r="E41" s="331"/>
      <c r="F41" s="330" t="s">
        <v>181</v>
      </c>
      <c r="G41" s="332"/>
      <c r="H41" s="270">
        <v>0</v>
      </c>
      <c r="I41" s="270">
        <v>0</v>
      </c>
    </row>
    <row r="42" spans="2:9" x14ac:dyDescent="0.25">
      <c r="B42" s="334" t="s">
        <v>145</v>
      </c>
      <c r="C42" s="327"/>
      <c r="D42" s="335">
        <v>0</v>
      </c>
      <c r="E42" s="328">
        <v>0</v>
      </c>
      <c r="F42" s="330"/>
      <c r="G42" s="332"/>
      <c r="H42" s="332"/>
      <c r="I42" s="270"/>
    </row>
    <row r="43" spans="2:9" x14ac:dyDescent="0.25">
      <c r="B43" s="330" t="s">
        <v>182</v>
      </c>
      <c r="C43" s="327"/>
      <c r="D43" s="270">
        <v>0</v>
      </c>
      <c r="E43" s="331">
        <v>0</v>
      </c>
      <c r="F43" s="334" t="s">
        <v>139</v>
      </c>
      <c r="G43" s="332" t="s">
        <v>150</v>
      </c>
      <c r="H43" s="335">
        <v>0</v>
      </c>
      <c r="I43" s="335">
        <v>0</v>
      </c>
    </row>
    <row r="44" spans="2:9" x14ac:dyDescent="0.25">
      <c r="B44" s="330" t="s">
        <v>183</v>
      </c>
      <c r="C44" s="327"/>
      <c r="D44" s="270">
        <v>0</v>
      </c>
      <c r="E44" s="331">
        <v>0</v>
      </c>
      <c r="F44" s="330" t="s">
        <v>184</v>
      </c>
      <c r="G44" s="332"/>
      <c r="H44" s="270">
        <v>0</v>
      </c>
      <c r="I44" s="270">
        <v>0</v>
      </c>
    </row>
    <row r="45" spans="2:9" x14ac:dyDescent="0.25">
      <c r="B45" s="330" t="s">
        <v>185</v>
      </c>
      <c r="C45" s="327"/>
      <c r="D45" s="270">
        <v>0</v>
      </c>
      <c r="E45" s="331">
        <v>0</v>
      </c>
      <c r="F45" s="330" t="s">
        <v>186</v>
      </c>
      <c r="G45" s="332"/>
      <c r="H45" s="270">
        <v>0</v>
      </c>
      <c r="I45" s="270">
        <v>0</v>
      </c>
    </row>
    <row r="46" spans="2:9" x14ac:dyDescent="0.25">
      <c r="B46" s="330" t="s">
        <v>154</v>
      </c>
      <c r="C46" s="327"/>
      <c r="D46" s="270">
        <v>0</v>
      </c>
      <c r="E46" s="331">
        <v>0</v>
      </c>
      <c r="F46" s="330"/>
      <c r="G46" s="332"/>
      <c r="H46" s="332"/>
      <c r="I46" s="270"/>
    </row>
    <row r="47" spans="2:9" x14ac:dyDescent="0.25">
      <c r="B47" s="330" t="s">
        <v>187</v>
      </c>
      <c r="C47" s="327"/>
      <c r="D47" s="270">
        <v>0</v>
      </c>
      <c r="E47" s="331">
        <v>0</v>
      </c>
      <c r="F47" s="334" t="s">
        <v>188</v>
      </c>
      <c r="G47" s="332" t="s">
        <v>189</v>
      </c>
      <c r="H47" s="335">
        <v>0</v>
      </c>
      <c r="I47" s="335">
        <v>0</v>
      </c>
    </row>
    <row r="48" spans="2:9" x14ac:dyDescent="0.25">
      <c r="B48" s="330" t="s">
        <v>158</v>
      </c>
      <c r="C48" s="327"/>
      <c r="D48" s="270">
        <v>0</v>
      </c>
      <c r="E48" s="331">
        <v>0</v>
      </c>
      <c r="F48" s="330" t="s">
        <v>190</v>
      </c>
      <c r="G48" s="332"/>
      <c r="H48" s="270">
        <v>0</v>
      </c>
      <c r="I48" s="270">
        <v>0</v>
      </c>
    </row>
    <row r="49" spans="2:9" x14ac:dyDescent="0.25">
      <c r="B49" s="330" t="s">
        <v>160</v>
      </c>
      <c r="C49" s="327"/>
      <c r="D49" s="270">
        <v>0</v>
      </c>
      <c r="E49" s="331">
        <v>0</v>
      </c>
      <c r="F49" s="330" t="s">
        <v>191</v>
      </c>
      <c r="G49" s="332"/>
      <c r="H49" s="270">
        <v>0</v>
      </c>
      <c r="I49" s="270">
        <v>0</v>
      </c>
    </row>
    <row r="50" spans="2:9" x14ac:dyDescent="0.25">
      <c r="B50" s="330"/>
      <c r="C50" s="327"/>
      <c r="D50" s="336"/>
      <c r="E50" s="331">
        <v>0</v>
      </c>
      <c r="F50" s="330" t="s">
        <v>192</v>
      </c>
      <c r="G50" s="332" t="s">
        <v>169</v>
      </c>
      <c r="H50" s="270">
        <v>0</v>
      </c>
      <c r="I50" s="270">
        <v>0</v>
      </c>
    </row>
    <row r="51" spans="2:9" x14ac:dyDescent="0.25">
      <c r="B51" s="334" t="s">
        <v>193</v>
      </c>
      <c r="C51" s="327" t="s">
        <v>690</v>
      </c>
      <c r="D51" s="336">
        <v>2976714335</v>
      </c>
      <c r="E51" s="328">
        <v>3165488705</v>
      </c>
      <c r="F51" s="330"/>
      <c r="G51" s="332"/>
      <c r="H51" s="332"/>
      <c r="I51" s="270"/>
    </row>
    <row r="52" spans="2:9" x14ac:dyDescent="0.25">
      <c r="B52" s="330" t="s">
        <v>194</v>
      </c>
      <c r="C52" s="327"/>
      <c r="D52" s="270">
        <v>-1034192905</v>
      </c>
      <c r="E52" s="331">
        <v>-943587858</v>
      </c>
      <c r="F52" s="334" t="s">
        <v>195</v>
      </c>
      <c r="G52" s="332"/>
      <c r="H52" s="335">
        <v>0</v>
      </c>
      <c r="I52" s="335">
        <v>0</v>
      </c>
    </row>
    <row r="53" spans="2:9" x14ac:dyDescent="0.25">
      <c r="B53" s="330"/>
      <c r="C53" s="327"/>
      <c r="D53" s="336"/>
      <c r="E53" s="331"/>
      <c r="F53" s="330"/>
      <c r="G53" s="332"/>
      <c r="H53" s="332"/>
      <c r="I53" s="335"/>
    </row>
    <row r="54" spans="2:9" x14ac:dyDescent="0.25">
      <c r="B54" s="330"/>
      <c r="C54" s="327"/>
      <c r="D54" s="336"/>
      <c r="E54" s="331"/>
      <c r="F54" s="334" t="s">
        <v>196</v>
      </c>
      <c r="G54" s="332"/>
      <c r="H54" s="335">
        <v>58770838669.11071</v>
      </c>
      <c r="I54" s="335">
        <v>65471203268</v>
      </c>
    </row>
    <row r="55" spans="2:9" x14ac:dyDescent="0.25">
      <c r="B55" s="334" t="s">
        <v>197</v>
      </c>
      <c r="C55" s="327"/>
      <c r="D55" s="337">
        <v>139878224</v>
      </c>
      <c r="E55" s="328">
        <v>0</v>
      </c>
      <c r="F55" s="330"/>
      <c r="G55" s="332"/>
      <c r="H55" s="332"/>
      <c r="I55" s="270"/>
    </row>
    <row r="56" spans="2:9" x14ac:dyDescent="0.25">
      <c r="B56" s="330" t="s">
        <v>198</v>
      </c>
      <c r="C56" s="327" t="s">
        <v>690</v>
      </c>
      <c r="D56" s="270">
        <v>192205759</v>
      </c>
      <c r="E56" s="331">
        <v>0</v>
      </c>
      <c r="F56" s="334" t="s">
        <v>199</v>
      </c>
      <c r="G56" s="332" t="s">
        <v>691</v>
      </c>
      <c r="H56" s="332"/>
      <c r="I56" s="335"/>
    </row>
    <row r="57" spans="2:9" x14ac:dyDescent="0.25">
      <c r="B57" s="330" t="s">
        <v>200</v>
      </c>
      <c r="C57" s="327"/>
      <c r="D57" s="270">
        <v>0</v>
      </c>
      <c r="E57" s="331">
        <v>0</v>
      </c>
      <c r="F57" s="330" t="s">
        <v>201</v>
      </c>
      <c r="G57" s="332"/>
      <c r="H57" s="270">
        <v>14763000000</v>
      </c>
      <c r="I57" s="270">
        <v>14763000000</v>
      </c>
    </row>
    <row r="58" spans="2:9" x14ac:dyDescent="0.25">
      <c r="B58" s="330" t="s">
        <v>202</v>
      </c>
      <c r="C58" s="327"/>
      <c r="D58" s="270">
        <v>0</v>
      </c>
      <c r="E58" s="331">
        <v>0</v>
      </c>
      <c r="F58" s="330" t="s">
        <v>203</v>
      </c>
      <c r="G58" s="332"/>
      <c r="H58" s="270">
        <v>735500000</v>
      </c>
      <c r="I58" s="270">
        <v>735500000</v>
      </c>
    </row>
    <row r="59" spans="2:9" x14ac:dyDescent="0.25">
      <c r="B59" s="330" t="s">
        <v>204</v>
      </c>
      <c r="C59" s="327"/>
      <c r="D59" s="270">
        <v>-52327535</v>
      </c>
      <c r="E59" s="331">
        <v>0</v>
      </c>
      <c r="F59" s="330" t="s">
        <v>205</v>
      </c>
      <c r="G59" s="332"/>
      <c r="H59" s="270">
        <v>914877692</v>
      </c>
      <c r="I59" s="270">
        <v>914877692</v>
      </c>
    </row>
    <row r="60" spans="2:9" x14ac:dyDescent="0.25">
      <c r="B60" s="330"/>
      <c r="C60" s="327"/>
      <c r="D60" s="336"/>
      <c r="E60" s="331"/>
      <c r="F60" s="330" t="s">
        <v>206</v>
      </c>
      <c r="G60" s="332"/>
      <c r="H60" s="270">
        <v>227468427</v>
      </c>
      <c r="I60" s="270">
        <v>227468427</v>
      </c>
    </row>
    <row r="61" spans="2:9" x14ac:dyDescent="0.25">
      <c r="B61" s="334" t="s">
        <v>207</v>
      </c>
      <c r="C61" s="327"/>
      <c r="D61" s="335">
        <v>125688966</v>
      </c>
      <c r="E61" s="328">
        <v>220963351</v>
      </c>
      <c r="F61" s="330" t="s">
        <v>208</v>
      </c>
      <c r="G61" s="332"/>
      <c r="H61" s="270">
        <v>4103634695</v>
      </c>
      <c r="I61" s="270">
        <v>0</v>
      </c>
    </row>
    <row r="62" spans="2:9" x14ac:dyDescent="0.25">
      <c r="B62" s="330" t="s">
        <v>209</v>
      </c>
      <c r="C62" s="327" t="s">
        <v>166</v>
      </c>
      <c r="D62" s="270">
        <v>125688966</v>
      </c>
      <c r="E62" s="331">
        <v>220963351</v>
      </c>
      <c r="F62" s="330" t="s">
        <v>210</v>
      </c>
      <c r="G62" s="332"/>
      <c r="H62" s="270">
        <v>1137024181</v>
      </c>
      <c r="I62" s="270">
        <v>4103634695</v>
      </c>
    </row>
    <row r="63" spans="2:9" x14ac:dyDescent="0.25">
      <c r="B63" s="330"/>
      <c r="C63" s="327"/>
      <c r="D63" s="336"/>
      <c r="E63" s="331"/>
      <c r="F63" s="330"/>
      <c r="G63" s="332"/>
      <c r="H63" s="332"/>
      <c r="I63" s="270"/>
    </row>
    <row r="64" spans="2:9" x14ac:dyDescent="0.25">
      <c r="B64" s="334" t="s">
        <v>211</v>
      </c>
      <c r="C64" s="327"/>
      <c r="D64" s="335">
        <v>7870388620</v>
      </c>
      <c r="E64" s="328">
        <v>8105164198</v>
      </c>
      <c r="F64" s="334" t="s">
        <v>212</v>
      </c>
      <c r="G64" s="332"/>
      <c r="H64" s="335">
        <v>21881504995</v>
      </c>
      <c r="I64" s="335">
        <v>20744480814</v>
      </c>
    </row>
    <row r="65" spans="2:9" x14ac:dyDescent="0.25">
      <c r="B65" s="330"/>
      <c r="C65" s="327"/>
      <c r="D65" s="336"/>
      <c r="E65" s="331"/>
      <c r="F65" s="330"/>
      <c r="G65" s="332"/>
      <c r="H65" s="332"/>
      <c r="I65" s="335"/>
    </row>
    <row r="66" spans="2:9" x14ac:dyDescent="0.25">
      <c r="B66" s="334" t="s">
        <v>213</v>
      </c>
      <c r="C66" s="327"/>
      <c r="D66" s="335">
        <v>80652343664.169281</v>
      </c>
      <c r="E66" s="328">
        <v>86215684082.360001</v>
      </c>
      <c r="F66" s="334" t="s">
        <v>214</v>
      </c>
      <c r="G66" s="332"/>
      <c r="H66" s="335">
        <v>80652343664.110718</v>
      </c>
      <c r="I66" s="335">
        <v>86215684082</v>
      </c>
    </row>
    <row r="67" spans="2:9" x14ac:dyDescent="0.25">
      <c r="B67" s="238"/>
      <c r="C67" s="239"/>
      <c r="D67" s="240"/>
      <c r="E67" s="241"/>
      <c r="F67" s="238"/>
      <c r="G67" s="242"/>
      <c r="H67" s="242"/>
      <c r="I67" s="243"/>
    </row>
    <row r="69" spans="2:9" x14ac:dyDescent="0.25">
      <c r="B69" s="301" t="s">
        <v>533</v>
      </c>
      <c r="C69" s="299" t="s">
        <v>117</v>
      </c>
      <c r="D69" s="300">
        <f>+D7</f>
        <v>43921</v>
      </c>
      <c r="E69" s="300">
        <v>43800</v>
      </c>
      <c r="F69" s="301" t="s">
        <v>534</v>
      </c>
      <c r="G69" s="301" t="s">
        <v>117</v>
      </c>
      <c r="H69" s="300">
        <f>+D69</f>
        <v>43921</v>
      </c>
      <c r="I69" s="300">
        <v>43800</v>
      </c>
    </row>
    <row r="70" spans="2:9" x14ac:dyDescent="0.25">
      <c r="B70" s="304" t="s">
        <v>699</v>
      </c>
      <c r="C70" s="381">
        <v>12</v>
      </c>
      <c r="D70" s="303">
        <v>146359880799</v>
      </c>
      <c r="E70" s="303">
        <v>146487346899</v>
      </c>
      <c r="F70" s="304" t="s">
        <v>701</v>
      </c>
      <c r="G70" s="381">
        <v>12</v>
      </c>
      <c r="H70" s="303">
        <f>+D70</f>
        <v>146359880799</v>
      </c>
      <c r="I70" s="346">
        <v>83075876681</v>
      </c>
    </row>
    <row r="71" spans="2:9" x14ac:dyDescent="0.25">
      <c r="B71" s="345" t="s">
        <v>700</v>
      </c>
      <c r="C71" s="382"/>
      <c r="D71" s="305">
        <v>5357437</v>
      </c>
      <c r="E71" s="305">
        <v>4401337</v>
      </c>
      <c r="F71" s="345" t="s">
        <v>702</v>
      </c>
      <c r="G71" s="382"/>
      <c r="H71" s="305">
        <f>+D71</f>
        <v>5357437</v>
      </c>
      <c r="I71" s="347">
        <f>+E71</f>
        <v>4401337</v>
      </c>
    </row>
    <row r="73" spans="2:9" x14ac:dyDescent="0.25">
      <c r="B73" s="380" t="s">
        <v>628</v>
      </c>
      <c r="C73" s="380"/>
      <c r="D73" s="380"/>
      <c r="E73" s="380"/>
      <c r="F73" s="380"/>
      <c r="G73" s="380"/>
      <c r="H73" s="380"/>
      <c r="I73" s="380"/>
    </row>
  </sheetData>
  <mergeCells count="7">
    <mergeCell ref="B2:I2"/>
    <mergeCell ref="B3:I3"/>
    <mergeCell ref="B4:I4"/>
    <mergeCell ref="B5:I5"/>
    <mergeCell ref="B73:I73"/>
    <mergeCell ref="C70:C71"/>
    <mergeCell ref="G70:G71"/>
  </mergeCells>
  <hyperlinks>
    <hyperlink ref="A1" location="ÍNDICE!A1" display="Indice" xr:uid="{0EB71D50-0B54-478A-8667-514F6BB43E98}"/>
    <hyperlink ref="C70" location="'10'!A35" display="'10'!A35" xr:uid="{BA0F2327-1ABF-4F3C-96D4-E40D0798CE05}"/>
    <hyperlink ref="G70" location="'10'!A35" display="'10'!A35" xr:uid="{EB5EB9DA-DCB7-4534-80F4-F06B59C144EA}"/>
  </hyperlinks>
  <pageMargins left="0.25" right="0.25" top="0.75"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E0F0-6BA6-4A38-B1EB-457DF84AC825}">
  <sheetPr>
    <pageSetUpPr fitToPage="1"/>
  </sheetPr>
  <dimension ref="A1:M21"/>
  <sheetViews>
    <sheetView showGridLines="0" topLeftCell="D1" zoomScaleNormal="100" workbookViewId="0">
      <selection activeCell="B7" sqref="B7:M18"/>
    </sheetView>
  </sheetViews>
  <sheetFormatPr baseColWidth="10" defaultColWidth="11.42578125" defaultRowHeight="15" x14ac:dyDescent="0.25"/>
  <cols>
    <col min="1" max="1" width="2.85546875" style="1" customWidth="1"/>
    <col min="2" max="2" width="29.7109375" style="1" bestFit="1" customWidth="1"/>
    <col min="3" max="3" width="18.85546875" style="1" bestFit="1" customWidth="1"/>
    <col min="4" max="4" width="18.7109375" style="1" bestFit="1" customWidth="1"/>
    <col min="5" max="5" width="19.140625" style="1" bestFit="1" customWidth="1"/>
    <col min="6" max="6" width="16.28515625" style="1" customWidth="1"/>
    <col min="7" max="7" width="14.85546875" style="1" bestFit="1" customWidth="1"/>
    <col min="8" max="8" width="12.5703125" style="1" bestFit="1" customWidth="1"/>
    <col min="9" max="9" width="15.140625" style="1" bestFit="1" customWidth="1"/>
    <col min="10" max="10" width="17" style="1" bestFit="1" customWidth="1"/>
    <col min="11" max="11" width="17.7109375" style="1" bestFit="1" customWidth="1"/>
    <col min="12" max="13" width="18.5703125" style="1" bestFit="1" customWidth="1"/>
    <col min="14" max="14" width="2.85546875" style="1" customWidth="1"/>
    <col min="15" max="16384" width="11.42578125" style="1"/>
  </cols>
  <sheetData>
    <row r="1" spans="1:13" x14ac:dyDescent="0.25">
      <c r="A1" s="2" t="s">
        <v>20</v>
      </c>
    </row>
    <row r="2" spans="1:13" x14ac:dyDescent="0.25">
      <c r="B2" s="367" t="s">
        <v>114</v>
      </c>
      <c r="C2" s="367"/>
      <c r="D2" s="367"/>
      <c r="E2" s="367"/>
      <c r="F2" s="367"/>
      <c r="G2" s="367"/>
      <c r="H2" s="367"/>
      <c r="I2" s="367"/>
      <c r="J2" s="367"/>
      <c r="K2" s="367"/>
      <c r="L2" s="367"/>
      <c r="M2" s="367"/>
    </row>
    <row r="3" spans="1:13" x14ac:dyDescent="0.25">
      <c r="B3" s="367" t="s">
        <v>224</v>
      </c>
      <c r="C3" s="367"/>
      <c r="D3" s="367"/>
      <c r="E3" s="367"/>
      <c r="F3" s="367"/>
      <c r="G3" s="367"/>
      <c r="H3" s="367"/>
      <c r="I3" s="367"/>
      <c r="J3" s="367"/>
      <c r="K3" s="367"/>
      <c r="L3" s="367"/>
      <c r="M3" s="367"/>
    </row>
    <row r="4" spans="1:13" x14ac:dyDescent="0.25">
      <c r="B4" s="367" t="s">
        <v>631</v>
      </c>
      <c r="C4" s="367"/>
      <c r="D4" s="367"/>
      <c r="E4" s="367"/>
      <c r="F4" s="367"/>
      <c r="G4" s="367"/>
      <c r="H4" s="367"/>
      <c r="I4" s="367"/>
      <c r="J4" s="367"/>
      <c r="K4" s="367"/>
      <c r="L4" s="367"/>
      <c r="M4" s="367"/>
    </row>
    <row r="5" spans="1:13" x14ac:dyDescent="0.25">
      <c r="B5" s="367" t="s">
        <v>115</v>
      </c>
      <c r="C5" s="367"/>
      <c r="D5" s="367"/>
      <c r="E5" s="367"/>
      <c r="F5" s="367"/>
      <c r="G5" s="367"/>
      <c r="H5" s="367"/>
      <c r="I5" s="367"/>
      <c r="J5" s="367"/>
      <c r="K5" s="367"/>
      <c r="L5" s="367"/>
      <c r="M5" s="367"/>
    </row>
    <row r="7" spans="1:13" x14ac:dyDescent="0.25">
      <c r="B7" s="383" t="s">
        <v>225</v>
      </c>
      <c r="C7" s="385" t="s">
        <v>226</v>
      </c>
      <c r="D7" s="386"/>
      <c r="E7" s="386"/>
      <c r="F7" s="387"/>
      <c r="G7" s="385" t="s">
        <v>227</v>
      </c>
      <c r="H7" s="386"/>
      <c r="I7" s="387"/>
      <c r="J7" s="385" t="s">
        <v>228</v>
      </c>
      <c r="K7" s="387"/>
      <c r="L7" s="385" t="s">
        <v>199</v>
      </c>
      <c r="M7" s="387"/>
    </row>
    <row r="8" spans="1:13" ht="30" x14ac:dyDescent="0.25">
      <c r="B8" s="384"/>
      <c r="C8" s="116" t="s">
        <v>229</v>
      </c>
      <c r="D8" s="116" t="s">
        <v>230</v>
      </c>
      <c r="E8" s="116" t="s">
        <v>231</v>
      </c>
      <c r="F8" s="146" t="s">
        <v>232</v>
      </c>
      <c r="G8" s="116" t="s">
        <v>233</v>
      </c>
      <c r="H8" s="116" t="s">
        <v>234</v>
      </c>
      <c r="I8" s="116" t="s">
        <v>235</v>
      </c>
      <c r="J8" s="116" t="s">
        <v>236</v>
      </c>
      <c r="K8" s="116" t="s">
        <v>237</v>
      </c>
      <c r="L8" s="117">
        <v>43921</v>
      </c>
      <c r="M8" s="117">
        <v>43555</v>
      </c>
    </row>
    <row r="9" spans="1:13" x14ac:dyDescent="0.25">
      <c r="B9" s="84" t="s">
        <v>238</v>
      </c>
      <c r="C9" s="75">
        <v>16263000000</v>
      </c>
      <c r="D9" s="75">
        <f>+C9-E9</f>
        <v>1500000000</v>
      </c>
      <c r="E9" s="75">
        <v>14763000000</v>
      </c>
      <c r="F9" s="75">
        <v>735500000</v>
      </c>
      <c r="G9" s="75">
        <v>914877692</v>
      </c>
      <c r="H9" s="75">
        <v>0</v>
      </c>
      <c r="I9" s="75">
        <v>227468427</v>
      </c>
      <c r="J9" s="75">
        <v>0</v>
      </c>
      <c r="K9" s="75">
        <v>4103634695</v>
      </c>
      <c r="L9" s="75">
        <f>SUM(E9:K9)</f>
        <v>20744480814</v>
      </c>
      <c r="M9" s="75">
        <v>18074620382</v>
      </c>
    </row>
    <row r="10" spans="1:13" x14ac:dyDescent="0.25">
      <c r="B10" s="64" t="s">
        <v>239</v>
      </c>
      <c r="C10" s="75">
        <v>0</v>
      </c>
      <c r="D10" s="75">
        <v>0</v>
      </c>
      <c r="E10" s="75">
        <v>0</v>
      </c>
      <c r="F10" s="75">
        <v>0</v>
      </c>
      <c r="G10" s="75">
        <v>0</v>
      </c>
      <c r="H10" s="75">
        <v>0</v>
      </c>
      <c r="I10" s="75">
        <v>0</v>
      </c>
      <c r="J10" s="75">
        <v>4103634695</v>
      </c>
      <c r="K10" s="75">
        <f>-J10</f>
        <v>-4103634695</v>
      </c>
      <c r="L10" s="75">
        <v>0</v>
      </c>
      <c r="M10" s="75">
        <v>0</v>
      </c>
    </row>
    <row r="11" spans="1:13" x14ac:dyDescent="0.25">
      <c r="B11" s="84" t="s">
        <v>240</v>
      </c>
      <c r="C11" s="233">
        <v>0</v>
      </c>
      <c r="D11" s="233">
        <v>0</v>
      </c>
      <c r="E11" s="233">
        <v>0</v>
      </c>
      <c r="F11" s="233">
        <v>0</v>
      </c>
      <c r="G11" s="233">
        <v>0</v>
      </c>
      <c r="H11" s="233">
        <v>0</v>
      </c>
      <c r="I11" s="233">
        <v>0</v>
      </c>
      <c r="J11" s="233">
        <v>0</v>
      </c>
      <c r="K11" s="233">
        <v>0</v>
      </c>
      <c r="L11" s="233">
        <f>SUM(E11:K11)</f>
        <v>0</v>
      </c>
      <c r="M11" s="233">
        <v>0</v>
      </c>
    </row>
    <row r="12" spans="1:13" x14ac:dyDescent="0.25">
      <c r="B12" s="84" t="s">
        <v>241</v>
      </c>
      <c r="C12" s="233">
        <v>0</v>
      </c>
      <c r="D12" s="233">
        <v>0</v>
      </c>
      <c r="E12" s="233">
        <v>0</v>
      </c>
      <c r="F12" s="233">
        <v>0</v>
      </c>
      <c r="G12" s="233">
        <v>0</v>
      </c>
      <c r="H12" s="233">
        <v>0</v>
      </c>
      <c r="I12" s="233">
        <v>0</v>
      </c>
      <c r="J12" s="233">
        <v>0</v>
      </c>
      <c r="K12" s="233">
        <v>0</v>
      </c>
      <c r="L12" s="233">
        <f>SUM(C12:K12)</f>
        <v>0</v>
      </c>
      <c r="M12" s="233">
        <v>-1987297936</v>
      </c>
    </row>
    <row r="13" spans="1:13" x14ac:dyDescent="0.25">
      <c r="B13" s="84" t="s">
        <v>205</v>
      </c>
      <c r="C13" s="233">
        <v>0</v>
      </c>
      <c r="D13" s="233">
        <v>0</v>
      </c>
      <c r="E13" s="233">
        <v>0</v>
      </c>
      <c r="F13" s="233">
        <v>0</v>
      </c>
      <c r="G13" s="233">
        <v>0</v>
      </c>
      <c r="H13" s="233">
        <v>0</v>
      </c>
      <c r="I13" s="233">
        <v>0</v>
      </c>
      <c r="J13" s="233">
        <v>0</v>
      </c>
      <c r="K13" s="233">
        <f>-G13</f>
        <v>0</v>
      </c>
      <c r="L13" s="233">
        <f>SUM(C13:K13)</f>
        <v>0</v>
      </c>
      <c r="M13" s="233">
        <v>0</v>
      </c>
    </row>
    <row r="14" spans="1:13" x14ac:dyDescent="0.25">
      <c r="B14" s="84" t="s">
        <v>242</v>
      </c>
      <c r="C14" s="233">
        <v>0</v>
      </c>
      <c r="D14" s="233">
        <v>0</v>
      </c>
      <c r="E14" s="233">
        <v>0</v>
      </c>
      <c r="F14" s="233">
        <v>0</v>
      </c>
      <c r="G14" s="233">
        <v>0</v>
      </c>
      <c r="H14" s="233">
        <v>0</v>
      </c>
      <c r="I14" s="233">
        <v>0</v>
      </c>
      <c r="J14" s="233">
        <v>0</v>
      </c>
      <c r="K14" s="233">
        <v>0</v>
      </c>
      <c r="L14" s="233">
        <f>SUM(C14:K14)</f>
        <v>0</v>
      </c>
      <c r="M14" s="233">
        <v>0</v>
      </c>
    </row>
    <row r="15" spans="1:13" x14ac:dyDescent="0.25">
      <c r="B15" s="84" t="s">
        <v>632</v>
      </c>
      <c r="C15" s="233">
        <v>0</v>
      </c>
      <c r="D15" s="233">
        <v>0</v>
      </c>
      <c r="E15" s="233">
        <v>0</v>
      </c>
      <c r="F15" s="233">
        <v>0</v>
      </c>
      <c r="G15" s="233">
        <v>0</v>
      </c>
      <c r="H15" s="233">
        <v>0</v>
      </c>
      <c r="I15" s="233">
        <v>0</v>
      </c>
      <c r="J15" s="233">
        <v>0</v>
      </c>
      <c r="K15" s="233">
        <v>0</v>
      </c>
      <c r="L15" s="233">
        <f>SUM(C15:K15)</f>
        <v>0</v>
      </c>
      <c r="M15" s="233"/>
    </row>
    <row r="16" spans="1:13" x14ac:dyDescent="0.25">
      <c r="B16" s="84" t="s">
        <v>210</v>
      </c>
      <c r="C16" s="233">
        <v>0</v>
      </c>
      <c r="D16" s="233">
        <v>0</v>
      </c>
      <c r="E16" s="233">
        <v>0</v>
      </c>
      <c r="F16" s="233">
        <v>0</v>
      </c>
      <c r="G16" s="233">
        <v>0</v>
      </c>
      <c r="H16" s="233">
        <v>0</v>
      </c>
      <c r="I16" s="233">
        <v>0</v>
      </c>
      <c r="J16" s="233">
        <v>0</v>
      </c>
      <c r="K16" s="233">
        <f>+[1]EERR!E78</f>
        <v>1137024181</v>
      </c>
      <c r="L16" s="233">
        <f>SUM(C16:K16)</f>
        <v>1137024181</v>
      </c>
      <c r="M16" s="233">
        <v>1409843970</v>
      </c>
    </row>
    <row r="17" spans="2:13" x14ac:dyDescent="0.25">
      <c r="B17" s="117">
        <f>+L8</f>
        <v>43921</v>
      </c>
      <c r="C17" s="75">
        <f>SUM(C9:C16)</f>
        <v>16263000000</v>
      </c>
      <c r="D17" s="75">
        <f>+C17-E17</f>
        <v>1500000000</v>
      </c>
      <c r="E17" s="75">
        <f>SUM(E9:E16)</f>
        <v>14763000000</v>
      </c>
      <c r="F17" s="75">
        <f>SUM(F9:F16)</f>
        <v>735500000</v>
      </c>
      <c r="G17" s="75">
        <f t="shared" ref="G17:K17" si="0">SUM(G9:G16)</f>
        <v>914877692</v>
      </c>
      <c r="H17" s="75">
        <f t="shared" si="0"/>
        <v>0</v>
      </c>
      <c r="I17" s="75">
        <f t="shared" si="0"/>
        <v>227468427</v>
      </c>
      <c r="J17" s="75">
        <f t="shared" si="0"/>
        <v>4103634695</v>
      </c>
      <c r="K17" s="75">
        <f t="shared" si="0"/>
        <v>1137024181</v>
      </c>
      <c r="L17" s="75">
        <f>SUM(E17:K17)</f>
        <v>21881504995</v>
      </c>
      <c r="M17" s="75">
        <v>0</v>
      </c>
    </row>
    <row r="18" spans="2:13" x14ac:dyDescent="0.25">
      <c r="B18" s="117">
        <f>+M8</f>
        <v>43555</v>
      </c>
      <c r="C18" s="75">
        <v>16213000000</v>
      </c>
      <c r="D18" s="75">
        <f>+C18-E18</f>
        <v>1500000000</v>
      </c>
      <c r="E18" s="75">
        <v>14713000000</v>
      </c>
      <c r="F18" s="75">
        <v>299826165</v>
      </c>
      <c r="G18" s="75">
        <f>157226207+757651485</f>
        <v>914877692</v>
      </c>
      <c r="H18" s="75"/>
      <c r="I18" s="75">
        <v>159618589</v>
      </c>
      <c r="J18" s="75">
        <v>0</v>
      </c>
      <c r="K18" s="75">
        <f>+'[1]AUX BBGG'!C232</f>
        <v>1409843970</v>
      </c>
      <c r="L18" s="75"/>
      <c r="M18" s="75">
        <f>SUM(E18:L18)</f>
        <v>17497166416</v>
      </c>
    </row>
    <row r="19" spans="2:13" x14ac:dyDescent="0.25">
      <c r="E19" s="38">
        <f>+E17+D17-C17</f>
        <v>0</v>
      </c>
    </row>
    <row r="20" spans="2:13" x14ac:dyDescent="0.25">
      <c r="C20" s="38"/>
      <c r="E20" s="38"/>
    </row>
    <row r="21" spans="2:13" x14ac:dyDescent="0.25">
      <c r="B21" s="380" t="s">
        <v>628</v>
      </c>
      <c r="C21" s="380"/>
      <c r="D21" s="380"/>
      <c r="E21" s="380"/>
      <c r="F21" s="380"/>
      <c r="G21" s="380"/>
      <c r="H21" s="380"/>
      <c r="I21" s="380"/>
      <c r="J21" s="380"/>
      <c r="K21" s="380"/>
      <c r="L21" s="380"/>
      <c r="M21" s="380"/>
    </row>
  </sheetData>
  <mergeCells count="10">
    <mergeCell ref="B21:M21"/>
    <mergeCell ref="B2:M2"/>
    <mergeCell ref="B3:M3"/>
    <mergeCell ref="B4:M4"/>
    <mergeCell ref="B5:M5"/>
    <mergeCell ref="B7:B8"/>
    <mergeCell ref="C7:F7"/>
    <mergeCell ref="G7:I7"/>
    <mergeCell ref="J7:K7"/>
    <mergeCell ref="L7:M7"/>
  </mergeCells>
  <hyperlinks>
    <hyperlink ref="A1" location="ÍNDICE!A1" display="Indice" xr:uid="{66EE9E98-529F-4337-A065-2472FB672370}"/>
  </hyperlinks>
  <pageMargins left="0.25" right="0.25" top="0.75" bottom="0.75" header="0.3" footer="0.3"/>
  <pageSetup paperSize="9" scale="65" orientation="landscape" r:id="rId1"/>
  <ignoredErrors>
    <ignoredError sqref="D17" formula="1"/>
    <ignoredError sqref="L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24E6-0C3A-4355-A4A5-355343C737DD}">
  <sheetPr>
    <pageSetUpPr fitToPage="1"/>
  </sheetPr>
  <dimension ref="A1:H84"/>
  <sheetViews>
    <sheetView showGridLines="0" topLeftCell="A30" zoomScaleNormal="100" workbookViewId="0">
      <selection activeCell="G32" sqref="G32"/>
    </sheetView>
  </sheetViews>
  <sheetFormatPr baseColWidth="10" defaultColWidth="11.42578125" defaultRowHeight="15" x14ac:dyDescent="0.25"/>
  <cols>
    <col min="1" max="1" width="2.85546875" style="1" customWidth="1"/>
    <col min="2" max="2" width="38.5703125" style="1" customWidth="1"/>
    <col min="3" max="4" width="15.7109375" style="1" customWidth="1"/>
    <col min="5" max="5" width="17" style="1" customWidth="1"/>
    <col min="6" max="8" width="15.7109375" style="1" customWidth="1"/>
    <col min="9" max="9" width="2.85546875" style="1" customWidth="1"/>
    <col min="10" max="10" width="14" style="1" customWidth="1"/>
    <col min="11" max="11" width="15" style="1" customWidth="1"/>
    <col min="12" max="16384" width="11.42578125" style="1"/>
  </cols>
  <sheetData>
    <row r="1" spans="1:8" x14ac:dyDescent="0.25">
      <c r="A1" s="2" t="s">
        <v>20</v>
      </c>
    </row>
    <row r="2" spans="1:8" x14ac:dyDescent="0.25">
      <c r="B2" s="367" t="s">
        <v>114</v>
      </c>
      <c r="C2" s="367"/>
      <c r="D2" s="367"/>
      <c r="E2" s="367"/>
      <c r="F2" s="367"/>
      <c r="G2" s="367"/>
      <c r="H2" s="367"/>
    </row>
    <row r="3" spans="1:8" x14ac:dyDescent="0.25">
      <c r="B3" s="398" t="s">
        <v>633</v>
      </c>
      <c r="C3" s="398"/>
      <c r="D3" s="398"/>
      <c r="E3" s="398"/>
      <c r="F3" s="398"/>
      <c r="G3" s="398"/>
      <c r="H3" s="398"/>
    </row>
    <row r="5" spans="1:8" x14ac:dyDescent="0.25">
      <c r="B5" s="364" t="s">
        <v>243</v>
      </c>
      <c r="C5" s="364"/>
      <c r="D5" s="364"/>
      <c r="E5" s="364"/>
      <c r="F5" s="364"/>
      <c r="G5" s="364"/>
      <c r="H5" s="364"/>
    </row>
    <row r="7" spans="1:8" ht="16.5" customHeight="1" x14ac:dyDescent="0.25">
      <c r="B7" s="399" t="s">
        <v>696</v>
      </c>
      <c r="C7" s="399"/>
      <c r="D7" s="399"/>
      <c r="E7" s="399"/>
      <c r="F7" s="399"/>
      <c r="G7" s="399"/>
      <c r="H7" s="399"/>
    </row>
    <row r="9" spans="1:8" x14ac:dyDescent="0.25">
      <c r="B9" s="364" t="s">
        <v>244</v>
      </c>
      <c r="C9" s="364"/>
      <c r="D9" s="364"/>
      <c r="E9" s="364"/>
      <c r="F9" s="364"/>
      <c r="G9" s="364"/>
      <c r="H9" s="364"/>
    </row>
    <row r="11" spans="1:8" x14ac:dyDescent="0.25">
      <c r="B11" s="372" t="s">
        <v>245</v>
      </c>
      <c r="C11" s="372"/>
      <c r="D11" s="372"/>
      <c r="E11" s="372"/>
      <c r="F11" s="372"/>
      <c r="G11" s="372"/>
      <c r="H11" s="372"/>
    </row>
    <row r="12" spans="1:8" ht="16.5" customHeight="1" x14ac:dyDescent="0.25">
      <c r="B12" s="366" t="s">
        <v>569</v>
      </c>
      <c r="C12" s="366"/>
      <c r="D12" s="366"/>
      <c r="E12" s="366"/>
      <c r="F12" s="366"/>
      <c r="G12" s="366"/>
      <c r="H12" s="366"/>
    </row>
    <row r="13" spans="1:8" x14ac:dyDescent="0.25">
      <c r="B13" s="366"/>
      <c r="C13" s="366"/>
      <c r="D13" s="366"/>
      <c r="E13" s="366"/>
      <c r="F13" s="366"/>
      <c r="G13" s="366"/>
      <c r="H13" s="366"/>
    </row>
    <row r="14" spans="1:8" x14ac:dyDescent="0.25">
      <c r="B14" s="366"/>
      <c r="C14" s="366"/>
      <c r="D14" s="366"/>
      <c r="E14" s="366"/>
      <c r="F14" s="366"/>
      <c r="G14" s="366"/>
      <c r="H14" s="366"/>
    </row>
    <row r="15" spans="1:8" x14ac:dyDescent="0.25">
      <c r="B15" s="366"/>
      <c r="C15" s="366"/>
      <c r="D15" s="366"/>
      <c r="E15" s="366"/>
      <c r="F15" s="366"/>
      <c r="G15" s="366"/>
      <c r="H15" s="366"/>
    </row>
    <row r="16" spans="1:8" x14ac:dyDescent="0.25">
      <c r="B16" s="366"/>
      <c r="C16" s="366"/>
      <c r="D16" s="366"/>
      <c r="E16" s="366"/>
      <c r="F16" s="366"/>
      <c r="G16" s="366"/>
      <c r="H16" s="366"/>
    </row>
    <row r="17" spans="2:8" x14ac:dyDescent="0.25">
      <c r="B17" s="366"/>
      <c r="C17" s="366"/>
      <c r="D17" s="366"/>
      <c r="E17" s="366"/>
      <c r="F17" s="366"/>
      <c r="G17" s="366"/>
      <c r="H17" s="366"/>
    </row>
    <row r="18" spans="2:8" x14ac:dyDescent="0.25">
      <c r="B18" s="366"/>
      <c r="C18" s="366"/>
      <c r="D18" s="366"/>
      <c r="E18" s="366"/>
      <c r="F18" s="366"/>
      <c r="G18" s="366"/>
      <c r="H18" s="366"/>
    </row>
    <row r="19" spans="2:8" x14ac:dyDescent="0.25">
      <c r="B19" s="366"/>
      <c r="C19" s="366"/>
      <c r="D19" s="366"/>
      <c r="E19" s="366"/>
      <c r="F19" s="366"/>
      <c r="G19" s="366"/>
      <c r="H19" s="366"/>
    </row>
    <row r="20" spans="2:8" x14ac:dyDescent="0.25">
      <c r="B20" s="366"/>
      <c r="C20" s="366"/>
      <c r="D20" s="366"/>
      <c r="E20" s="366"/>
      <c r="F20" s="366"/>
      <c r="G20" s="366"/>
      <c r="H20" s="366"/>
    </row>
    <row r="21" spans="2:8" x14ac:dyDescent="0.25">
      <c r="B21" s="366"/>
      <c r="C21" s="366"/>
      <c r="D21" s="366"/>
      <c r="E21" s="366"/>
      <c r="F21" s="366"/>
      <c r="G21" s="366"/>
      <c r="H21" s="366"/>
    </row>
    <row r="22" spans="2:8" x14ac:dyDescent="0.25">
      <c r="B22" s="366"/>
      <c r="C22" s="366"/>
      <c r="D22" s="366"/>
      <c r="E22" s="366"/>
      <c r="F22" s="366"/>
      <c r="G22" s="366"/>
      <c r="H22" s="366"/>
    </row>
    <row r="23" spans="2:8" x14ac:dyDescent="0.25">
      <c r="B23" s="366"/>
      <c r="C23" s="366"/>
      <c r="D23" s="366"/>
      <c r="E23" s="366"/>
      <c r="F23" s="366"/>
      <c r="G23" s="366"/>
      <c r="H23" s="366"/>
    </row>
    <row r="24" spans="2:8" x14ac:dyDescent="0.25">
      <c r="B24" s="366"/>
      <c r="C24" s="366"/>
      <c r="D24" s="366"/>
      <c r="E24" s="366"/>
      <c r="F24" s="366"/>
      <c r="G24" s="366"/>
      <c r="H24" s="366"/>
    </row>
    <row r="25" spans="2:8" x14ac:dyDescent="0.25">
      <c r="B25" s="366"/>
      <c r="C25" s="366"/>
      <c r="D25" s="366"/>
      <c r="E25" s="366"/>
      <c r="F25" s="366"/>
      <c r="G25" s="366"/>
      <c r="H25" s="366"/>
    </row>
    <row r="26" spans="2:8" x14ac:dyDescent="0.25">
      <c r="B26" s="366"/>
      <c r="C26" s="366"/>
      <c r="D26" s="366"/>
      <c r="E26" s="366"/>
      <c r="F26" s="366"/>
      <c r="G26" s="366"/>
      <c r="H26" s="366"/>
    </row>
    <row r="27" spans="2:8" x14ac:dyDescent="0.25">
      <c r="B27" s="366"/>
      <c r="C27" s="366"/>
      <c r="D27" s="366"/>
      <c r="E27" s="366"/>
      <c r="F27" s="366"/>
      <c r="G27" s="366"/>
      <c r="H27" s="366"/>
    </row>
    <row r="29" spans="2:8" x14ac:dyDescent="0.25">
      <c r="B29" s="364" t="s">
        <v>246</v>
      </c>
      <c r="C29" s="364"/>
      <c r="D29" s="364"/>
      <c r="E29" s="364"/>
      <c r="F29" s="364"/>
      <c r="G29" s="364"/>
      <c r="H29" s="364"/>
    </row>
    <row r="31" spans="2:8" ht="75" x14ac:dyDescent="0.25">
      <c r="B31" s="392" t="s">
        <v>247</v>
      </c>
      <c r="C31" s="393"/>
      <c r="D31" s="394"/>
      <c r="E31" s="60" t="s">
        <v>248</v>
      </c>
      <c r="F31" s="60" t="s">
        <v>249</v>
      </c>
      <c r="G31" s="60" t="s">
        <v>703</v>
      </c>
      <c r="H31" s="60" t="s">
        <v>250</v>
      </c>
    </row>
    <row r="32" spans="2:8" ht="28.5" customHeight="1" x14ac:dyDescent="0.25">
      <c r="B32" s="395" t="s">
        <v>251</v>
      </c>
      <c r="C32" s="396"/>
      <c r="D32" s="397"/>
      <c r="E32" s="230">
        <v>3560900000</v>
      </c>
      <c r="F32" s="231">
        <v>0.84664400009510454</v>
      </c>
      <c r="G32" s="231">
        <v>0.2412</v>
      </c>
      <c r="H32" s="123" t="s">
        <v>252</v>
      </c>
    </row>
    <row r="34" spans="2:8" x14ac:dyDescent="0.25">
      <c r="B34" s="364" t="s">
        <v>253</v>
      </c>
      <c r="C34" s="364"/>
      <c r="D34" s="364"/>
      <c r="E34" s="364"/>
      <c r="F34" s="364"/>
      <c r="G34" s="364"/>
      <c r="H34" s="364"/>
    </row>
    <row r="36" spans="2:8" x14ac:dyDescent="0.25">
      <c r="B36" s="364" t="s">
        <v>254</v>
      </c>
      <c r="C36" s="364"/>
      <c r="D36" s="364"/>
      <c r="E36" s="364"/>
      <c r="F36" s="364"/>
      <c r="G36" s="364"/>
      <c r="H36" s="364"/>
    </row>
    <row r="38" spans="2:8" x14ac:dyDescent="0.25">
      <c r="B38" s="366" t="s">
        <v>255</v>
      </c>
      <c r="C38" s="366"/>
      <c r="D38" s="366"/>
      <c r="E38" s="366"/>
      <c r="F38" s="366"/>
      <c r="G38" s="366"/>
      <c r="H38" s="366"/>
    </row>
    <row r="39" spans="2:8" x14ac:dyDescent="0.25">
      <c r="B39" s="366"/>
      <c r="C39" s="366"/>
      <c r="D39" s="366"/>
      <c r="E39" s="366"/>
      <c r="F39" s="366"/>
      <c r="G39" s="366"/>
      <c r="H39" s="366"/>
    </row>
    <row r="40" spans="2:8" x14ac:dyDescent="0.25">
      <c r="B40" s="366"/>
      <c r="C40" s="366"/>
      <c r="D40" s="366"/>
      <c r="E40" s="366"/>
      <c r="F40" s="366"/>
      <c r="G40" s="366"/>
      <c r="H40" s="366"/>
    </row>
    <row r="41" spans="2:8" x14ac:dyDescent="0.25">
      <c r="B41" s="366"/>
      <c r="C41" s="366"/>
      <c r="D41" s="366"/>
      <c r="E41" s="366"/>
      <c r="F41" s="366"/>
      <c r="G41" s="366"/>
      <c r="H41" s="366"/>
    </row>
    <row r="42" spans="2:8" x14ac:dyDescent="0.25">
      <c r="B42" s="366"/>
      <c r="C42" s="366"/>
      <c r="D42" s="366"/>
      <c r="E42" s="366"/>
      <c r="F42" s="366"/>
      <c r="G42" s="366"/>
      <c r="H42" s="366"/>
    </row>
    <row r="43" spans="2:8" x14ac:dyDescent="0.25">
      <c r="B43" s="366"/>
      <c r="C43" s="366"/>
      <c r="D43" s="366"/>
      <c r="E43" s="366"/>
      <c r="F43" s="366"/>
      <c r="G43" s="366"/>
      <c r="H43" s="366"/>
    </row>
    <row r="45" spans="2:8" x14ac:dyDescent="0.25">
      <c r="B45" s="364" t="s">
        <v>256</v>
      </c>
      <c r="C45" s="364"/>
      <c r="D45" s="364"/>
      <c r="E45" s="364"/>
      <c r="F45" s="364"/>
      <c r="G45" s="364"/>
      <c r="H45" s="364"/>
    </row>
    <row r="47" spans="2:8" x14ac:dyDescent="0.25">
      <c r="B47" s="389" t="s">
        <v>257</v>
      </c>
      <c r="C47" s="389"/>
      <c r="D47" s="389"/>
      <c r="E47" s="389"/>
      <c r="F47" s="389"/>
      <c r="G47" s="389"/>
      <c r="H47" s="389"/>
    </row>
    <row r="48" spans="2:8" x14ac:dyDescent="0.25">
      <c r="B48" s="389"/>
      <c r="C48" s="389"/>
      <c r="D48" s="389"/>
      <c r="E48" s="389"/>
      <c r="F48" s="389"/>
      <c r="G48" s="389"/>
      <c r="H48" s="389"/>
    </row>
    <row r="50" spans="2:8" x14ac:dyDescent="0.25">
      <c r="B50" s="368" t="s">
        <v>258</v>
      </c>
      <c r="C50" s="368"/>
      <c r="D50" s="368"/>
      <c r="E50" s="368"/>
      <c r="F50" s="368"/>
      <c r="G50" s="368"/>
      <c r="H50" s="368"/>
    </row>
    <row r="52" spans="2:8" x14ac:dyDescent="0.25">
      <c r="B52" s="366" t="s">
        <v>575</v>
      </c>
      <c r="C52" s="366"/>
      <c r="D52" s="366"/>
      <c r="E52" s="366"/>
      <c r="F52" s="366"/>
      <c r="G52" s="366"/>
      <c r="H52" s="366"/>
    </row>
    <row r="53" spans="2:8" x14ac:dyDescent="0.25">
      <c r="B53" s="366"/>
      <c r="C53" s="366"/>
      <c r="D53" s="366"/>
      <c r="E53" s="366"/>
      <c r="F53" s="366"/>
      <c r="G53" s="366"/>
      <c r="H53" s="366"/>
    </row>
    <row r="55" spans="2:8" x14ac:dyDescent="0.25">
      <c r="B55" s="364" t="s">
        <v>576</v>
      </c>
      <c r="C55" s="364"/>
      <c r="D55" s="364"/>
      <c r="E55" s="364"/>
      <c r="F55" s="364"/>
      <c r="G55" s="364"/>
      <c r="H55" s="364"/>
    </row>
    <row r="57" spans="2:8" x14ac:dyDescent="0.25">
      <c r="B57" s="390" t="s">
        <v>577</v>
      </c>
      <c r="C57" s="390"/>
      <c r="D57" s="390"/>
      <c r="E57" s="390"/>
      <c r="F57" s="390"/>
      <c r="G57" s="390"/>
      <c r="H57" s="390"/>
    </row>
    <row r="58" spans="2:8" x14ac:dyDescent="0.25">
      <c r="B58" s="390"/>
      <c r="C58" s="390"/>
      <c r="D58" s="390"/>
      <c r="E58" s="390"/>
      <c r="F58" s="390"/>
      <c r="G58" s="390"/>
      <c r="H58" s="390"/>
    </row>
    <row r="59" spans="2:8" x14ac:dyDescent="0.25">
      <c r="B59" s="390"/>
      <c r="C59" s="390"/>
      <c r="D59" s="390"/>
      <c r="E59" s="390"/>
      <c r="F59" s="390"/>
      <c r="G59" s="390"/>
      <c r="H59" s="390"/>
    </row>
    <row r="60" spans="2:8" x14ac:dyDescent="0.25">
      <c r="B60" s="390"/>
      <c r="C60" s="390"/>
      <c r="D60" s="390"/>
      <c r="E60" s="390"/>
      <c r="F60" s="390"/>
      <c r="G60" s="390"/>
      <c r="H60" s="390"/>
    </row>
    <row r="61" spans="2:8" x14ac:dyDescent="0.25">
      <c r="B61" s="390"/>
      <c r="C61" s="390"/>
      <c r="D61" s="390"/>
      <c r="E61" s="390"/>
      <c r="F61" s="390"/>
      <c r="G61" s="390"/>
      <c r="H61" s="390"/>
    </row>
    <row r="63" spans="2:8" x14ac:dyDescent="0.25">
      <c r="B63" s="368" t="s">
        <v>578</v>
      </c>
      <c r="C63" s="368"/>
      <c r="D63" s="368"/>
      <c r="E63" s="368"/>
      <c r="F63" s="368"/>
      <c r="G63" s="368"/>
      <c r="H63" s="368"/>
    </row>
    <row r="65" spans="2:8" ht="17.25" customHeight="1" x14ac:dyDescent="0.25">
      <c r="B65" s="366" t="s">
        <v>259</v>
      </c>
      <c r="C65" s="366"/>
      <c r="D65" s="366"/>
      <c r="E65" s="366"/>
      <c r="F65" s="366"/>
      <c r="G65" s="366"/>
      <c r="H65" s="366"/>
    </row>
    <row r="66" spans="2:8" x14ac:dyDescent="0.25">
      <c r="B66" s="366"/>
      <c r="C66" s="366"/>
      <c r="D66" s="366"/>
      <c r="E66" s="366"/>
      <c r="F66" s="366"/>
      <c r="G66" s="366"/>
      <c r="H66" s="366"/>
    </row>
    <row r="67" spans="2:8" x14ac:dyDescent="0.25">
      <c r="B67" s="366"/>
      <c r="C67" s="366"/>
      <c r="D67" s="366"/>
      <c r="E67" s="366"/>
      <c r="F67" s="366"/>
      <c r="G67" s="366"/>
      <c r="H67" s="366"/>
    </row>
    <row r="68" spans="2:8" x14ac:dyDescent="0.25">
      <c r="B68" s="366"/>
      <c r="C68" s="366"/>
      <c r="D68" s="366"/>
      <c r="E68" s="366"/>
      <c r="F68" s="366"/>
      <c r="G68" s="366"/>
      <c r="H68" s="366"/>
    </row>
    <row r="70" spans="2:8" x14ac:dyDescent="0.25">
      <c r="B70" s="364" t="s">
        <v>260</v>
      </c>
      <c r="C70" s="364"/>
      <c r="D70" s="364"/>
      <c r="E70" s="364"/>
      <c r="F70" s="364"/>
      <c r="G70" s="364"/>
      <c r="H70" s="364"/>
    </row>
    <row r="72" spans="2:8" x14ac:dyDescent="0.25">
      <c r="B72" s="391" t="s">
        <v>261</v>
      </c>
      <c r="C72" s="391"/>
      <c r="D72" s="391"/>
      <c r="E72" s="391"/>
      <c r="F72" s="391"/>
      <c r="G72" s="391"/>
      <c r="H72" s="391"/>
    </row>
    <row r="74" spans="2:8" x14ac:dyDescent="0.25">
      <c r="B74" s="364" t="s">
        <v>624</v>
      </c>
      <c r="C74" s="364"/>
      <c r="D74" s="364"/>
      <c r="E74" s="364"/>
      <c r="F74" s="364"/>
      <c r="G74" s="364"/>
      <c r="H74" s="364"/>
    </row>
    <row r="76" spans="2:8" x14ac:dyDescent="0.25">
      <c r="B76" s="366" t="s">
        <v>634</v>
      </c>
      <c r="C76" s="366"/>
      <c r="D76" s="366"/>
      <c r="E76" s="366"/>
      <c r="F76" s="366"/>
      <c r="G76" s="366"/>
      <c r="H76" s="366"/>
    </row>
    <row r="77" spans="2:8" x14ac:dyDescent="0.25">
      <c r="B77" s="366"/>
      <c r="C77" s="366"/>
      <c r="D77" s="366"/>
      <c r="E77" s="366"/>
      <c r="F77" s="366"/>
      <c r="G77" s="366"/>
      <c r="H77" s="366"/>
    </row>
    <row r="79" spans="2:8" x14ac:dyDescent="0.25">
      <c r="B79" s="368" t="s">
        <v>262</v>
      </c>
      <c r="C79" s="368"/>
      <c r="D79" s="368"/>
      <c r="E79" s="368"/>
      <c r="F79" s="368"/>
      <c r="G79" s="368"/>
      <c r="H79" s="368"/>
    </row>
    <row r="81" spans="2:8" ht="17.25" customHeight="1" x14ac:dyDescent="0.25">
      <c r="B81" s="388" t="s">
        <v>551</v>
      </c>
      <c r="C81" s="388"/>
      <c r="D81" s="388"/>
      <c r="E81" s="388"/>
      <c r="F81" s="388"/>
      <c r="G81" s="388"/>
      <c r="H81" s="388"/>
    </row>
    <row r="82" spans="2:8" x14ac:dyDescent="0.25">
      <c r="B82" s="388"/>
      <c r="C82" s="388"/>
      <c r="D82" s="388"/>
      <c r="E82" s="388"/>
      <c r="F82" s="388"/>
      <c r="G82" s="388"/>
      <c r="H82" s="388"/>
    </row>
    <row r="84" spans="2:8" x14ac:dyDescent="0.25">
      <c r="B84" s="232"/>
    </row>
  </sheetData>
  <mergeCells count="27">
    <mergeCell ref="B2:H2"/>
    <mergeCell ref="B63:H63"/>
    <mergeCell ref="B65:H68"/>
    <mergeCell ref="B70:H70"/>
    <mergeCell ref="B72:H72"/>
    <mergeCell ref="B29:H29"/>
    <mergeCell ref="B31:D31"/>
    <mergeCell ref="B32:D32"/>
    <mergeCell ref="B34:H34"/>
    <mergeCell ref="B36:H36"/>
    <mergeCell ref="B38:H43"/>
    <mergeCell ref="B3:H3"/>
    <mergeCell ref="B5:H5"/>
    <mergeCell ref="B7:H7"/>
    <mergeCell ref="B9:H9"/>
    <mergeCell ref="B11:H11"/>
    <mergeCell ref="B12:H27"/>
    <mergeCell ref="B79:H79"/>
    <mergeCell ref="B81:H82"/>
    <mergeCell ref="B45:H45"/>
    <mergeCell ref="B47:H48"/>
    <mergeCell ref="B50:H50"/>
    <mergeCell ref="B52:H53"/>
    <mergeCell ref="B55:H55"/>
    <mergeCell ref="B57:H61"/>
    <mergeCell ref="B74:H74"/>
    <mergeCell ref="B76:H77"/>
  </mergeCells>
  <hyperlinks>
    <hyperlink ref="A1" location="ÍNDICE!A1" display="Indice" xr:uid="{18B84307-4B0F-4C71-A482-09F81D0A6177}"/>
  </hyperlinks>
  <pageMargins left="0.25" right="0.25" top="0.75" bottom="0.75" header="0.3" footer="0.3"/>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39B4-8100-42CA-9902-643A759C16CF}">
  <sheetPr>
    <pageSetUpPr fitToPage="1"/>
  </sheetPr>
  <dimension ref="A1:J139"/>
  <sheetViews>
    <sheetView showGridLines="0" topLeftCell="A115" zoomScaleNormal="100" workbookViewId="0">
      <selection activeCell="B115" sqref="B115"/>
    </sheetView>
  </sheetViews>
  <sheetFormatPr baseColWidth="10" defaultColWidth="11.42578125" defaultRowHeight="15" x14ac:dyDescent="0.25"/>
  <cols>
    <col min="1" max="1" width="2.85546875" style="1" customWidth="1"/>
    <col min="2" max="2" width="42.5703125" style="1" customWidth="1"/>
    <col min="3" max="4" width="18.28515625" style="1" customWidth="1"/>
    <col min="5" max="5" width="16.140625" style="1" customWidth="1"/>
    <col min="6" max="6" width="17.7109375" style="1" bestFit="1" customWidth="1"/>
    <col min="7" max="7" width="17" style="1" customWidth="1"/>
    <col min="8" max="8" width="17.7109375" style="101" bestFit="1" customWidth="1"/>
    <col min="9" max="9" width="3" style="1" customWidth="1"/>
    <col min="10" max="10" width="18.42578125" style="1" customWidth="1"/>
    <col min="11" max="11" width="15" style="1" customWidth="1"/>
    <col min="12" max="16384" width="11.42578125" style="1"/>
  </cols>
  <sheetData>
    <row r="1" spans="1:8" x14ac:dyDescent="0.25">
      <c r="A1" s="2" t="s">
        <v>20</v>
      </c>
    </row>
    <row r="2" spans="1:8" x14ac:dyDescent="0.25">
      <c r="B2" s="367" t="s">
        <v>114</v>
      </c>
      <c r="C2" s="367"/>
      <c r="D2" s="367"/>
      <c r="E2" s="367"/>
      <c r="F2" s="367"/>
      <c r="G2" s="367"/>
      <c r="H2" s="367"/>
    </row>
    <row r="3" spans="1:8" x14ac:dyDescent="0.25">
      <c r="B3" s="398" t="s">
        <v>633</v>
      </c>
      <c r="C3" s="398"/>
      <c r="D3" s="398"/>
      <c r="E3" s="398"/>
      <c r="F3" s="398"/>
      <c r="G3" s="398"/>
      <c r="H3" s="398"/>
    </row>
    <row r="4" spans="1:8" x14ac:dyDescent="0.25">
      <c r="B4" s="134"/>
      <c r="C4" s="134"/>
      <c r="D4" s="134"/>
      <c r="E4" s="134"/>
      <c r="F4" s="134"/>
      <c r="G4" s="134"/>
      <c r="H4" s="237"/>
    </row>
    <row r="5" spans="1:8" x14ac:dyDescent="0.25">
      <c r="B5" s="368" t="s">
        <v>263</v>
      </c>
      <c r="C5" s="368"/>
      <c r="D5" s="368"/>
      <c r="E5" s="368"/>
      <c r="F5" s="368"/>
      <c r="G5" s="368"/>
      <c r="H5" s="368"/>
    </row>
    <row r="7" spans="1:8" x14ac:dyDescent="0.25">
      <c r="B7" s="364" t="s">
        <v>264</v>
      </c>
      <c r="C7" s="364"/>
      <c r="D7" s="364"/>
      <c r="E7" s="364"/>
      <c r="F7" s="364"/>
      <c r="G7" s="364"/>
      <c r="H7" s="364"/>
    </row>
    <row r="8" spans="1:8" x14ac:dyDescent="0.25">
      <c r="B8" s="116" t="s">
        <v>265</v>
      </c>
      <c r="C8" s="271">
        <v>43921</v>
      </c>
      <c r="D8" s="271">
        <v>43555</v>
      </c>
      <c r="E8" s="271">
        <v>43830</v>
      </c>
    </row>
    <row r="9" spans="1:8" x14ac:dyDescent="0.25">
      <c r="B9" s="84" t="s">
        <v>266</v>
      </c>
      <c r="C9" s="272">
        <v>6554.28</v>
      </c>
      <c r="D9" s="272">
        <v>6175.18</v>
      </c>
      <c r="E9" s="272">
        <v>6442.33</v>
      </c>
    </row>
    <row r="10" spans="1:8" x14ac:dyDescent="0.25">
      <c r="B10" s="84" t="s">
        <v>267</v>
      </c>
      <c r="C10" s="272">
        <v>6571.73</v>
      </c>
      <c r="D10" s="272">
        <v>6187.55</v>
      </c>
      <c r="E10" s="272">
        <v>6463.95</v>
      </c>
    </row>
    <row r="12" spans="1:8" x14ac:dyDescent="0.25">
      <c r="B12" s="364" t="s">
        <v>549</v>
      </c>
      <c r="C12" s="364"/>
      <c r="D12" s="364"/>
      <c r="E12" s="364"/>
      <c r="F12" s="364"/>
      <c r="G12" s="364"/>
      <c r="H12" s="364"/>
    </row>
    <row r="14" spans="1:8" ht="45" x14ac:dyDescent="0.25">
      <c r="B14" s="60" t="s">
        <v>268</v>
      </c>
      <c r="C14" s="149" t="s">
        <v>269</v>
      </c>
      <c r="D14" s="149" t="s">
        <v>270</v>
      </c>
      <c r="E14" s="149" t="s">
        <v>635</v>
      </c>
      <c r="F14" s="60" t="s">
        <v>636</v>
      </c>
      <c r="G14" s="60" t="s">
        <v>552</v>
      </c>
      <c r="H14" s="273" t="s">
        <v>553</v>
      </c>
    </row>
    <row r="15" spans="1:8" x14ac:dyDescent="0.25">
      <c r="B15" s="64" t="s">
        <v>116</v>
      </c>
      <c r="C15" s="75"/>
      <c r="D15" s="82"/>
      <c r="E15" s="75"/>
      <c r="F15" s="75"/>
      <c r="G15" s="64"/>
      <c r="H15" s="75"/>
    </row>
    <row r="16" spans="1:8" x14ac:dyDescent="0.25">
      <c r="B16" s="67" t="s">
        <v>119</v>
      </c>
      <c r="C16" s="75"/>
      <c r="D16" s="82"/>
      <c r="E16" s="75"/>
      <c r="F16" s="76"/>
      <c r="G16" s="67"/>
      <c r="H16" s="75"/>
    </row>
    <row r="17" spans="2:10" x14ac:dyDescent="0.25">
      <c r="B17" s="87" t="s">
        <v>121</v>
      </c>
      <c r="C17" s="194" t="s">
        <v>271</v>
      </c>
      <c r="D17" s="102">
        <v>415392.50001525722</v>
      </c>
      <c r="E17" s="202">
        <v>6554.28</v>
      </c>
      <c r="F17" s="71">
        <v>2722598755</v>
      </c>
      <c r="G17" s="203">
        <v>6442.33</v>
      </c>
      <c r="H17" s="71">
        <v>823294405</v>
      </c>
      <c r="J17" s="101"/>
    </row>
    <row r="18" spans="2:10" x14ac:dyDescent="0.25">
      <c r="B18" s="68" t="s">
        <v>145</v>
      </c>
      <c r="C18" s="195" t="s">
        <v>271</v>
      </c>
      <c r="D18" s="79">
        <v>149289.82607395473</v>
      </c>
      <c r="E18" s="204">
        <v>6554.28</v>
      </c>
      <c r="F18" s="70">
        <v>978487321.24000001</v>
      </c>
      <c r="G18" s="205">
        <v>6442.33</v>
      </c>
      <c r="H18" s="70">
        <v>343258784.36000001</v>
      </c>
      <c r="J18" s="101"/>
    </row>
    <row r="19" spans="2:10" x14ac:dyDescent="0.25">
      <c r="B19" s="68" t="s">
        <v>272</v>
      </c>
      <c r="C19" s="195" t="s">
        <v>271</v>
      </c>
      <c r="D19" s="79">
        <v>2607265.3699567309</v>
      </c>
      <c r="E19" s="204">
        <v>6554.28</v>
      </c>
      <c r="F19" s="70">
        <v>17088747269</v>
      </c>
      <c r="G19" s="205">
        <v>6442.33</v>
      </c>
      <c r="H19" s="70">
        <v>33628430843</v>
      </c>
      <c r="J19" s="101"/>
    </row>
    <row r="20" spans="2:10" x14ac:dyDescent="0.25">
      <c r="B20" s="91" t="s">
        <v>163</v>
      </c>
      <c r="C20" s="196" t="s">
        <v>271</v>
      </c>
      <c r="D20" s="206">
        <v>12785.593688399031</v>
      </c>
      <c r="E20" s="207">
        <v>6554.28</v>
      </c>
      <c r="F20" s="72">
        <v>83800361</v>
      </c>
      <c r="G20" s="208">
        <v>6442.33</v>
      </c>
      <c r="H20" s="72">
        <v>83800361</v>
      </c>
      <c r="J20" s="101"/>
    </row>
    <row r="21" spans="2:10" x14ac:dyDescent="0.25">
      <c r="B21" s="83" t="s">
        <v>273</v>
      </c>
      <c r="C21" s="64"/>
      <c r="D21" s="82"/>
      <c r="E21" s="197"/>
      <c r="F21" s="209"/>
      <c r="G21" s="210"/>
      <c r="H21" s="75"/>
    </row>
    <row r="22" spans="2:10" x14ac:dyDescent="0.25">
      <c r="B22" s="194" t="s">
        <v>274</v>
      </c>
      <c r="C22" s="194" t="s">
        <v>274</v>
      </c>
      <c r="D22" s="211" t="s">
        <v>274</v>
      </c>
      <c r="E22" s="211" t="s">
        <v>274</v>
      </c>
      <c r="F22" s="211" t="s">
        <v>274</v>
      </c>
      <c r="G22" s="211" t="s">
        <v>274</v>
      </c>
      <c r="H22" s="218" t="s">
        <v>274</v>
      </c>
    </row>
    <row r="23" spans="2:10" x14ac:dyDescent="0.25">
      <c r="B23" s="196" t="s">
        <v>274</v>
      </c>
      <c r="C23" s="196" t="s">
        <v>274</v>
      </c>
      <c r="D23" s="212" t="s">
        <v>274</v>
      </c>
      <c r="E23" s="212" t="s">
        <v>274</v>
      </c>
      <c r="F23" s="212" t="s">
        <v>274</v>
      </c>
      <c r="G23" s="212" t="s">
        <v>274</v>
      </c>
      <c r="H23" s="221" t="s">
        <v>274</v>
      </c>
    </row>
    <row r="24" spans="2:10" x14ac:dyDescent="0.25">
      <c r="B24" s="64" t="s">
        <v>118</v>
      </c>
      <c r="C24" s="64"/>
      <c r="D24" s="82"/>
      <c r="E24" s="197"/>
      <c r="F24" s="75"/>
      <c r="G24" s="197"/>
      <c r="H24" s="75"/>
    </row>
    <row r="25" spans="2:10" x14ac:dyDescent="0.25">
      <c r="B25" s="64" t="s">
        <v>120</v>
      </c>
      <c r="C25" s="64"/>
      <c r="D25" s="82"/>
      <c r="E25" s="197"/>
      <c r="F25" s="75"/>
      <c r="G25" s="197"/>
      <c r="H25" s="75"/>
    </row>
    <row r="26" spans="2:10" x14ac:dyDescent="0.25">
      <c r="B26" s="87" t="s">
        <v>275</v>
      </c>
      <c r="C26" s="194" t="s">
        <v>271</v>
      </c>
      <c r="D26" s="102">
        <v>1704.0000121733547</v>
      </c>
      <c r="E26" s="211">
        <v>6571.73</v>
      </c>
      <c r="F26" s="70">
        <v>11198228</v>
      </c>
      <c r="G26" s="213">
        <v>6463.95</v>
      </c>
      <c r="H26" s="71">
        <v>172774920</v>
      </c>
    </row>
    <row r="27" spans="2:10" x14ac:dyDescent="0.25">
      <c r="B27" s="68" t="s">
        <v>125</v>
      </c>
      <c r="C27" s="195" t="s">
        <v>271</v>
      </c>
      <c r="D27" s="79">
        <v>447873.82699999993</v>
      </c>
      <c r="E27" s="214">
        <v>6571.73</v>
      </c>
      <c r="F27" s="70">
        <v>2943305865.1107092</v>
      </c>
      <c r="G27" s="215">
        <v>6463.95</v>
      </c>
      <c r="H27" s="70">
        <v>609675284</v>
      </c>
    </row>
    <row r="28" spans="2:10" x14ac:dyDescent="0.25">
      <c r="B28" s="91" t="s">
        <v>276</v>
      </c>
      <c r="C28" s="196" t="s">
        <v>271</v>
      </c>
      <c r="D28" s="206">
        <v>1986426.0707606673</v>
      </c>
      <c r="E28" s="212">
        <v>6571.73</v>
      </c>
      <c r="F28" s="70">
        <v>13054255802</v>
      </c>
      <c r="G28" s="216">
        <v>6463.95</v>
      </c>
      <c r="H28" s="72">
        <v>12739317570</v>
      </c>
      <c r="J28" s="101"/>
    </row>
    <row r="29" spans="2:10" x14ac:dyDescent="0.25">
      <c r="B29" s="64" t="s">
        <v>277</v>
      </c>
      <c r="C29" s="64"/>
      <c r="D29" s="82"/>
      <c r="E29" s="197"/>
      <c r="F29" s="75"/>
      <c r="G29" s="197"/>
      <c r="H29" s="75"/>
    </row>
    <row r="30" spans="2:10" x14ac:dyDescent="0.25">
      <c r="B30" s="194" t="s">
        <v>274</v>
      </c>
      <c r="C30" s="194" t="s">
        <v>274</v>
      </c>
      <c r="D30" s="194" t="s">
        <v>274</v>
      </c>
      <c r="E30" s="194" t="s">
        <v>274</v>
      </c>
      <c r="F30" s="194" t="s">
        <v>274</v>
      </c>
      <c r="G30" s="194" t="s">
        <v>274</v>
      </c>
      <c r="H30" s="218" t="s">
        <v>274</v>
      </c>
    </row>
    <row r="31" spans="2:10" x14ac:dyDescent="0.25">
      <c r="B31" s="196" t="s">
        <v>274</v>
      </c>
      <c r="C31" s="196" t="s">
        <v>274</v>
      </c>
      <c r="D31" s="196" t="s">
        <v>274</v>
      </c>
      <c r="E31" s="196" t="s">
        <v>274</v>
      </c>
      <c r="F31" s="196" t="s">
        <v>274</v>
      </c>
      <c r="G31" s="196" t="s">
        <v>274</v>
      </c>
      <c r="H31" s="221" t="s">
        <v>274</v>
      </c>
    </row>
    <row r="33" spans="2:8" x14ac:dyDescent="0.25">
      <c r="B33" s="368" t="s">
        <v>278</v>
      </c>
      <c r="C33" s="368"/>
      <c r="D33" s="368"/>
      <c r="E33" s="368"/>
      <c r="F33" s="368"/>
      <c r="G33" s="368"/>
      <c r="H33" s="368"/>
    </row>
    <row r="35" spans="2:8" ht="45" x14ac:dyDescent="0.25">
      <c r="B35" s="392" t="s">
        <v>265</v>
      </c>
      <c r="C35" s="393"/>
      <c r="D35" s="394"/>
      <c r="E35" s="149" t="s">
        <v>637</v>
      </c>
      <c r="F35" s="149" t="s">
        <v>638</v>
      </c>
      <c r="G35" s="149" t="s">
        <v>639</v>
      </c>
      <c r="H35" s="60" t="s">
        <v>640</v>
      </c>
    </row>
    <row r="36" spans="2:8" ht="33.75" customHeight="1" x14ac:dyDescent="0.25">
      <c r="B36" s="400" t="s">
        <v>279</v>
      </c>
      <c r="C36" s="401"/>
      <c r="D36" s="402"/>
      <c r="E36" s="201">
        <v>6554.28</v>
      </c>
      <c r="F36" s="109">
        <v>699464520</v>
      </c>
      <c r="G36" s="217">
        <v>6175.18</v>
      </c>
      <c r="H36" s="109">
        <v>527241261</v>
      </c>
    </row>
    <row r="37" spans="2:8" ht="33.75" customHeight="1" x14ac:dyDescent="0.25">
      <c r="B37" s="400" t="s">
        <v>280</v>
      </c>
      <c r="C37" s="401"/>
      <c r="D37" s="402"/>
      <c r="E37" s="201">
        <v>6571.73</v>
      </c>
      <c r="F37" s="109">
        <v>69923720</v>
      </c>
      <c r="G37" s="217">
        <v>6187.55</v>
      </c>
      <c r="H37" s="109">
        <v>2737678</v>
      </c>
    </row>
    <row r="38" spans="2:8" ht="33.75" customHeight="1" x14ac:dyDescent="0.25">
      <c r="B38" s="400" t="s">
        <v>281</v>
      </c>
      <c r="C38" s="401"/>
      <c r="D38" s="402"/>
      <c r="E38" s="201">
        <v>6554.28</v>
      </c>
      <c r="F38" s="109">
        <v>-390576692</v>
      </c>
      <c r="G38" s="217">
        <v>6175.18</v>
      </c>
      <c r="H38" s="109">
        <v>-119994340</v>
      </c>
    </row>
    <row r="39" spans="2:8" ht="33.75" customHeight="1" x14ac:dyDescent="0.25">
      <c r="B39" s="400" t="s">
        <v>282</v>
      </c>
      <c r="C39" s="401"/>
      <c r="D39" s="402"/>
      <c r="E39" s="201">
        <v>6571.73</v>
      </c>
      <c r="F39" s="109">
        <v>-248506958</v>
      </c>
      <c r="G39" s="217">
        <v>6187.55</v>
      </c>
      <c r="H39" s="109">
        <v>-341396094</v>
      </c>
    </row>
    <row r="41" spans="2:8" x14ac:dyDescent="0.25">
      <c r="B41" s="372" t="s">
        <v>611</v>
      </c>
      <c r="C41" s="372"/>
      <c r="D41" s="372"/>
      <c r="E41" s="372"/>
      <c r="F41" s="372"/>
      <c r="G41" s="372"/>
      <c r="H41" s="372"/>
    </row>
    <row r="42" spans="2:8" x14ac:dyDescent="0.25">
      <c r="B42" s="372"/>
      <c r="C42" s="372"/>
      <c r="D42" s="372"/>
      <c r="E42" s="372"/>
      <c r="F42" s="372"/>
      <c r="G42" s="372"/>
      <c r="H42" s="372"/>
    </row>
    <row r="44" spans="2:8" x14ac:dyDescent="0.25">
      <c r="B44" s="141" t="s">
        <v>283</v>
      </c>
      <c r="C44" s="117">
        <v>43921</v>
      </c>
      <c r="D44" s="117">
        <v>43830</v>
      </c>
    </row>
    <row r="45" spans="2:8" x14ac:dyDescent="0.25">
      <c r="B45" s="137" t="s">
        <v>292</v>
      </c>
      <c r="C45" s="218">
        <v>870937577</v>
      </c>
      <c r="D45" s="218">
        <v>249257290</v>
      </c>
      <c r="F45" s="219"/>
      <c r="G45" s="220"/>
      <c r="H45" s="220"/>
    </row>
    <row r="46" spans="2:8" x14ac:dyDescent="0.25">
      <c r="B46" s="157" t="s">
        <v>288</v>
      </c>
      <c r="C46" s="158">
        <v>807899463</v>
      </c>
      <c r="D46" s="158">
        <v>229308725</v>
      </c>
      <c r="F46" s="219"/>
      <c r="G46" s="220"/>
      <c r="H46" s="220"/>
    </row>
    <row r="47" spans="2:8" x14ac:dyDescent="0.25">
      <c r="B47" s="157" t="s">
        <v>289</v>
      </c>
      <c r="C47" s="158">
        <v>216876013</v>
      </c>
      <c r="D47" s="158">
        <v>0</v>
      </c>
      <c r="F47" s="219"/>
      <c r="G47" s="220"/>
      <c r="H47" s="220"/>
    </row>
    <row r="48" spans="2:8" x14ac:dyDescent="0.25">
      <c r="B48" s="157" t="s">
        <v>291</v>
      </c>
      <c r="C48" s="158">
        <v>32845529</v>
      </c>
      <c r="D48" s="158">
        <v>38713185</v>
      </c>
      <c r="F48" s="219"/>
      <c r="G48" s="220"/>
      <c r="H48" s="220"/>
    </row>
    <row r="49" spans="2:8" x14ac:dyDescent="0.25">
      <c r="B49" s="157" t="s">
        <v>286</v>
      </c>
      <c r="C49" s="158">
        <v>30055000</v>
      </c>
      <c r="D49" s="158">
        <v>123473883</v>
      </c>
      <c r="F49" s="219"/>
      <c r="G49" s="220"/>
      <c r="H49" s="220"/>
    </row>
    <row r="50" spans="2:8" x14ac:dyDescent="0.25">
      <c r="B50" s="157" t="s">
        <v>285</v>
      </c>
      <c r="C50" s="158">
        <v>8575805</v>
      </c>
      <c r="D50" s="158">
        <v>4711825334</v>
      </c>
      <c r="F50" s="219"/>
      <c r="G50" s="220"/>
      <c r="H50" s="220"/>
    </row>
    <row r="51" spans="2:8" x14ac:dyDescent="0.25">
      <c r="B51" s="157" t="s">
        <v>290</v>
      </c>
      <c r="C51" s="158">
        <v>5963739</v>
      </c>
      <c r="D51" s="158">
        <v>0</v>
      </c>
      <c r="F51" s="219"/>
      <c r="G51" s="220"/>
      <c r="H51" s="220"/>
    </row>
    <row r="52" spans="2:8" x14ac:dyDescent="0.25">
      <c r="B52" s="157" t="s">
        <v>284</v>
      </c>
      <c r="C52" s="158">
        <v>1010000</v>
      </c>
      <c r="D52" s="158">
        <v>1000000</v>
      </c>
      <c r="F52" s="219"/>
      <c r="G52" s="220"/>
      <c r="H52" s="220"/>
    </row>
    <row r="53" spans="2:8" x14ac:dyDescent="0.25">
      <c r="B53" s="157" t="s">
        <v>287</v>
      </c>
      <c r="C53" s="158">
        <v>908693</v>
      </c>
      <c r="D53" s="158">
        <v>978809</v>
      </c>
      <c r="F53" s="219"/>
      <c r="G53" s="220"/>
      <c r="H53" s="220"/>
    </row>
    <row r="54" spans="2:8" x14ac:dyDescent="0.25">
      <c r="B54" s="139" t="s">
        <v>127</v>
      </c>
      <c r="C54" s="221">
        <v>0</v>
      </c>
      <c r="D54" s="221">
        <v>2575000</v>
      </c>
      <c r="F54" s="219"/>
      <c r="G54" s="220"/>
      <c r="H54" s="220"/>
    </row>
    <row r="55" spans="2:8" x14ac:dyDescent="0.25">
      <c r="B55" s="141" t="s">
        <v>293</v>
      </c>
      <c r="C55" s="222">
        <v>1975071819</v>
      </c>
      <c r="D55" s="222">
        <v>5357132226</v>
      </c>
    </row>
    <row r="56" spans="2:8" x14ac:dyDescent="0.25">
      <c r="B56" s="193"/>
      <c r="C56" s="193"/>
      <c r="D56" s="193"/>
      <c r="E56" s="193"/>
      <c r="F56" s="193"/>
    </row>
    <row r="57" spans="2:8" x14ac:dyDescent="0.25">
      <c r="B57" s="141" t="s">
        <v>294</v>
      </c>
      <c r="C57" s="117"/>
      <c r="D57" s="117"/>
    </row>
    <row r="58" spans="2:8" x14ac:dyDescent="0.25">
      <c r="B58" s="137" t="s">
        <v>297</v>
      </c>
      <c r="C58" s="158">
        <v>1323389553</v>
      </c>
      <c r="D58" s="158">
        <v>498291935</v>
      </c>
    </row>
    <row r="59" spans="2:8" x14ac:dyDescent="0.25">
      <c r="B59" s="157" t="s">
        <v>295</v>
      </c>
      <c r="C59" s="158">
        <v>560096621</v>
      </c>
      <c r="D59" s="158">
        <v>574069772</v>
      </c>
    </row>
    <row r="60" spans="2:8" x14ac:dyDescent="0.25">
      <c r="B60" s="157" t="s">
        <v>298</v>
      </c>
      <c r="C60" s="158">
        <v>401670468</v>
      </c>
      <c r="D60" s="158">
        <v>826240521</v>
      </c>
    </row>
    <row r="61" spans="2:8" x14ac:dyDescent="0.25">
      <c r="B61" s="139" t="s">
        <v>296</v>
      </c>
      <c r="C61" s="158">
        <v>272586344</v>
      </c>
      <c r="D61" s="158">
        <v>37031995</v>
      </c>
    </row>
    <row r="62" spans="2:8" x14ac:dyDescent="0.25">
      <c r="B62" s="141" t="s">
        <v>299</v>
      </c>
      <c r="C62" s="222">
        <v>2557742986</v>
      </c>
      <c r="D62" s="222">
        <v>1935634223</v>
      </c>
    </row>
    <row r="63" spans="2:8" x14ac:dyDescent="0.25">
      <c r="B63" s="193"/>
      <c r="C63" s="193"/>
      <c r="D63" s="193"/>
      <c r="E63" s="193"/>
      <c r="F63" s="193"/>
    </row>
    <row r="64" spans="2:8" x14ac:dyDescent="0.25">
      <c r="B64" s="141" t="s">
        <v>300</v>
      </c>
      <c r="C64" s="223">
        <f>+C55+C62</f>
        <v>4532814805</v>
      </c>
      <c r="D64" s="223">
        <f>+D55+D62</f>
        <v>7292766449</v>
      </c>
    </row>
    <row r="66" spans="2:8" x14ac:dyDescent="0.25">
      <c r="B66" s="364" t="s">
        <v>301</v>
      </c>
      <c r="C66" s="364"/>
      <c r="D66" s="364"/>
      <c r="E66" s="364"/>
      <c r="F66" s="364"/>
      <c r="G66" s="364"/>
      <c r="H66" s="364"/>
    </row>
    <row r="68" spans="2:8" x14ac:dyDescent="0.25">
      <c r="B68" s="368" t="s">
        <v>612</v>
      </c>
      <c r="C68" s="368"/>
      <c r="D68" s="368"/>
      <c r="E68" s="368"/>
      <c r="F68" s="368"/>
      <c r="G68" s="368"/>
      <c r="H68" s="368"/>
    </row>
    <row r="69" spans="2:8" x14ac:dyDescent="0.25">
      <c r="B69" s="224"/>
      <c r="C69" s="224"/>
      <c r="D69" s="224"/>
      <c r="E69" s="224"/>
      <c r="F69" s="224"/>
      <c r="G69" s="224"/>
      <c r="H69" s="274"/>
    </row>
    <row r="70" spans="2:8" x14ac:dyDescent="0.25">
      <c r="B70" s="60" t="s">
        <v>215</v>
      </c>
      <c r="C70" s="149">
        <v>43921</v>
      </c>
      <c r="D70" s="149">
        <v>43830</v>
      </c>
    </row>
    <row r="71" spans="2:8" x14ac:dyDescent="0.25">
      <c r="B71" s="275" t="s">
        <v>302</v>
      </c>
      <c r="C71" s="156">
        <v>1515065504.0544801</v>
      </c>
      <c r="D71" s="156">
        <v>506322795</v>
      </c>
    </row>
    <row r="72" spans="2:8" x14ac:dyDescent="0.25">
      <c r="B72" s="141" t="s">
        <v>303</v>
      </c>
      <c r="C72" s="159">
        <f>SUM(C71:C71)</f>
        <v>1515065504.0544801</v>
      </c>
      <c r="D72" s="159">
        <f>SUM(D71:D71)</f>
        <v>506322795</v>
      </c>
    </row>
    <row r="74" spans="2:8" x14ac:dyDescent="0.25">
      <c r="B74" s="406" t="s">
        <v>613</v>
      </c>
      <c r="C74" s="406"/>
      <c r="D74" s="406"/>
      <c r="E74" s="406"/>
      <c r="F74" s="406"/>
      <c r="G74" s="406"/>
      <c r="H74" s="406"/>
    </row>
    <row r="76" spans="2:8" x14ac:dyDescent="0.25">
      <c r="B76" s="60" t="s">
        <v>215</v>
      </c>
      <c r="C76" s="149">
        <v>43921</v>
      </c>
      <c r="D76" s="149">
        <v>43830</v>
      </c>
    </row>
    <row r="77" spans="2:8" x14ac:dyDescent="0.25">
      <c r="B77" s="68" t="s">
        <v>304</v>
      </c>
      <c r="C77" s="70">
        <v>191610100</v>
      </c>
      <c r="D77" s="158">
        <v>176168026.38749999</v>
      </c>
    </row>
    <row r="78" spans="2:8" x14ac:dyDescent="0.25">
      <c r="B78" s="68" t="s">
        <v>308</v>
      </c>
      <c r="C78" s="70">
        <v>60619039.239999995</v>
      </c>
      <c r="D78" s="158">
        <v>30304876.059999999</v>
      </c>
    </row>
    <row r="79" spans="2:8" x14ac:dyDescent="0.25">
      <c r="B79" s="68" t="s">
        <v>305</v>
      </c>
      <c r="C79" s="70">
        <v>31900000</v>
      </c>
      <c r="D79" s="158">
        <v>80353500</v>
      </c>
    </row>
    <row r="80" spans="2:8" x14ac:dyDescent="0.25">
      <c r="B80" s="68" t="s">
        <v>307</v>
      </c>
      <c r="C80" s="70">
        <v>4935000</v>
      </c>
      <c r="D80" s="158">
        <v>3850000</v>
      </c>
    </row>
    <row r="81" spans="2:8" x14ac:dyDescent="0.25">
      <c r="B81" s="68" t="s">
        <v>306</v>
      </c>
      <c r="C81" s="70">
        <v>2970000</v>
      </c>
      <c r="D81" s="158">
        <v>2310000</v>
      </c>
    </row>
    <row r="82" spans="2:8" x14ac:dyDescent="0.25">
      <c r="B82" s="141" t="s">
        <v>303</v>
      </c>
      <c r="C82" s="159">
        <f>SUM(C77:C81)</f>
        <v>292034139.24000001</v>
      </c>
      <c r="D82" s="159">
        <f>SUM(D77:D81)</f>
        <v>292986402.44749999</v>
      </c>
    </row>
    <row r="84" spans="2:8" x14ac:dyDescent="0.25">
      <c r="B84" s="364" t="s">
        <v>614</v>
      </c>
      <c r="C84" s="364"/>
      <c r="D84" s="364"/>
      <c r="E84" s="364"/>
      <c r="F84" s="364"/>
      <c r="G84" s="364"/>
      <c r="H84" s="364"/>
    </row>
    <row r="86" spans="2:8" x14ac:dyDescent="0.25">
      <c r="B86" s="154" t="s">
        <v>215</v>
      </c>
      <c r="C86" s="149">
        <f>+C76</f>
        <v>43921</v>
      </c>
      <c r="D86" s="149">
        <f>+D76</f>
        <v>43830</v>
      </c>
    </row>
    <row r="87" spans="2:8" x14ac:dyDescent="0.25">
      <c r="B87" s="68" t="s">
        <v>310</v>
      </c>
      <c r="C87" s="70">
        <v>338665437.87479997</v>
      </c>
      <c r="D87" s="158">
        <v>166563323</v>
      </c>
    </row>
    <row r="88" spans="2:8" x14ac:dyDescent="0.25">
      <c r="B88" s="68" t="s">
        <v>309</v>
      </c>
      <c r="C88" s="70">
        <v>12255000</v>
      </c>
      <c r="D88" s="158">
        <v>0</v>
      </c>
    </row>
    <row r="89" spans="2:8" x14ac:dyDescent="0.25">
      <c r="B89" s="68" t="s">
        <v>641</v>
      </c>
      <c r="C89" s="70">
        <v>0</v>
      </c>
      <c r="D89" s="158">
        <v>0</v>
      </c>
    </row>
    <row r="90" spans="2:8" x14ac:dyDescent="0.25">
      <c r="B90" s="141" t="s">
        <v>303</v>
      </c>
      <c r="C90" s="159">
        <f>SUM(C87:C88)</f>
        <v>350920437.87479997</v>
      </c>
      <c r="D90" s="159">
        <f>SUM(D87:D88)</f>
        <v>166563323</v>
      </c>
    </row>
    <row r="92" spans="2:8" x14ac:dyDescent="0.25">
      <c r="B92" s="369" t="s">
        <v>615</v>
      </c>
      <c r="C92" s="369"/>
      <c r="D92" s="369"/>
      <c r="E92" s="369"/>
      <c r="F92" s="369"/>
      <c r="G92" s="369"/>
      <c r="H92" s="369"/>
    </row>
    <row r="93" spans="2:8" x14ac:dyDescent="0.25">
      <c r="B93" s="369"/>
      <c r="C93" s="369"/>
      <c r="D93" s="369"/>
      <c r="E93" s="369"/>
      <c r="F93" s="369"/>
      <c r="G93" s="369"/>
      <c r="H93" s="369"/>
    </row>
    <row r="95" spans="2:8" x14ac:dyDescent="0.25">
      <c r="B95" s="368" t="s">
        <v>616</v>
      </c>
      <c r="C95" s="368"/>
      <c r="D95" s="368"/>
      <c r="E95" s="368"/>
      <c r="F95" s="368"/>
      <c r="G95" s="368"/>
      <c r="H95" s="368"/>
    </row>
    <row r="97" spans="2:8" x14ac:dyDescent="0.25">
      <c r="B97" s="338" t="s">
        <v>215</v>
      </c>
      <c r="C97" s="339">
        <v>43921</v>
      </c>
      <c r="D97" s="339">
        <v>43830</v>
      </c>
    </row>
    <row r="98" spans="2:8" x14ac:dyDescent="0.25">
      <c r="B98" s="340" t="s">
        <v>312</v>
      </c>
      <c r="C98" s="341">
        <v>168578569</v>
      </c>
      <c r="D98" s="342">
        <v>132916521</v>
      </c>
    </row>
    <row r="99" spans="2:8" x14ac:dyDescent="0.25">
      <c r="B99" s="343" t="s">
        <v>311</v>
      </c>
      <c r="C99" s="341">
        <v>111004181</v>
      </c>
      <c r="D99" s="341">
        <v>34881274</v>
      </c>
    </row>
    <row r="100" spans="2:8" x14ac:dyDescent="0.25">
      <c r="B100" s="343" t="s">
        <v>692</v>
      </c>
      <c r="C100" s="341">
        <v>24724282</v>
      </c>
      <c r="D100" s="341">
        <v>28204485</v>
      </c>
    </row>
    <row r="101" spans="2:8" x14ac:dyDescent="0.25">
      <c r="B101" s="348" t="s">
        <v>303</v>
      </c>
      <c r="C101" s="344">
        <f>SUM(C98:C100)</f>
        <v>304307032</v>
      </c>
      <c r="D101" s="344">
        <f>SUM(D98:D100)</f>
        <v>196002280</v>
      </c>
    </row>
    <row r="103" spans="2:8" x14ac:dyDescent="0.25">
      <c r="B103" s="368" t="s">
        <v>617</v>
      </c>
      <c r="C103" s="368"/>
      <c r="D103" s="368"/>
      <c r="E103" s="368"/>
      <c r="F103" s="368"/>
      <c r="G103" s="368"/>
      <c r="H103" s="368"/>
    </row>
    <row r="105" spans="2:8" x14ac:dyDescent="0.25">
      <c r="B105" s="368" t="s">
        <v>618</v>
      </c>
      <c r="C105" s="368"/>
      <c r="D105" s="368"/>
      <c r="E105" s="368"/>
      <c r="F105" s="368"/>
      <c r="G105" s="368"/>
      <c r="H105" s="368"/>
    </row>
    <row r="107" spans="2:8" x14ac:dyDescent="0.25">
      <c r="B107" s="364" t="s">
        <v>619</v>
      </c>
      <c r="C107" s="364"/>
      <c r="D107" s="364"/>
      <c r="E107" s="364"/>
      <c r="F107" s="364"/>
      <c r="G107" s="364"/>
      <c r="H107" s="364"/>
    </row>
    <row r="109" spans="2:8" x14ac:dyDescent="0.25">
      <c r="B109" s="403" t="s">
        <v>313</v>
      </c>
      <c r="C109" s="404"/>
      <c r="D109" s="405"/>
    </row>
    <row r="110" spans="2:8" x14ac:dyDescent="0.25">
      <c r="B110" s="154" t="s">
        <v>215</v>
      </c>
      <c r="C110" s="225">
        <v>43921</v>
      </c>
      <c r="D110" s="225">
        <v>43830</v>
      </c>
    </row>
    <row r="111" spans="2:8" x14ac:dyDescent="0.25">
      <c r="B111" s="137" t="s">
        <v>315</v>
      </c>
      <c r="C111" s="70">
        <v>311178813</v>
      </c>
      <c r="D111" s="158">
        <v>311178813</v>
      </c>
    </row>
    <row r="112" spans="2:8" x14ac:dyDescent="0.25">
      <c r="B112" s="157" t="s">
        <v>316</v>
      </c>
      <c r="C112" s="166">
        <v>86755421</v>
      </c>
      <c r="D112" s="158">
        <v>20487626</v>
      </c>
    </row>
    <row r="113" spans="2:8" x14ac:dyDescent="0.25">
      <c r="B113" s="157" t="s">
        <v>314</v>
      </c>
      <c r="C113" s="166">
        <v>26938890</v>
      </c>
      <c r="D113" s="158">
        <v>31355558</v>
      </c>
    </row>
    <row r="114" spans="2:8" x14ac:dyDescent="0.25">
      <c r="B114" s="157" t="s">
        <v>317</v>
      </c>
      <c r="C114" s="166">
        <v>15529471</v>
      </c>
      <c r="D114" s="158">
        <v>14385819</v>
      </c>
    </row>
    <row r="115" spans="2:8" x14ac:dyDescent="0.25">
      <c r="B115" s="157" t="s">
        <v>318</v>
      </c>
      <c r="C115" s="166">
        <v>8471535</v>
      </c>
      <c r="D115" s="158">
        <v>18186041</v>
      </c>
    </row>
    <row r="116" spans="2:8" x14ac:dyDescent="0.25">
      <c r="B116" s="157" t="s">
        <v>642</v>
      </c>
      <c r="C116" s="166">
        <v>150750</v>
      </c>
      <c r="D116" s="158">
        <v>150750</v>
      </c>
    </row>
    <row r="117" spans="2:8" x14ac:dyDescent="0.25">
      <c r="B117" s="141" t="s">
        <v>303</v>
      </c>
      <c r="C117" s="159">
        <f>SUM(C111:C116)</f>
        <v>449024880</v>
      </c>
      <c r="D117" s="159">
        <f>SUM(D111:D116)</f>
        <v>395744607</v>
      </c>
    </row>
    <row r="119" spans="2:8" x14ac:dyDescent="0.25">
      <c r="B119" s="403" t="s">
        <v>319</v>
      </c>
      <c r="C119" s="404"/>
      <c r="D119" s="405"/>
    </row>
    <row r="120" spans="2:8" x14ac:dyDescent="0.25">
      <c r="B120" s="60" t="s">
        <v>215</v>
      </c>
      <c r="C120" s="149">
        <v>43921</v>
      </c>
      <c r="D120" s="149">
        <v>43830</v>
      </c>
    </row>
    <row r="121" spans="2:8" x14ac:dyDescent="0.25">
      <c r="B121" s="68" t="s">
        <v>320</v>
      </c>
      <c r="C121" s="70">
        <v>125688966</v>
      </c>
      <c r="D121" s="158">
        <v>89516004</v>
      </c>
    </row>
    <row r="122" spans="2:8" x14ac:dyDescent="0.25">
      <c r="B122" s="68" t="s">
        <v>146</v>
      </c>
      <c r="C122" s="70">
        <v>0</v>
      </c>
      <c r="D122" s="158">
        <v>131447347</v>
      </c>
    </row>
    <row r="123" spans="2:8" x14ac:dyDescent="0.25">
      <c r="B123" s="141" t="s">
        <v>303</v>
      </c>
      <c r="C123" s="159">
        <f>SUM(C121:C122)</f>
        <v>125688966</v>
      </c>
      <c r="D123" s="159">
        <f>SUM(D121:D122)</f>
        <v>220963351</v>
      </c>
    </row>
    <row r="125" spans="2:8" x14ac:dyDescent="0.25">
      <c r="B125" s="364" t="s">
        <v>321</v>
      </c>
      <c r="C125" s="364"/>
      <c r="D125" s="364"/>
      <c r="E125" s="364"/>
      <c r="F125" s="364"/>
      <c r="G125" s="364"/>
      <c r="H125" s="364"/>
    </row>
    <row r="127" spans="2:8" x14ac:dyDescent="0.25">
      <c r="B127" s="364" t="s">
        <v>620</v>
      </c>
      <c r="C127" s="364"/>
      <c r="D127" s="364"/>
      <c r="E127" s="364"/>
      <c r="F127" s="364"/>
      <c r="G127" s="364"/>
      <c r="H127" s="364"/>
    </row>
    <row r="129" spans="2:8" x14ac:dyDescent="0.25">
      <c r="B129" s="135" t="s">
        <v>322</v>
      </c>
      <c r="C129" s="117">
        <f>+C120</f>
        <v>43921</v>
      </c>
      <c r="D129" s="117">
        <f>+D120</f>
        <v>43830</v>
      </c>
    </row>
    <row r="130" spans="2:8" x14ac:dyDescent="0.25">
      <c r="B130" s="137" t="s">
        <v>323</v>
      </c>
      <c r="C130" s="226">
        <v>9549643147</v>
      </c>
      <c r="D130" s="145">
        <v>13024563613</v>
      </c>
    </row>
    <row r="131" spans="2:8" x14ac:dyDescent="0.25">
      <c r="B131" s="139" t="s">
        <v>626</v>
      </c>
      <c r="C131" s="227">
        <v>0</v>
      </c>
      <c r="D131" s="151">
        <v>4524765000</v>
      </c>
    </row>
    <row r="132" spans="2:8" x14ac:dyDescent="0.25">
      <c r="B132" s="141" t="s">
        <v>81</v>
      </c>
      <c r="C132" s="75">
        <f>SUM(C130:C131)</f>
        <v>9549643147</v>
      </c>
      <c r="D132" s="75">
        <f>SUM(D130:D131)</f>
        <v>17549328613</v>
      </c>
    </row>
    <row r="134" spans="2:8" x14ac:dyDescent="0.25">
      <c r="B134" s="368" t="s">
        <v>704</v>
      </c>
      <c r="C134" s="368"/>
      <c r="D134" s="368"/>
      <c r="E134" s="368"/>
      <c r="F134" s="368"/>
      <c r="G134" s="368"/>
      <c r="H134" s="368"/>
    </row>
    <row r="136" spans="2:8" x14ac:dyDescent="0.25">
      <c r="B136" s="135" t="s">
        <v>322</v>
      </c>
      <c r="C136" s="117">
        <f>+C129</f>
        <v>43921</v>
      </c>
      <c r="D136" s="228">
        <f>+D129</f>
        <v>43830</v>
      </c>
    </row>
    <row r="137" spans="2:8" x14ac:dyDescent="0.25">
      <c r="B137" s="229" t="s">
        <v>707</v>
      </c>
      <c r="C137" s="226">
        <v>3709900188</v>
      </c>
      <c r="D137" s="145">
        <v>0</v>
      </c>
    </row>
    <row r="138" spans="2:8" x14ac:dyDescent="0.25">
      <c r="B138" s="229" t="s">
        <v>324</v>
      </c>
      <c r="C138" s="230">
        <v>0</v>
      </c>
      <c r="D138" s="151">
        <v>17172014252</v>
      </c>
    </row>
    <row r="139" spans="2:8" x14ac:dyDescent="0.25">
      <c r="B139" s="141" t="s">
        <v>81</v>
      </c>
      <c r="C139" s="75">
        <f>SUM(C137:C138)</f>
        <v>3709900188</v>
      </c>
      <c r="D139" s="75">
        <f>SUM(D137:D138)</f>
        <v>17172014252</v>
      </c>
    </row>
  </sheetData>
  <sortState xmlns:xlrd2="http://schemas.microsoft.com/office/spreadsheetml/2017/richdata2" ref="F111:H116">
    <sortCondition descending="1" ref="G111:G116"/>
  </sortState>
  <mergeCells count="26">
    <mergeCell ref="B2:H2"/>
    <mergeCell ref="B109:D109"/>
    <mergeCell ref="B119:D119"/>
    <mergeCell ref="B134:H134"/>
    <mergeCell ref="B125:H125"/>
    <mergeCell ref="B127:H127"/>
    <mergeCell ref="B107:H107"/>
    <mergeCell ref="B103:H103"/>
    <mergeCell ref="B105:H105"/>
    <mergeCell ref="B92:H93"/>
    <mergeCell ref="B95:H95"/>
    <mergeCell ref="B84:H84"/>
    <mergeCell ref="B74:H74"/>
    <mergeCell ref="B66:H66"/>
    <mergeCell ref="B68:H68"/>
    <mergeCell ref="B39:D39"/>
    <mergeCell ref="B3:H3"/>
    <mergeCell ref="B5:H5"/>
    <mergeCell ref="B7:H7"/>
    <mergeCell ref="B41:H42"/>
    <mergeCell ref="B12:H12"/>
    <mergeCell ref="B33:H33"/>
    <mergeCell ref="B35:D35"/>
    <mergeCell ref="B36:D36"/>
    <mergeCell ref="B37:D37"/>
    <mergeCell ref="B38:D38"/>
  </mergeCells>
  <hyperlinks>
    <hyperlink ref="A1" location="ÍNDICE!A1" display="Indice" xr:uid="{633A7F9E-5445-4137-867C-DC684C628620}"/>
  </hyperlinks>
  <pageMargins left="0.25" right="0.25" top="0.75" bottom="0.75" header="0.3" footer="0.3"/>
  <pageSetup paperSize="9" scale="34" orientation="portrait" r:id="rId1"/>
  <ignoredErrors>
    <ignoredError sqref="C82:D82 C101:D101 C117:D117 C123:D123 C90:D9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D1AFB-A05D-4879-93BF-C5C9A38148D2}">
  <sheetPr>
    <pageSetUpPr fitToPage="1"/>
  </sheetPr>
  <dimension ref="A1:I43"/>
  <sheetViews>
    <sheetView showGridLines="0" topLeftCell="A25" zoomScaleNormal="100" workbookViewId="0">
      <selection activeCell="B44" sqref="B44"/>
    </sheetView>
  </sheetViews>
  <sheetFormatPr baseColWidth="10" defaultColWidth="11.42578125" defaultRowHeight="15" x14ac:dyDescent="0.25"/>
  <cols>
    <col min="1" max="1" width="2.85546875" style="1" customWidth="1"/>
    <col min="2" max="2" width="16.85546875" style="1" customWidth="1"/>
    <col min="3" max="4" width="14.140625" style="1" customWidth="1"/>
    <col min="5" max="5" width="16.7109375" style="1" customWidth="1"/>
    <col min="6" max="6" width="16.5703125" style="1" customWidth="1"/>
    <col min="7" max="7" width="18.7109375" style="1" bestFit="1" customWidth="1"/>
    <col min="8" max="8" width="6.85546875" style="1" customWidth="1"/>
    <col min="9" max="9" width="15.7109375" style="1" customWidth="1"/>
    <col min="10" max="10" width="15.42578125" style="1" customWidth="1"/>
    <col min="11" max="11" width="15.85546875" style="1" customWidth="1"/>
    <col min="12" max="12" width="2.85546875" style="1" customWidth="1"/>
    <col min="13" max="16384" width="11.42578125" style="1"/>
  </cols>
  <sheetData>
    <row r="1" spans="1:9" x14ac:dyDescent="0.25">
      <c r="A1" s="2" t="s">
        <v>20</v>
      </c>
    </row>
    <row r="2" spans="1:9" x14ac:dyDescent="0.25">
      <c r="B2" s="367" t="s">
        <v>114</v>
      </c>
      <c r="C2" s="367"/>
      <c r="D2" s="367"/>
      <c r="E2" s="367"/>
      <c r="F2" s="367"/>
      <c r="G2" s="367"/>
      <c r="H2" s="367"/>
    </row>
    <row r="3" spans="1:9" x14ac:dyDescent="0.25">
      <c r="B3" s="398" t="s">
        <v>633</v>
      </c>
      <c r="C3" s="398"/>
      <c r="D3" s="398"/>
      <c r="E3" s="398"/>
      <c r="F3" s="398"/>
      <c r="G3" s="398"/>
      <c r="H3" s="398"/>
    </row>
    <row r="4" spans="1:9" x14ac:dyDescent="0.25">
      <c r="B4" s="134"/>
      <c r="C4" s="134"/>
      <c r="D4" s="134"/>
      <c r="E4" s="134"/>
      <c r="F4" s="134"/>
      <c r="G4" s="134"/>
      <c r="H4" s="134"/>
    </row>
    <row r="5" spans="1:9" x14ac:dyDescent="0.25">
      <c r="B5" s="368" t="s">
        <v>263</v>
      </c>
      <c r="C5" s="368"/>
      <c r="D5" s="368"/>
      <c r="E5" s="368"/>
      <c r="F5" s="368"/>
      <c r="G5" s="368"/>
      <c r="H5" s="368"/>
    </row>
    <row r="7" spans="1:9" x14ac:dyDescent="0.25">
      <c r="B7" s="36" t="s">
        <v>610</v>
      </c>
    </row>
    <row r="8" spans="1:9" x14ac:dyDescent="0.25">
      <c r="B8" s="36"/>
    </row>
    <row r="9" spans="1:9" ht="30" x14ac:dyDescent="0.25">
      <c r="B9" s="60" t="s">
        <v>325</v>
      </c>
      <c r="C9" s="60" t="s">
        <v>326</v>
      </c>
      <c r="D9" s="60" t="s">
        <v>327</v>
      </c>
      <c r="E9" s="60" t="s">
        <v>328</v>
      </c>
      <c r="F9" s="60" t="s">
        <v>329</v>
      </c>
      <c r="G9" s="60" t="s">
        <v>330</v>
      </c>
      <c r="H9" s="60" t="s">
        <v>331</v>
      </c>
      <c r="I9" s="60" t="s">
        <v>332</v>
      </c>
    </row>
    <row r="10" spans="1:9" x14ac:dyDescent="0.25">
      <c r="B10" s="188">
        <v>43909</v>
      </c>
      <c r="C10" s="189">
        <v>7</v>
      </c>
      <c r="D10" s="269">
        <v>8958</v>
      </c>
      <c r="E10" s="189" t="s">
        <v>643</v>
      </c>
      <c r="F10" s="269" t="s">
        <v>334</v>
      </c>
      <c r="G10" s="89">
        <v>6585750000</v>
      </c>
      <c r="H10" s="189">
        <v>182</v>
      </c>
      <c r="I10" s="188">
        <v>44091</v>
      </c>
    </row>
    <row r="11" spans="1:9" x14ac:dyDescent="0.25">
      <c r="B11" s="190">
        <v>43921</v>
      </c>
      <c r="C11" s="189">
        <v>7</v>
      </c>
      <c r="D11" s="191">
        <v>2512</v>
      </c>
      <c r="E11" s="189" t="s">
        <v>644</v>
      </c>
      <c r="F11" s="191" t="s">
        <v>334</v>
      </c>
      <c r="G11" s="192">
        <v>3991311781</v>
      </c>
      <c r="H11" s="189">
        <v>3</v>
      </c>
      <c r="I11" s="190">
        <v>43924</v>
      </c>
    </row>
    <row r="12" spans="1:9" x14ac:dyDescent="0.25">
      <c r="B12" s="198"/>
      <c r="C12" s="200"/>
      <c r="D12" s="200"/>
      <c r="E12" s="200"/>
      <c r="F12" s="199"/>
      <c r="G12" s="75"/>
      <c r="H12" s="198"/>
      <c r="I12" s="199"/>
    </row>
    <row r="13" spans="1:9" x14ac:dyDescent="0.25">
      <c r="B13" s="403" t="s">
        <v>336</v>
      </c>
      <c r="C13" s="404"/>
      <c r="D13" s="404"/>
      <c r="E13" s="404"/>
      <c r="F13" s="405"/>
      <c r="G13" s="75">
        <f>SUM(G10:G12)</f>
        <v>10577061781</v>
      </c>
      <c r="H13" s="198"/>
      <c r="I13" s="199"/>
    </row>
    <row r="14" spans="1:9" x14ac:dyDescent="0.25">
      <c r="G14" s="101"/>
      <c r="I14" s="264"/>
    </row>
    <row r="15" spans="1:9" ht="30" x14ac:dyDescent="0.25">
      <c r="B15" s="60" t="s">
        <v>325</v>
      </c>
      <c r="C15" s="60" t="s">
        <v>326</v>
      </c>
      <c r="D15" s="60" t="s">
        <v>327</v>
      </c>
      <c r="E15" s="60" t="s">
        <v>328</v>
      </c>
      <c r="F15" s="60" t="s">
        <v>329</v>
      </c>
      <c r="G15" s="60" t="s">
        <v>330</v>
      </c>
      <c r="H15" s="60" t="s">
        <v>331</v>
      </c>
      <c r="I15" s="60" t="s">
        <v>332</v>
      </c>
    </row>
    <row r="16" spans="1:9" x14ac:dyDescent="0.25">
      <c r="B16" s="277">
        <v>43840</v>
      </c>
      <c r="C16" s="84">
        <v>7</v>
      </c>
      <c r="D16" s="278">
        <v>6774</v>
      </c>
      <c r="E16" s="278" t="s">
        <v>556</v>
      </c>
      <c r="F16" s="278" t="s">
        <v>337</v>
      </c>
      <c r="G16" s="279">
        <v>1964336.98</v>
      </c>
      <c r="H16" s="278">
        <v>180</v>
      </c>
      <c r="I16" s="280">
        <v>44020</v>
      </c>
    </row>
    <row r="17" spans="2:9" x14ac:dyDescent="0.25">
      <c r="B17" s="403" t="s">
        <v>81</v>
      </c>
      <c r="C17" s="404"/>
      <c r="D17" s="404"/>
      <c r="E17" s="404"/>
      <c r="F17" s="405"/>
      <c r="G17" s="82">
        <f>SUM(G16:G16)</f>
        <v>1964336.98</v>
      </c>
      <c r="H17" s="285"/>
      <c r="I17" s="267"/>
    </row>
    <row r="18" spans="2:9" x14ac:dyDescent="0.25">
      <c r="B18" s="403" t="s">
        <v>339</v>
      </c>
      <c r="C18" s="404"/>
      <c r="D18" s="404"/>
      <c r="E18" s="404"/>
      <c r="F18" s="405"/>
      <c r="G18" s="82">
        <v>6571.73</v>
      </c>
      <c r="H18" s="198"/>
      <c r="I18" s="199"/>
    </row>
    <row r="19" spans="2:9" x14ac:dyDescent="0.25">
      <c r="B19" s="198"/>
      <c r="C19" s="200"/>
      <c r="D19" s="200"/>
      <c r="E19" s="200"/>
      <c r="F19" s="199"/>
      <c r="G19" s="75">
        <f>+G17*G18</f>
        <v>12909092261.575399</v>
      </c>
      <c r="H19" s="198"/>
      <c r="I19" s="199"/>
    </row>
    <row r="20" spans="2:9" ht="5.25" customHeight="1" x14ac:dyDescent="0.25">
      <c r="B20" s="198"/>
      <c r="C20" s="200"/>
      <c r="D20" s="200"/>
      <c r="E20" s="200"/>
      <c r="F20" s="199"/>
      <c r="G20" s="75"/>
      <c r="H20" s="198"/>
      <c r="I20" s="199"/>
    </row>
    <row r="21" spans="2:9" x14ac:dyDescent="0.25">
      <c r="B21" s="407" t="s">
        <v>645</v>
      </c>
      <c r="C21" s="408"/>
      <c r="D21" s="408"/>
      <c r="E21" s="408"/>
      <c r="F21" s="281">
        <v>43921</v>
      </c>
      <c r="G21" s="75">
        <f>+G19+G13</f>
        <v>23486154042.575401</v>
      </c>
      <c r="H21" s="198"/>
      <c r="I21" s="199"/>
    </row>
    <row r="22" spans="2:9" x14ac:dyDescent="0.25">
      <c r="B22" s="282"/>
      <c r="C22" s="282"/>
      <c r="D22" s="282"/>
      <c r="E22" s="282"/>
      <c r="F22" s="283"/>
      <c r="G22" s="284"/>
      <c r="H22" s="285"/>
      <c r="I22" s="285"/>
    </row>
    <row r="23" spans="2:9" x14ac:dyDescent="0.25">
      <c r="B23" s="36" t="s">
        <v>646</v>
      </c>
    </row>
    <row r="25" spans="2:9" ht="30" x14ac:dyDescent="0.25">
      <c r="B25" s="60" t="s">
        <v>325</v>
      </c>
      <c r="C25" s="60" t="s">
        <v>326</v>
      </c>
      <c r="D25" s="60" t="s">
        <v>327</v>
      </c>
      <c r="E25" s="60" t="s">
        <v>328</v>
      </c>
      <c r="F25" s="60" t="s">
        <v>329</v>
      </c>
      <c r="G25" s="60" t="s">
        <v>330</v>
      </c>
      <c r="H25" s="60" t="s">
        <v>331</v>
      </c>
      <c r="I25" s="146" t="s">
        <v>332</v>
      </c>
    </row>
    <row r="26" spans="2:9" x14ac:dyDescent="0.25">
      <c r="B26" s="188">
        <v>43816</v>
      </c>
      <c r="C26" s="189">
        <v>7</v>
      </c>
      <c r="D26" s="269">
        <v>2512</v>
      </c>
      <c r="E26" s="189" t="s">
        <v>333</v>
      </c>
      <c r="F26" s="269" t="s">
        <v>334</v>
      </c>
      <c r="G26" s="89">
        <v>3872885246</v>
      </c>
      <c r="H26" s="286">
        <v>21</v>
      </c>
      <c r="I26" s="287">
        <v>43837</v>
      </c>
    </row>
    <row r="27" spans="2:9" x14ac:dyDescent="0.25">
      <c r="B27" s="190">
        <v>43817</v>
      </c>
      <c r="C27" s="189">
        <v>7</v>
      </c>
      <c r="D27" s="191">
        <v>2512</v>
      </c>
      <c r="E27" s="189" t="s">
        <v>333</v>
      </c>
      <c r="F27" s="191" t="s">
        <v>334</v>
      </c>
      <c r="G27" s="192">
        <v>4939336209</v>
      </c>
      <c r="H27" s="288">
        <v>21</v>
      </c>
      <c r="I27" s="289">
        <v>43838</v>
      </c>
    </row>
    <row r="28" spans="2:9" x14ac:dyDescent="0.25">
      <c r="B28" s="190">
        <v>43825</v>
      </c>
      <c r="C28" s="189">
        <v>7</v>
      </c>
      <c r="D28" s="191">
        <v>2512</v>
      </c>
      <c r="E28" s="189" t="s">
        <v>333</v>
      </c>
      <c r="F28" s="191" t="s">
        <v>334</v>
      </c>
      <c r="G28" s="192">
        <v>3884929508</v>
      </c>
      <c r="H28" s="288">
        <v>7</v>
      </c>
      <c r="I28" s="289">
        <v>43832</v>
      </c>
    </row>
    <row r="29" spans="2:9" x14ac:dyDescent="0.25">
      <c r="B29" s="190">
        <v>43829</v>
      </c>
      <c r="C29" s="189">
        <v>7</v>
      </c>
      <c r="D29" s="191">
        <v>2512</v>
      </c>
      <c r="E29" s="189" t="s">
        <v>335</v>
      </c>
      <c r="F29" s="191" t="s">
        <v>334</v>
      </c>
      <c r="G29" s="192">
        <v>4825479452</v>
      </c>
      <c r="H29" s="266">
        <v>4</v>
      </c>
      <c r="I29" s="290">
        <v>43833</v>
      </c>
    </row>
    <row r="30" spans="2:9" x14ac:dyDescent="0.25">
      <c r="B30" s="198"/>
      <c r="C30" s="200"/>
      <c r="D30" s="200"/>
      <c r="E30" s="200"/>
      <c r="F30" s="199"/>
      <c r="G30" s="75"/>
      <c r="H30" s="198"/>
      <c r="I30" s="210"/>
    </row>
    <row r="31" spans="2:9" x14ac:dyDescent="0.25">
      <c r="B31" s="403" t="s">
        <v>336</v>
      </c>
      <c r="C31" s="404"/>
      <c r="D31" s="404"/>
      <c r="E31" s="404"/>
      <c r="F31" s="405"/>
      <c r="G31" s="75">
        <f>SUM(G26:G30)</f>
        <v>17522630415</v>
      </c>
      <c r="H31" s="198"/>
      <c r="I31" s="199"/>
    </row>
    <row r="32" spans="2:9" x14ac:dyDescent="0.25">
      <c r="G32" s="101"/>
      <c r="I32" s="199"/>
    </row>
    <row r="33" spans="2:9" ht="30" x14ac:dyDescent="0.25">
      <c r="B33" s="146" t="s">
        <v>325</v>
      </c>
      <c r="C33" s="60" t="s">
        <v>326</v>
      </c>
      <c r="D33" s="60" t="s">
        <v>327</v>
      </c>
      <c r="E33" s="60" t="s">
        <v>328</v>
      </c>
      <c r="F33" s="60" t="s">
        <v>329</v>
      </c>
      <c r="G33" s="60" t="s">
        <v>330</v>
      </c>
      <c r="H33" s="60" t="s">
        <v>331</v>
      </c>
      <c r="I33" s="291" t="s">
        <v>332</v>
      </c>
    </row>
    <row r="34" spans="2:9" x14ac:dyDescent="0.25">
      <c r="B34" s="150">
        <v>43819</v>
      </c>
      <c r="C34" s="87">
        <v>7</v>
      </c>
      <c r="D34" s="87">
        <v>2942</v>
      </c>
      <c r="E34" s="87" t="s">
        <v>554</v>
      </c>
      <c r="F34" s="87" t="s">
        <v>337</v>
      </c>
      <c r="G34" s="292">
        <v>95820.81</v>
      </c>
      <c r="H34" s="276">
        <v>14</v>
      </c>
      <c r="I34" s="150">
        <v>43833</v>
      </c>
    </row>
    <row r="35" spans="2:9" x14ac:dyDescent="0.25">
      <c r="B35" s="152">
        <v>43819</v>
      </c>
      <c r="C35" s="68">
        <v>7</v>
      </c>
      <c r="D35" s="68">
        <v>2942</v>
      </c>
      <c r="E35" s="68" t="s">
        <v>555</v>
      </c>
      <c r="F35" s="68" t="s">
        <v>337</v>
      </c>
      <c r="G35" s="293">
        <v>401942.42000000004</v>
      </c>
      <c r="H35" s="78">
        <v>14</v>
      </c>
      <c r="I35" s="152">
        <v>43833</v>
      </c>
    </row>
    <row r="36" spans="2:9" x14ac:dyDescent="0.25">
      <c r="B36" s="152">
        <v>43819</v>
      </c>
      <c r="C36" s="68">
        <v>7</v>
      </c>
      <c r="D36" s="68">
        <v>2942</v>
      </c>
      <c r="E36" s="68" t="s">
        <v>338</v>
      </c>
      <c r="F36" s="68" t="s">
        <v>337</v>
      </c>
      <c r="G36" s="293">
        <v>493866.1</v>
      </c>
      <c r="H36" s="78">
        <v>14</v>
      </c>
      <c r="I36" s="152">
        <v>43833</v>
      </c>
    </row>
    <row r="37" spans="2:9" x14ac:dyDescent="0.25">
      <c r="B37" s="152">
        <v>43829</v>
      </c>
      <c r="C37" s="68">
        <v>7</v>
      </c>
      <c r="D37" s="68">
        <v>6598</v>
      </c>
      <c r="E37" s="68" t="s">
        <v>556</v>
      </c>
      <c r="F37" s="68" t="s">
        <v>337</v>
      </c>
      <c r="G37" s="293">
        <v>257525.37</v>
      </c>
      <c r="H37" s="78">
        <v>9</v>
      </c>
      <c r="I37" s="152">
        <v>43838</v>
      </c>
    </row>
    <row r="38" spans="2:9" x14ac:dyDescent="0.25">
      <c r="B38" s="294">
        <v>43829</v>
      </c>
      <c r="C38" s="91">
        <v>7</v>
      </c>
      <c r="D38" s="91">
        <v>7842</v>
      </c>
      <c r="E38" s="91" t="s">
        <v>557</v>
      </c>
      <c r="F38" s="91" t="s">
        <v>337</v>
      </c>
      <c r="G38" s="295">
        <v>19586.560000000001</v>
      </c>
      <c r="H38" s="296">
        <v>3</v>
      </c>
      <c r="I38" s="294">
        <v>43832</v>
      </c>
    </row>
    <row r="39" spans="2:9" x14ac:dyDescent="0.25">
      <c r="B39" s="409" t="s">
        <v>81</v>
      </c>
      <c r="C39" s="404"/>
      <c r="D39" s="404"/>
      <c r="E39" s="404"/>
      <c r="F39" s="405"/>
      <c r="G39" s="82">
        <f>SUM(G34:G38)</f>
        <v>1268741.2600000002</v>
      </c>
      <c r="H39" s="198"/>
      <c r="I39" s="84"/>
    </row>
    <row r="40" spans="2:9" x14ac:dyDescent="0.25">
      <c r="B40" s="403" t="s">
        <v>339</v>
      </c>
      <c r="C40" s="404"/>
      <c r="D40" s="404"/>
      <c r="E40" s="404"/>
      <c r="F40" s="405"/>
      <c r="G40" s="82">
        <v>6463.95</v>
      </c>
      <c r="H40" s="198"/>
      <c r="I40" s="84"/>
    </row>
    <row r="41" spans="2:9" x14ac:dyDescent="0.25">
      <c r="B41" s="198"/>
      <c r="C41" s="200"/>
      <c r="D41" s="200"/>
      <c r="E41" s="200"/>
      <c r="F41" s="199"/>
      <c r="G41" s="75">
        <f>+G39*G40</f>
        <v>8201080067.5770016</v>
      </c>
      <c r="H41" s="198"/>
      <c r="I41" s="84"/>
    </row>
    <row r="42" spans="2:9" x14ac:dyDescent="0.25">
      <c r="B42" s="198"/>
      <c r="C42" s="200"/>
      <c r="D42" s="200"/>
      <c r="E42" s="200"/>
      <c r="F42" s="199"/>
      <c r="G42" s="75"/>
      <c r="H42" s="198"/>
      <c r="I42" s="84"/>
    </row>
    <row r="43" spans="2:9" x14ac:dyDescent="0.25">
      <c r="B43" s="407" t="s">
        <v>336</v>
      </c>
      <c r="C43" s="408"/>
      <c r="D43" s="408"/>
      <c r="E43" s="408"/>
      <c r="F43" s="281" t="str">
        <f>+B23</f>
        <v>AL 31/12/2019</v>
      </c>
      <c r="G43" s="75">
        <f>+G41+G31</f>
        <v>25723710482.577003</v>
      </c>
      <c r="H43" s="198"/>
      <c r="I43" s="84"/>
    </row>
  </sheetData>
  <mergeCells count="11">
    <mergeCell ref="B21:E21"/>
    <mergeCell ref="B31:F31"/>
    <mergeCell ref="B39:F39"/>
    <mergeCell ref="B40:F40"/>
    <mergeCell ref="B43:E43"/>
    <mergeCell ref="B2:H2"/>
    <mergeCell ref="B3:H3"/>
    <mergeCell ref="B5:H5"/>
    <mergeCell ref="B18:F18"/>
    <mergeCell ref="B13:F13"/>
    <mergeCell ref="B17:F17"/>
  </mergeCells>
  <hyperlinks>
    <hyperlink ref="A1" location="ÍNDICE!A1" display="Indice" xr:uid="{922A1DE6-245A-402C-AA39-A8518179A665}"/>
  </hyperlinks>
  <pageMargins left="0.25" right="0.25"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CE5F8-41CF-46EF-B945-6312A873BA11}">
  <sheetPr>
    <pageSetUpPr fitToPage="1"/>
  </sheetPr>
  <dimension ref="A1:I177"/>
  <sheetViews>
    <sheetView showGridLines="0" topLeftCell="A54" zoomScaleNormal="100" workbookViewId="0">
      <selection activeCell="B74" sqref="B74"/>
    </sheetView>
  </sheetViews>
  <sheetFormatPr baseColWidth="10" defaultColWidth="11.42578125" defaultRowHeight="15" x14ac:dyDescent="0.25"/>
  <cols>
    <col min="1" max="1" width="2.85546875" style="1" customWidth="1"/>
    <col min="2" max="2" width="42.42578125" style="1" customWidth="1"/>
    <col min="3" max="6" width="18.28515625" style="1" customWidth="1"/>
    <col min="7" max="7" width="17.42578125" style="1" customWidth="1"/>
    <col min="8" max="9" width="17.28515625" style="1" customWidth="1"/>
    <col min="10" max="10" width="2.85546875" style="1" customWidth="1"/>
    <col min="11" max="16384" width="11.42578125" style="1"/>
  </cols>
  <sheetData>
    <row r="1" spans="1:8" x14ac:dyDescent="0.25">
      <c r="A1" s="2" t="s">
        <v>20</v>
      </c>
    </row>
    <row r="2" spans="1:8" x14ac:dyDescent="0.25">
      <c r="B2" s="367" t="s">
        <v>114</v>
      </c>
      <c r="C2" s="367"/>
      <c r="D2" s="367"/>
      <c r="E2" s="367"/>
      <c r="F2" s="367"/>
      <c r="G2" s="367"/>
      <c r="H2" s="367"/>
    </row>
    <row r="3" spans="1:8" x14ac:dyDescent="0.25">
      <c r="B3" s="398" t="s">
        <v>633</v>
      </c>
      <c r="C3" s="398"/>
      <c r="D3" s="398"/>
      <c r="E3" s="398"/>
      <c r="F3" s="398"/>
      <c r="G3" s="398"/>
      <c r="H3" s="398"/>
    </row>
    <row r="4" spans="1:8" x14ac:dyDescent="0.25">
      <c r="B4" s="134"/>
      <c r="C4" s="134"/>
      <c r="D4" s="134"/>
      <c r="E4" s="134"/>
      <c r="F4" s="134"/>
      <c r="G4" s="134"/>
      <c r="H4" s="134"/>
    </row>
    <row r="5" spans="1:8" x14ac:dyDescent="0.25">
      <c r="B5" s="368" t="s">
        <v>263</v>
      </c>
      <c r="C5" s="368"/>
      <c r="D5" s="368"/>
      <c r="E5" s="368"/>
      <c r="F5" s="368"/>
      <c r="G5" s="368"/>
      <c r="H5" s="368"/>
    </row>
    <row r="7" spans="1:8" x14ac:dyDescent="0.25">
      <c r="B7" s="364" t="s">
        <v>340</v>
      </c>
      <c r="C7" s="364"/>
      <c r="D7" s="364"/>
      <c r="E7" s="364"/>
      <c r="F7" s="364"/>
      <c r="G7" s="364"/>
      <c r="H7" s="364"/>
    </row>
    <row r="9" spans="1:8" x14ac:dyDescent="0.25">
      <c r="B9" s="364" t="s">
        <v>604</v>
      </c>
      <c r="C9" s="364"/>
      <c r="D9" s="364"/>
      <c r="E9" s="364"/>
      <c r="F9" s="364"/>
      <c r="G9" s="364"/>
      <c r="H9" s="364"/>
    </row>
    <row r="11" spans="1:8" x14ac:dyDescent="0.25">
      <c r="B11" s="135" t="s">
        <v>215</v>
      </c>
      <c r="C11" s="136">
        <f>+'07'!C44</f>
        <v>43921</v>
      </c>
      <c r="D11" s="136">
        <f>+'07'!D44</f>
        <v>43830</v>
      </c>
    </row>
    <row r="12" spans="1:8" x14ac:dyDescent="0.25">
      <c r="B12" s="137" t="s">
        <v>341</v>
      </c>
      <c r="C12" s="71">
        <v>98971552</v>
      </c>
      <c r="D12" s="138">
        <v>226512021</v>
      </c>
    </row>
    <row r="13" spans="1:8" x14ac:dyDescent="0.25">
      <c r="B13" s="139" t="s">
        <v>342</v>
      </c>
      <c r="C13" s="70">
        <v>11198228</v>
      </c>
      <c r="D13" s="140">
        <v>172774920</v>
      </c>
    </row>
    <row r="14" spans="1:8" x14ac:dyDescent="0.25">
      <c r="B14" s="141" t="s">
        <v>81</v>
      </c>
      <c r="C14" s="142">
        <f>SUM(C12:C13)</f>
        <v>110169780</v>
      </c>
      <c r="D14" s="142">
        <f>SUM(D12:D13)</f>
        <v>399286941</v>
      </c>
    </row>
    <row r="16" spans="1:8" x14ac:dyDescent="0.25">
      <c r="B16" s="368" t="s">
        <v>605</v>
      </c>
      <c r="C16" s="368"/>
      <c r="D16" s="368"/>
      <c r="E16" s="368"/>
      <c r="F16" s="368"/>
      <c r="G16" s="368"/>
      <c r="H16" s="368"/>
    </row>
    <row r="18" spans="2:9" x14ac:dyDescent="0.25">
      <c r="B18" s="135" t="s">
        <v>215</v>
      </c>
      <c r="C18" s="143">
        <f>+C11</f>
        <v>43921</v>
      </c>
      <c r="D18" s="143">
        <f>+D11</f>
        <v>43830</v>
      </c>
    </row>
    <row r="19" spans="2:9" x14ac:dyDescent="0.25">
      <c r="B19" s="144" t="s">
        <v>343</v>
      </c>
      <c r="C19" s="145">
        <v>20687341561.11071</v>
      </c>
      <c r="D19" s="145">
        <v>2065869961</v>
      </c>
    </row>
    <row r="20" spans="2:9" x14ac:dyDescent="0.25">
      <c r="B20" s="141" t="s">
        <v>81</v>
      </c>
      <c r="C20" s="142">
        <f>SUM(C19)</f>
        <v>20687341561.11071</v>
      </c>
      <c r="D20" s="142">
        <f>SUM(D19)</f>
        <v>2065869961</v>
      </c>
    </row>
    <row r="22" spans="2:9" x14ac:dyDescent="0.25">
      <c r="B22" s="364" t="s">
        <v>606</v>
      </c>
      <c r="C22" s="364"/>
      <c r="D22" s="364"/>
      <c r="E22" s="364"/>
      <c r="F22" s="364"/>
      <c r="G22" s="364"/>
      <c r="H22" s="364"/>
    </row>
    <row r="24" spans="2:9" x14ac:dyDescent="0.25">
      <c r="B24" s="368" t="s">
        <v>344</v>
      </c>
      <c r="C24" s="368"/>
      <c r="D24" s="368"/>
      <c r="E24" s="368"/>
      <c r="F24" s="368"/>
      <c r="G24" s="368"/>
      <c r="H24" s="368"/>
    </row>
    <row r="26" spans="2:9" ht="30" x14ac:dyDescent="0.25">
      <c r="B26" s="146" t="s">
        <v>345</v>
      </c>
      <c r="C26" s="410" t="s">
        <v>346</v>
      </c>
      <c r="D26" s="411"/>
      <c r="E26" s="60" t="s">
        <v>347</v>
      </c>
      <c r="F26" s="147" t="s">
        <v>348</v>
      </c>
      <c r="G26" s="146" t="s">
        <v>349</v>
      </c>
      <c r="H26" s="148">
        <v>43921</v>
      </c>
      <c r="I26" s="148">
        <v>43830</v>
      </c>
    </row>
    <row r="27" spans="2:9" x14ac:dyDescent="0.25">
      <c r="B27" s="87" t="s">
        <v>43</v>
      </c>
      <c r="C27" s="421" t="s">
        <v>647</v>
      </c>
      <c r="D27" s="422"/>
      <c r="E27" s="87" t="s">
        <v>352</v>
      </c>
      <c r="F27" s="145">
        <v>0</v>
      </c>
      <c r="G27" s="150"/>
      <c r="H27" s="71">
        <v>29333333</v>
      </c>
      <c r="I27" s="71">
        <v>0</v>
      </c>
    </row>
    <row r="28" spans="2:9" x14ac:dyDescent="0.25">
      <c r="B28" s="68" t="s">
        <v>45</v>
      </c>
      <c r="C28" s="423" t="s">
        <v>648</v>
      </c>
      <c r="D28" s="424"/>
      <c r="E28" s="68" t="s">
        <v>352</v>
      </c>
      <c r="F28" s="151">
        <v>0</v>
      </c>
      <c r="G28" s="152"/>
      <c r="H28" s="70">
        <v>29333333</v>
      </c>
      <c r="I28" s="70">
        <v>0</v>
      </c>
    </row>
    <row r="29" spans="2:9" x14ac:dyDescent="0.25">
      <c r="B29" s="68" t="s">
        <v>52</v>
      </c>
      <c r="C29" s="423" t="s">
        <v>107</v>
      </c>
      <c r="D29" s="424"/>
      <c r="E29" s="68" t="s">
        <v>352</v>
      </c>
      <c r="F29" s="151">
        <v>0</v>
      </c>
      <c r="G29" s="152"/>
      <c r="H29" s="70">
        <v>28022370</v>
      </c>
      <c r="I29" s="70">
        <v>29721925</v>
      </c>
    </row>
    <row r="30" spans="2:9" x14ac:dyDescent="0.25">
      <c r="B30" s="68" t="s">
        <v>55</v>
      </c>
      <c r="C30" s="423" t="s">
        <v>705</v>
      </c>
      <c r="D30" s="424"/>
      <c r="E30" s="68" t="s">
        <v>352</v>
      </c>
      <c r="F30" s="151">
        <v>0</v>
      </c>
      <c r="G30" s="153"/>
      <c r="H30" s="70">
        <v>16025000</v>
      </c>
      <c r="I30" s="70">
        <v>15000000</v>
      </c>
    </row>
    <row r="31" spans="2:9" x14ac:dyDescent="0.25">
      <c r="B31" s="68" t="s">
        <v>47</v>
      </c>
      <c r="C31" s="423" t="s">
        <v>579</v>
      </c>
      <c r="D31" s="424"/>
      <c r="E31" s="68" t="s">
        <v>352</v>
      </c>
      <c r="F31" s="151">
        <v>0</v>
      </c>
      <c r="G31" s="153"/>
      <c r="H31" s="70">
        <v>14666667</v>
      </c>
      <c r="I31" s="70">
        <v>0</v>
      </c>
    </row>
    <row r="32" spans="2:9" x14ac:dyDescent="0.25">
      <c r="B32" s="68" t="s">
        <v>353</v>
      </c>
      <c r="C32" s="423" t="s">
        <v>105</v>
      </c>
      <c r="D32" s="424"/>
      <c r="E32" s="68" t="s">
        <v>352</v>
      </c>
      <c r="F32" s="151">
        <v>0</v>
      </c>
      <c r="G32" s="152"/>
      <c r="H32" s="70">
        <v>13045000</v>
      </c>
      <c r="I32" s="70">
        <v>12000000</v>
      </c>
    </row>
    <row r="33" spans="2:9" x14ac:dyDescent="0.25">
      <c r="B33" s="68" t="s">
        <v>368</v>
      </c>
      <c r="C33" s="423" t="s">
        <v>355</v>
      </c>
      <c r="D33" s="424"/>
      <c r="E33" s="68" t="s">
        <v>352</v>
      </c>
      <c r="F33" s="151">
        <v>0</v>
      </c>
      <c r="G33" s="152"/>
      <c r="H33" s="70">
        <v>11625167</v>
      </c>
      <c r="I33" s="70">
        <v>9350000</v>
      </c>
    </row>
    <row r="34" spans="2:9" x14ac:dyDescent="0.25">
      <c r="B34" s="68" t="s">
        <v>58</v>
      </c>
      <c r="C34" s="423" t="s">
        <v>57</v>
      </c>
      <c r="D34" s="424"/>
      <c r="E34" s="68" t="s">
        <v>352</v>
      </c>
      <c r="F34" s="151">
        <v>0</v>
      </c>
      <c r="G34" s="152"/>
      <c r="H34" s="70">
        <v>10065000</v>
      </c>
      <c r="I34" s="70">
        <v>9000000</v>
      </c>
    </row>
    <row r="35" spans="2:9" x14ac:dyDescent="0.25">
      <c r="B35" s="68" t="s">
        <v>559</v>
      </c>
      <c r="C35" s="427" t="s">
        <v>538</v>
      </c>
      <c r="D35" s="428"/>
      <c r="E35" s="68" t="s">
        <v>352</v>
      </c>
      <c r="F35" s="70">
        <v>0</v>
      </c>
      <c r="G35" s="152"/>
      <c r="H35" s="70">
        <v>8703333</v>
      </c>
      <c r="I35" s="70">
        <v>7000000</v>
      </c>
    </row>
    <row r="36" spans="2:9" x14ac:dyDescent="0.25">
      <c r="B36" s="68" t="s">
        <v>53</v>
      </c>
      <c r="C36" s="427" t="s">
        <v>111</v>
      </c>
      <c r="D36" s="428"/>
      <c r="E36" s="68" t="s">
        <v>352</v>
      </c>
      <c r="F36" s="70">
        <v>0</v>
      </c>
      <c r="G36" s="152"/>
      <c r="H36" s="70">
        <v>5287374</v>
      </c>
      <c r="I36" s="70">
        <v>14470130</v>
      </c>
    </row>
    <row r="37" spans="2:9" x14ac:dyDescent="0.25">
      <c r="B37" s="68" t="s">
        <v>93</v>
      </c>
      <c r="C37" s="427" t="s">
        <v>350</v>
      </c>
      <c r="D37" s="428"/>
      <c r="E37" s="68" t="s">
        <v>351</v>
      </c>
      <c r="F37" s="70">
        <v>0</v>
      </c>
      <c r="G37" s="152"/>
      <c r="H37" s="70">
        <v>0</v>
      </c>
      <c r="I37" s="70">
        <v>1529046503</v>
      </c>
    </row>
    <row r="38" spans="2:9" x14ac:dyDescent="0.25">
      <c r="B38" s="68" t="s">
        <v>706</v>
      </c>
      <c r="C38" s="427" t="s">
        <v>69</v>
      </c>
      <c r="D38" s="428"/>
      <c r="E38" s="68" t="s">
        <v>361</v>
      </c>
      <c r="F38" s="70">
        <v>0</v>
      </c>
      <c r="G38" s="152"/>
      <c r="H38" s="70">
        <v>0</v>
      </c>
      <c r="I38" s="70">
        <v>24562656</v>
      </c>
    </row>
    <row r="39" spans="2:9" x14ac:dyDescent="0.25">
      <c r="B39" s="68" t="s">
        <v>367</v>
      </c>
      <c r="C39" s="419" t="s">
        <v>69</v>
      </c>
      <c r="D39" s="420"/>
      <c r="E39" s="68" t="s">
        <v>572</v>
      </c>
      <c r="F39" s="70">
        <v>0</v>
      </c>
      <c r="G39" s="152"/>
      <c r="H39" s="70">
        <v>0</v>
      </c>
      <c r="I39" s="70">
        <v>1249262</v>
      </c>
    </row>
    <row r="40" spans="2:9" x14ac:dyDescent="0.25">
      <c r="B40" s="64" t="s">
        <v>356</v>
      </c>
      <c r="C40" s="403"/>
      <c r="D40" s="405"/>
      <c r="E40" s="64"/>
      <c r="F40" s="64"/>
      <c r="G40" s="64"/>
      <c r="H40" s="75">
        <f>SUM(H27:H39)</f>
        <v>166106577</v>
      </c>
      <c r="I40" s="75">
        <f>SUM(I27:I39)</f>
        <v>1651400476</v>
      </c>
    </row>
    <row r="42" spans="2:9" x14ac:dyDescent="0.25">
      <c r="B42" s="36" t="s">
        <v>607</v>
      </c>
    </row>
    <row r="44" spans="2:9" x14ac:dyDescent="0.25">
      <c r="B44" s="364" t="s">
        <v>608</v>
      </c>
      <c r="C44" s="364"/>
      <c r="D44" s="364"/>
      <c r="E44" s="364"/>
      <c r="F44" s="364"/>
      <c r="G44" s="364"/>
      <c r="H44" s="364"/>
    </row>
    <row r="46" spans="2:9" x14ac:dyDescent="0.25">
      <c r="B46" s="36" t="s">
        <v>120</v>
      </c>
    </row>
    <row r="47" spans="2:9" x14ac:dyDescent="0.25">
      <c r="B47" s="154" t="s">
        <v>215</v>
      </c>
      <c r="C47" s="149">
        <f>+H26</f>
        <v>43921</v>
      </c>
      <c r="D47" s="149">
        <f>+I26</f>
        <v>43830</v>
      </c>
    </row>
    <row r="48" spans="2:9" x14ac:dyDescent="0.25">
      <c r="B48" s="155" t="s">
        <v>650</v>
      </c>
      <c r="C48" s="156">
        <v>194499769.00999999</v>
      </c>
      <c r="D48" s="156">
        <v>227766939</v>
      </c>
    </row>
    <row r="49" spans="2:8" x14ac:dyDescent="0.25">
      <c r="B49" s="157" t="s">
        <v>649</v>
      </c>
      <c r="C49" s="156">
        <v>75304359</v>
      </c>
      <c r="D49" s="158">
        <v>0</v>
      </c>
    </row>
    <row r="50" spans="2:8" x14ac:dyDescent="0.25">
      <c r="B50" s="157" t="s">
        <v>358</v>
      </c>
      <c r="C50" s="156">
        <v>37519447</v>
      </c>
      <c r="D50" s="158">
        <v>46406831</v>
      </c>
    </row>
    <row r="51" spans="2:8" x14ac:dyDescent="0.25">
      <c r="B51" s="157" t="s">
        <v>357</v>
      </c>
      <c r="C51" s="156">
        <v>48880</v>
      </c>
      <c r="D51" s="158">
        <v>1325802</v>
      </c>
    </row>
    <row r="52" spans="2:8" x14ac:dyDescent="0.25">
      <c r="B52" s="141" t="s">
        <v>303</v>
      </c>
      <c r="C52" s="159">
        <f>SUM(C48:C51)</f>
        <v>307372455.00999999</v>
      </c>
      <c r="D52" s="159">
        <f>SUM(D48:D51)</f>
        <v>275499572</v>
      </c>
    </row>
    <row r="54" spans="2:8" x14ac:dyDescent="0.25">
      <c r="B54" s="368" t="s">
        <v>359</v>
      </c>
      <c r="C54" s="368"/>
      <c r="D54" s="368"/>
      <c r="E54" s="368"/>
      <c r="F54" s="368"/>
      <c r="G54" s="368"/>
      <c r="H54" s="368"/>
    </row>
    <row r="56" spans="2:8" s="69" customFormat="1" ht="37.5" customHeight="1" x14ac:dyDescent="0.25">
      <c r="B56" s="146" t="s">
        <v>360</v>
      </c>
      <c r="C56" s="425" t="s">
        <v>346</v>
      </c>
      <c r="D56" s="426"/>
      <c r="E56" s="60" t="s">
        <v>347</v>
      </c>
      <c r="F56" s="149">
        <f>+C47</f>
        <v>43921</v>
      </c>
      <c r="G56" s="149">
        <f>+D47</f>
        <v>43830</v>
      </c>
    </row>
    <row r="57" spans="2:8" x14ac:dyDescent="0.25">
      <c r="B57" s="87" t="s">
        <v>93</v>
      </c>
      <c r="C57" s="160" t="s">
        <v>252</v>
      </c>
      <c r="D57" s="160"/>
      <c r="E57" s="87" t="s">
        <v>362</v>
      </c>
      <c r="F57" s="71">
        <v>168578569</v>
      </c>
      <c r="G57" s="145">
        <v>132916521</v>
      </c>
    </row>
    <row r="58" spans="2:8" x14ac:dyDescent="0.25">
      <c r="B58" s="68" t="s">
        <v>47</v>
      </c>
      <c r="C58" s="161" t="s">
        <v>579</v>
      </c>
      <c r="D58" s="161"/>
      <c r="E58" s="68" t="s">
        <v>362</v>
      </c>
      <c r="F58" s="70">
        <v>50488720</v>
      </c>
      <c r="G58" s="151">
        <v>1277440</v>
      </c>
    </row>
    <row r="59" spans="2:8" x14ac:dyDescent="0.25">
      <c r="B59" s="68" t="s">
        <v>43</v>
      </c>
      <c r="C59" s="161" t="s">
        <v>579</v>
      </c>
      <c r="D59" s="161"/>
      <c r="E59" s="68" t="s">
        <v>362</v>
      </c>
      <c r="F59" s="70">
        <v>35000000</v>
      </c>
      <c r="G59" s="151">
        <v>0</v>
      </c>
    </row>
    <row r="60" spans="2:8" x14ac:dyDescent="0.25">
      <c r="B60" s="68" t="s">
        <v>55</v>
      </c>
      <c r="C60" s="161" t="s">
        <v>694</v>
      </c>
      <c r="D60" s="161"/>
      <c r="E60" s="68" t="s">
        <v>362</v>
      </c>
      <c r="F60" s="70">
        <v>17333278</v>
      </c>
      <c r="G60" s="151">
        <v>24263095</v>
      </c>
    </row>
    <row r="61" spans="2:8" x14ac:dyDescent="0.25">
      <c r="B61" s="68" t="s">
        <v>353</v>
      </c>
      <c r="C61" s="161" t="s">
        <v>694</v>
      </c>
      <c r="D61" s="161"/>
      <c r="E61" s="68" t="s">
        <v>362</v>
      </c>
      <c r="F61" s="70">
        <v>14219619</v>
      </c>
      <c r="G61" s="151">
        <v>12217000</v>
      </c>
    </row>
    <row r="62" spans="2:8" x14ac:dyDescent="0.25">
      <c r="B62" s="68" t="s">
        <v>368</v>
      </c>
      <c r="C62" s="161" t="s">
        <v>355</v>
      </c>
      <c r="D62" s="161"/>
      <c r="E62" s="68" t="s">
        <v>362</v>
      </c>
      <c r="F62" s="70">
        <v>10388298</v>
      </c>
      <c r="G62" s="151">
        <v>13295513</v>
      </c>
    </row>
    <row r="63" spans="2:8" x14ac:dyDescent="0.25">
      <c r="B63" s="68" t="s">
        <v>559</v>
      </c>
      <c r="C63" s="161" t="s">
        <v>538</v>
      </c>
      <c r="D63" s="161"/>
      <c r="E63" s="68" t="s">
        <v>362</v>
      </c>
      <c r="F63" s="70">
        <v>8185528</v>
      </c>
      <c r="G63" s="151">
        <v>10549906</v>
      </c>
    </row>
    <row r="64" spans="2:8" x14ac:dyDescent="0.25">
      <c r="B64" s="68" t="s">
        <v>53</v>
      </c>
      <c r="C64" s="161" t="s">
        <v>694</v>
      </c>
      <c r="D64" s="161"/>
      <c r="E64" s="68" t="s">
        <v>362</v>
      </c>
      <c r="F64" s="70">
        <v>113020</v>
      </c>
      <c r="G64" s="151">
        <v>452080</v>
      </c>
    </row>
    <row r="65" spans="2:7" x14ac:dyDescent="0.25">
      <c r="B65" s="68" t="s">
        <v>43</v>
      </c>
      <c r="C65" s="161" t="s">
        <v>579</v>
      </c>
      <c r="D65" s="161"/>
      <c r="E65" s="68" t="s">
        <v>352</v>
      </c>
      <c r="F65" s="70">
        <v>-29333333</v>
      </c>
      <c r="G65" s="151">
        <v>0</v>
      </c>
    </row>
    <row r="66" spans="2:7" x14ac:dyDescent="0.25">
      <c r="B66" s="68" t="s">
        <v>45</v>
      </c>
      <c r="C66" s="161" t="s">
        <v>579</v>
      </c>
      <c r="D66" s="161"/>
      <c r="E66" s="68" t="s">
        <v>352</v>
      </c>
      <c r="F66" s="70">
        <v>-29333333</v>
      </c>
      <c r="G66" s="151">
        <v>0</v>
      </c>
    </row>
    <row r="67" spans="2:7" x14ac:dyDescent="0.25">
      <c r="B67" s="68" t="s">
        <v>52</v>
      </c>
      <c r="C67" s="161" t="s">
        <v>693</v>
      </c>
      <c r="D67" s="161"/>
      <c r="E67" s="68" t="s">
        <v>352</v>
      </c>
      <c r="F67" s="70">
        <v>-28022371</v>
      </c>
      <c r="G67" s="151">
        <v>-29721925</v>
      </c>
    </row>
    <row r="68" spans="2:7" x14ac:dyDescent="0.25">
      <c r="B68" s="68" t="s">
        <v>55</v>
      </c>
      <c r="C68" s="161" t="s">
        <v>694</v>
      </c>
      <c r="D68" s="161"/>
      <c r="E68" s="68" t="s">
        <v>352</v>
      </c>
      <c r="F68" s="70">
        <v>-16025000</v>
      </c>
      <c r="G68" s="151">
        <v>-15000000</v>
      </c>
    </row>
    <row r="69" spans="2:7" x14ac:dyDescent="0.25">
      <c r="B69" s="68" t="s">
        <v>47</v>
      </c>
      <c r="C69" s="161" t="s">
        <v>579</v>
      </c>
      <c r="D69" s="161"/>
      <c r="E69" s="68" t="s">
        <v>352</v>
      </c>
      <c r="F69" s="70">
        <v>-14666666</v>
      </c>
      <c r="G69" s="151">
        <v>0</v>
      </c>
    </row>
    <row r="70" spans="2:7" x14ac:dyDescent="0.25">
      <c r="B70" s="68" t="s">
        <v>353</v>
      </c>
      <c r="C70" s="161" t="s">
        <v>694</v>
      </c>
      <c r="D70" s="161"/>
      <c r="E70" s="68" t="s">
        <v>352</v>
      </c>
      <c r="F70" s="70">
        <v>-13045000</v>
      </c>
      <c r="G70" s="151">
        <v>-12000000</v>
      </c>
    </row>
    <row r="71" spans="2:7" x14ac:dyDescent="0.25">
      <c r="B71" s="68" t="s">
        <v>368</v>
      </c>
      <c r="C71" s="161" t="s">
        <v>355</v>
      </c>
      <c r="D71" s="161"/>
      <c r="E71" s="68" t="s">
        <v>352</v>
      </c>
      <c r="F71" s="70">
        <v>-11625167</v>
      </c>
      <c r="G71" s="151">
        <v>-9350000</v>
      </c>
    </row>
    <row r="72" spans="2:7" x14ac:dyDescent="0.25">
      <c r="B72" s="68" t="s">
        <v>58</v>
      </c>
      <c r="C72" s="161" t="s">
        <v>57</v>
      </c>
      <c r="D72" s="161"/>
      <c r="E72" s="68" t="s">
        <v>352</v>
      </c>
      <c r="F72" s="70">
        <v>-10065000</v>
      </c>
      <c r="G72" s="151">
        <v>-9000000</v>
      </c>
    </row>
    <row r="73" spans="2:7" x14ac:dyDescent="0.25">
      <c r="B73" s="68" t="s">
        <v>559</v>
      </c>
      <c r="C73" s="161" t="s">
        <v>538</v>
      </c>
      <c r="D73" s="161"/>
      <c r="E73" s="68" t="s">
        <v>352</v>
      </c>
      <c r="F73" s="70">
        <v>-8703333</v>
      </c>
      <c r="G73" s="151">
        <v>-7000000</v>
      </c>
    </row>
    <row r="74" spans="2:7" x14ac:dyDescent="0.25">
      <c r="B74" s="68" t="s">
        <v>53</v>
      </c>
      <c r="C74" s="161" t="s">
        <v>694</v>
      </c>
      <c r="D74" s="161"/>
      <c r="E74" s="68" t="s">
        <v>352</v>
      </c>
      <c r="F74" s="70">
        <v>-5287374</v>
      </c>
      <c r="G74" s="151">
        <v>-14470130</v>
      </c>
    </row>
    <row r="75" spans="2:7" x14ac:dyDescent="0.25">
      <c r="B75" s="68" t="s">
        <v>93</v>
      </c>
      <c r="C75" s="161" t="s">
        <v>252</v>
      </c>
      <c r="D75" s="268"/>
      <c r="E75" s="350" t="s">
        <v>651</v>
      </c>
      <c r="F75" s="70">
        <v>0</v>
      </c>
      <c r="G75" s="151">
        <v>-1529046503</v>
      </c>
    </row>
    <row r="76" spans="2:7" x14ac:dyDescent="0.25">
      <c r="B76" s="68" t="s">
        <v>571</v>
      </c>
      <c r="C76" s="161" t="s">
        <v>69</v>
      </c>
      <c r="D76" s="268"/>
      <c r="E76" s="350" t="s">
        <v>651</v>
      </c>
      <c r="F76" s="70">
        <v>0</v>
      </c>
      <c r="G76" s="151">
        <v>-24562656</v>
      </c>
    </row>
    <row r="77" spans="2:7" x14ac:dyDescent="0.25">
      <c r="B77" s="68" t="s">
        <v>367</v>
      </c>
      <c r="C77" s="161" t="s">
        <v>69</v>
      </c>
      <c r="D77" s="268"/>
      <c r="E77" s="350" t="s">
        <v>651</v>
      </c>
      <c r="F77" s="70">
        <v>0</v>
      </c>
      <c r="G77" s="151">
        <v>-1249262</v>
      </c>
    </row>
    <row r="78" spans="2:7" x14ac:dyDescent="0.25">
      <c r="B78" s="68" t="s">
        <v>52</v>
      </c>
      <c r="C78" s="161" t="s">
        <v>693</v>
      </c>
      <c r="D78" s="297"/>
      <c r="E78" s="350" t="s">
        <v>651</v>
      </c>
      <c r="F78" s="70">
        <v>0</v>
      </c>
      <c r="G78" s="151">
        <v>1030725</v>
      </c>
    </row>
    <row r="79" spans="2:7" x14ac:dyDescent="0.25">
      <c r="B79" s="403" t="s">
        <v>356</v>
      </c>
      <c r="C79" s="404"/>
      <c r="D79" s="404"/>
      <c r="E79" s="405"/>
      <c r="F79" s="75">
        <f>SUM(F57:F78)</f>
        <v>138200455</v>
      </c>
      <c r="G79" s="75">
        <f>SUM(G57:G78)</f>
        <v>-1455398196</v>
      </c>
    </row>
    <row r="81" spans="2:8" x14ac:dyDescent="0.25">
      <c r="B81" s="364" t="s">
        <v>363</v>
      </c>
      <c r="C81" s="364"/>
      <c r="D81" s="364"/>
      <c r="E81" s="364"/>
      <c r="F81" s="364"/>
      <c r="G81" s="364"/>
      <c r="H81" s="364"/>
    </row>
    <row r="83" spans="2:8" x14ac:dyDescent="0.25">
      <c r="B83" s="135" t="s">
        <v>360</v>
      </c>
      <c r="C83" s="162" t="s">
        <v>364</v>
      </c>
      <c r="D83" s="116" t="s">
        <v>365</v>
      </c>
    </row>
    <row r="84" spans="2:8" x14ac:dyDescent="0.25">
      <c r="B84" s="163" t="s">
        <v>93</v>
      </c>
      <c r="C84" s="126">
        <v>652839160</v>
      </c>
      <c r="D84" s="71">
        <v>0</v>
      </c>
    </row>
    <row r="85" spans="2:8" x14ac:dyDescent="0.25">
      <c r="B85" s="164" t="s">
        <v>47</v>
      </c>
      <c r="C85" s="165">
        <v>5599782</v>
      </c>
      <c r="D85" s="70">
        <v>65721267</v>
      </c>
    </row>
    <row r="86" spans="2:8" x14ac:dyDescent="0.25">
      <c r="B86" s="164" t="s">
        <v>573</v>
      </c>
      <c r="C86" s="165">
        <v>5558175</v>
      </c>
      <c r="D86" s="127">
        <v>121637933</v>
      </c>
    </row>
    <row r="87" spans="2:8" x14ac:dyDescent="0.25">
      <c r="B87" s="164" t="s">
        <v>366</v>
      </c>
      <c r="C87" s="165">
        <v>4934045</v>
      </c>
      <c r="D87" s="127">
        <v>121637933</v>
      </c>
    </row>
    <row r="88" spans="2:8" x14ac:dyDescent="0.25">
      <c r="B88" s="164" t="s">
        <v>55</v>
      </c>
      <c r="C88" s="165">
        <v>870551</v>
      </c>
      <c r="D88" s="127">
        <v>28500000</v>
      </c>
    </row>
    <row r="89" spans="2:8" x14ac:dyDescent="0.25">
      <c r="B89" s="164" t="s">
        <v>353</v>
      </c>
      <c r="C89" s="165">
        <v>804030</v>
      </c>
      <c r="D89" s="127">
        <v>25500000</v>
      </c>
    </row>
    <row r="90" spans="2:8" x14ac:dyDescent="0.25">
      <c r="B90" s="164" t="s">
        <v>52</v>
      </c>
      <c r="C90" s="128">
        <v>631462</v>
      </c>
      <c r="D90" s="70">
        <v>93793247</v>
      </c>
    </row>
    <row r="91" spans="2:8" x14ac:dyDescent="0.25">
      <c r="B91" s="164" t="s">
        <v>368</v>
      </c>
      <c r="C91" s="128">
        <v>346895</v>
      </c>
      <c r="D91" s="70">
        <v>37400000</v>
      </c>
    </row>
    <row r="92" spans="2:8" x14ac:dyDescent="0.25">
      <c r="B92" s="164" t="s">
        <v>370</v>
      </c>
      <c r="C92" s="128">
        <v>305023</v>
      </c>
      <c r="D92" s="166">
        <v>0</v>
      </c>
    </row>
    <row r="93" spans="2:8" x14ac:dyDescent="0.25">
      <c r="B93" s="164" t="s">
        <v>53</v>
      </c>
      <c r="C93" s="128">
        <v>206788</v>
      </c>
      <c r="D93" s="70">
        <v>41907693</v>
      </c>
    </row>
    <row r="94" spans="2:8" x14ac:dyDescent="0.25">
      <c r="B94" s="164" t="s">
        <v>559</v>
      </c>
      <c r="C94" s="128">
        <v>184887</v>
      </c>
      <c r="D94" s="70">
        <v>28000000</v>
      </c>
    </row>
    <row r="95" spans="2:8" x14ac:dyDescent="0.25">
      <c r="B95" s="164" t="s">
        <v>367</v>
      </c>
      <c r="C95" s="128">
        <v>0</v>
      </c>
      <c r="D95" s="70">
        <v>16249316</v>
      </c>
    </row>
    <row r="96" spans="2:8" x14ac:dyDescent="0.25">
      <c r="B96" s="164" t="s">
        <v>58</v>
      </c>
      <c r="C96" s="128">
        <v>0</v>
      </c>
      <c r="D96" s="70">
        <v>22500000</v>
      </c>
    </row>
    <row r="97" spans="2:8" x14ac:dyDescent="0.25">
      <c r="B97" s="167" t="s">
        <v>369</v>
      </c>
      <c r="C97" s="128">
        <v>0</v>
      </c>
      <c r="D97" s="72">
        <v>3300000</v>
      </c>
    </row>
    <row r="98" spans="2:8" x14ac:dyDescent="0.25">
      <c r="B98" s="141" t="s">
        <v>652</v>
      </c>
      <c r="C98" s="142">
        <f>SUM(C84:C97)</f>
        <v>672280798</v>
      </c>
      <c r="D98" s="142">
        <f>SUM(D84:D97)</f>
        <v>606147389</v>
      </c>
    </row>
    <row r="99" spans="2:8" x14ac:dyDescent="0.25">
      <c r="B99" s="141" t="s">
        <v>558</v>
      </c>
      <c r="C99" s="142">
        <v>4049857428</v>
      </c>
      <c r="D99" s="75">
        <v>1931404160.5274725</v>
      </c>
    </row>
    <row r="101" spans="2:8" x14ac:dyDescent="0.25">
      <c r="B101" s="168" t="s">
        <v>371</v>
      </c>
    </row>
    <row r="103" spans="2:8" ht="30" x14ac:dyDescent="0.25">
      <c r="B103" s="60" t="s">
        <v>215</v>
      </c>
      <c r="C103" s="60" t="s">
        <v>372</v>
      </c>
      <c r="D103" s="60" t="s">
        <v>373</v>
      </c>
      <c r="E103" s="60" t="s">
        <v>374</v>
      </c>
      <c r="F103" s="60" t="s">
        <v>375</v>
      </c>
    </row>
    <row r="104" spans="2:8" x14ac:dyDescent="0.25">
      <c r="B104" s="87" t="s">
        <v>64</v>
      </c>
      <c r="C104" s="71">
        <v>14763000000</v>
      </c>
      <c r="D104" s="71">
        <v>0</v>
      </c>
      <c r="E104" s="71">
        <v>0</v>
      </c>
      <c r="F104" s="71">
        <v>14763000000</v>
      </c>
    </row>
    <row r="105" spans="2:8" x14ac:dyDescent="0.25">
      <c r="B105" s="68" t="s">
        <v>376</v>
      </c>
      <c r="C105" s="70">
        <v>0</v>
      </c>
      <c r="D105" s="70">
        <v>0</v>
      </c>
      <c r="E105" s="70">
        <v>0</v>
      </c>
      <c r="F105" s="70">
        <v>0</v>
      </c>
    </row>
    <row r="106" spans="2:8" x14ac:dyDescent="0.25">
      <c r="B106" s="68" t="s">
        <v>377</v>
      </c>
      <c r="C106" s="70">
        <v>1142346119</v>
      </c>
      <c r="D106" s="70">
        <v>0</v>
      </c>
      <c r="E106" s="70">
        <v>0</v>
      </c>
      <c r="F106" s="70">
        <v>1142346119</v>
      </c>
    </row>
    <row r="107" spans="2:8" x14ac:dyDescent="0.25">
      <c r="B107" s="68" t="s">
        <v>378</v>
      </c>
      <c r="C107" s="70">
        <v>735500000</v>
      </c>
      <c r="D107" s="70">
        <v>0</v>
      </c>
      <c r="E107" s="70">
        <v>0</v>
      </c>
      <c r="F107" s="70">
        <v>735500000</v>
      </c>
    </row>
    <row r="108" spans="2:8" x14ac:dyDescent="0.25">
      <c r="B108" s="68" t="s">
        <v>208</v>
      </c>
      <c r="C108" s="70">
        <v>0</v>
      </c>
      <c r="D108" s="70">
        <v>4103634695</v>
      </c>
      <c r="E108" s="70">
        <v>0</v>
      </c>
      <c r="F108" s="70">
        <v>4103634695</v>
      </c>
    </row>
    <row r="109" spans="2:8" x14ac:dyDescent="0.25">
      <c r="B109" s="91" t="s">
        <v>210</v>
      </c>
      <c r="C109" s="72">
        <v>4103634695</v>
      </c>
      <c r="D109" s="72">
        <v>1137024181</v>
      </c>
      <c r="E109" s="72">
        <v>-4103634695</v>
      </c>
      <c r="F109" s="72">
        <v>1137024181</v>
      </c>
    </row>
    <row r="110" spans="2:8" x14ac:dyDescent="0.25">
      <c r="B110" s="64" t="s">
        <v>81</v>
      </c>
      <c r="C110" s="75">
        <f>SUM(C104:C109)</f>
        <v>20744480814</v>
      </c>
      <c r="D110" s="75">
        <f>SUM(D104:D109)</f>
        <v>5240658876</v>
      </c>
      <c r="E110" s="75">
        <f>SUM(E104:E109)</f>
        <v>-4103634695</v>
      </c>
      <c r="F110" s="75">
        <f>SUM(F104:F109)</f>
        <v>21881504995</v>
      </c>
    </row>
    <row r="112" spans="2:8" x14ac:dyDescent="0.25">
      <c r="B112" s="368" t="s">
        <v>609</v>
      </c>
      <c r="C112" s="368"/>
      <c r="D112" s="368"/>
      <c r="E112" s="368"/>
      <c r="F112" s="368"/>
      <c r="G112" s="368"/>
      <c r="H112" s="368"/>
    </row>
    <row r="114" spans="2:8" x14ac:dyDescent="0.25">
      <c r="B114" s="364" t="s">
        <v>379</v>
      </c>
      <c r="C114" s="364"/>
      <c r="D114" s="364"/>
      <c r="E114" s="364"/>
      <c r="F114" s="364"/>
      <c r="G114" s="364"/>
      <c r="H114" s="364"/>
    </row>
    <row r="115" spans="2:8" x14ac:dyDescent="0.25">
      <c r="B115" s="169"/>
      <c r="C115" s="169"/>
      <c r="D115" s="169"/>
      <c r="E115" s="169"/>
      <c r="F115" s="169"/>
      <c r="G115" s="169"/>
      <c r="H115" s="169"/>
    </row>
    <row r="116" spans="2:8" x14ac:dyDescent="0.25">
      <c r="B116" s="364" t="s">
        <v>216</v>
      </c>
      <c r="C116" s="364"/>
      <c r="D116" s="364"/>
      <c r="E116" s="364"/>
      <c r="F116" s="364"/>
      <c r="G116" s="364"/>
      <c r="H116" s="364"/>
    </row>
    <row r="117" spans="2:8" x14ac:dyDescent="0.25">
      <c r="B117" s="170" t="s">
        <v>215</v>
      </c>
      <c r="C117" s="171">
        <f>+F56</f>
        <v>43921</v>
      </c>
      <c r="D117" s="171">
        <f>+G56</f>
        <v>43830</v>
      </c>
    </row>
    <row r="118" spans="2:8" x14ac:dyDescent="0.25">
      <c r="B118" s="172" t="s">
        <v>381</v>
      </c>
      <c r="C118" s="173">
        <v>616800205</v>
      </c>
      <c r="D118" s="173">
        <v>455250141</v>
      </c>
    </row>
    <row r="119" spans="2:8" x14ac:dyDescent="0.25">
      <c r="B119" s="174" t="s">
        <v>380</v>
      </c>
      <c r="C119" s="175">
        <v>138764876</v>
      </c>
      <c r="D119" s="175">
        <v>55411686</v>
      </c>
    </row>
    <row r="120" spans="2:8" x14ac:dyDescent="0.25">
      <c r="B120" s="176"/>
      <c r="C120" s="175"/>
      <c r="D120" s="175"/>
    </row>
    <row r="121" spans="2:8" x14ac:dyDescent="0.25">
      <c r="B121" s="177" t="s">
        <v>81</v>
      </c>
      <c r="C121" s="178">
        <f>SUM(C118:C120)</f>
        <v>755565081</v>
      </c>
      <c r="D121" s="178">
        <f>SUM(D118:D120)</f>
        <v>510661827</v>
      </c>
    </row>
    <row r="123" spans="2:8" x14ac:dyDescent="0.25">
      <c r="B123" s="364" t="s">
        <v>382</v>
      </c>
      <c r="C123" s="364"/>
      <c r="D123" s="364"/>
      <c r="E123" s="364"/>
      <c r="F123" s="364"/>
      <c r="G123" s="364"/>
      <c r="H123" s="364"/>
    </row>
    <row r="124" spans="2:8" x14ac:dyDescent="0.25">
      <c r="B124" s="170" t="s">
        <v>215</v>
      </c>
      <c r="C124" s="171">
        <f>+C117</f>
        <v>43921</v>
      </c>
      <c r="D124" s="171">
        <f>+D117</f>
        <v>43830</v>
      </c>
    </row>
    <row r="125" spans="2:8" x14ac:dyDescent="0.25">
      <c r="B125" s="416" t="s">
        <v>274</v>
      </c>
      <c r="C125" s="416" t="s">
        <v>274</v>
      </c>
      <c r="D125" s="416" t="s">
        <v>274</v>
      </c>
    </row>
    <row r="126" spans="2:8" x14ac:dyDescent="0.25">
      <c r="B126" s="417"/>
      <c r="C126" s="417"/>
      <c r="D126" s="417"/>
    </row>
    <row r="127" spans="2:8" x14ac:dyDescent="0.25">
      <c r="B127" s="418"/>
      <c r="C127" s="418"/>
      <c r="D127" s="418"/>
    </row>
    <row r="128" spans="2:8" x14ac:dyDescent="0.25">
      <c r="B128" s="177" t="s">
        <v>81</v>
      </c>
      <c r="C128" s="179">
        <v>0</v>
      </c>
      <c r="D128" s="179">
        <v>0</v>
      </c>
    </row>
    <row r="130" spans="2:8" x14ac:dyDescent="0.25">
      <c r="B130" s="364" t="s">
        <v>217</v>
      </c>
      <c r="C130" s="364"/>
      <c r="D130" s="364"/>
      <c r="E130" s="364"/>
      <c r="F130" s="364"/>
      <c r="G130" s="364"/>
      <c r="H130" s="364"/>
    </row>
    <row r="131" spans="2:8" x14ac:dyDescent="0.25">
      <c r="B131" s="170" t="s">
        <v>215</v>
      </c>
      <c r="C131" s="120">
        <f>+C124</f>
        <v>43921</v>
      </c>
      <c r="D131" s="120">
        <f>+D124</f>
        <v>43830</v>
      </c>
    </row>
    <row r="132" spans="2:8" x14ac:dyDescent="0.25">
      <c r="B132" s="172" t="s">
        <v>384</v>
      </c>
      <c r="C132" s="175">
        <v>111091000</v>
      </c>
      <c r="D132" s="175">
        <v>78120909</v>
      </c>
    </row>
    <row r="133" spans="2:8" x14ac:dyDescent="0.25">
      <c r="B133" s="174" t="s">
        <v>223</v>
      </c>
      <c r="C133" s="175">
        <v>21156102</v>
      </c>
      <c r="D133" s="175">
        <v>22732628</v>
      </c>
    </row>
    <row r="134" spans="2:8" x14ac:dyDescent="0.25">
      <c r="B134" s="174" t="s">
        <v>385</v>
      </c>
      <c r="C134" s="175">
        <v>5750000</v>
      </c>
      <c r="D134" s="175">
        <v>15562500</v>
      </c>
    </row>
    <row r="135" spans="2:8" x14ac:dyDescent="0.25">
      <c r="B135" s="174" t="s">
        <v>383</v>
      </c>
      <c r="C135" s="175">
        <v>5600000</v>
      </c>
      <c r="D135" s="175">
        <v>3600000</v>
      </c>
    </row>
    <row r="136" spans="2:8" x14ac:dyDescent="0.25">
      <c r="B136" s="177" t="s">
        <v>81</v>
      </c>
      <c r="C136" s="178">
        <f>SUM(C132:C135)</f>
        <v>143597102</v>
      </c>
      <c r="D136" s="178">
        <f>SUM(D132:D135)</f>
        <v>120016037</v>
      </c>
    </row>
    <row r="138" spans="2:8" x14ac:dyDescent="0.25">
      <c r="B138" s="364" t="s">
        <v>386</v>
      </c>
      <c r="C138" s="364"/>
      <c r="D138" s="364"/>
      <c r="E138" s="364"/>
      <c r="F138" s="364"/>
      <c r="G138" s="364"/>
      <c r="H138" s="364"/>
    </row>
    <row r="140" spans="2:8" x14ac:dyDescent="0.25">
      <c r="B140" s="364" t="s">
        <v>218</v>
      </c>
      <c r="C140" s="364"/>
      <c r="D140" s="364"/>
      <c r="E140" s="364"/>
      <c r="F140" s="364"/>
      <c r="G140" s="364"/>
      <c r="H140" s="364"/>
    </row>
    <row r="141" spans="2:8" x14ac:dyDescent="0.25">
      <c r="B141" s="180" t="s">
        <v>215</v>
      </c>
      <c r="C141" s="181">
        <f>+C131</f>
        <v>43921</v>
      </c>
      <c r="D141" s="181">
        <f>+D131</f>
        <v>43830</v>
      </c>
    </row>
    <row r="142" spans="2:8" x14ac:dyDescent="0.25">
      <c r="B142" s="182" t="s">
        <v>387</v>
      </c>
      <c r="C142" s="173">
        <v>-860429843</v>
      </c>
      <c r="D142" s="183">
        <v>-340414259</v>
      </c>
    </row>
    <row r="143" spans="2:8" x14ac:dyDescent="0.25">
      <c r="B143" s="184" t="s">
        <v>218</v>
      </c>
      <c r="C143" s="175">
        <v>-26225501</v>
      </c>
      <c r="D143" s="185">
        <v>-31590853</v>
      </c>
    </row>
    <row r="144" spans="2:8" x14ac:dyDescent="0.25">
      <c r="B144" s="184" t="s">
        <v>388</v>
      </c>
      <c r="C144" s="175">
        <v>-8411980</v>
      </c>
      <c r="D144" s="185">
        <v>-8500239</v>
      </c>
    </row>
    <row r="145" spans="2:8" x14ac:dyDescent="0.25">
      <c r="B145" s="298" t="s">
        <v>389</v>
      </c>
      <c r="C145" s="175">
        <v>-3336439</v>
      </c>
      <c r="D145" s="185">
        <v>-5683123</v>
      </c>
    </row>
    <row r="146" spans="2:8" x14ac:dyDescent="0.25">
      <c r="B146" s="351" t="s">
        <v>81</v>
      </c>
      <c r="C146" s="179">
        <f>SUM(C142:C145)</f>
        <v>-898403763</v>
      </c>
      <c r="D146" s="179">
        <f>SUM(D142:D145)</f>
        <v>-386188474</v>
      </c>
    </row>
    <row r="148" spans="2:8" x14ac:dyDescent="0.25">
      <c r="B148" s="364" t="s">
        <v>219</v>
      </c>
      <c r="C148" s="364"/>
      <c r="D148" s="364"/>
      <c r="E148" s="364"/>
      <c r="F148" s="364"/>
      <c r="G148" s="364"/>
      <c r="H148" s="364"/>
    </row>
    <row r="149" spans="2:8" x14ac:dyDescent="0.25">
      <c r="B149" s="180" t="s">
        <v>215</v>
      </c>
      <c r="C149" s="125">
        <f>+C141</f>
        <v>43921</v>
      </c>
      <c r="D149" s="125">
        <f>+D141</f>
        <v>43830</v>
      </c>
    </row>
    <row r="150" spans="2:8" x14ac:dyDescent="0.25">
      <c r="B150" s="182" t="s">
        <v>391</v>
      </c>
      <c r="C150" s="173">
        <v>-37300774</v>
      </c>
      <c r="D150" s="185">
        <v>-1086120</v>
      </c>
    </row>
    <row r="151" spans="2:8" x14ac:dyDescent="0.25">
      <c r="B151" s="184" t="s">
        <v>390</v>
      </c>
      <c r="C151" s="175">
        <v>-4334366</v>
      </c>
      <c r="D151" s="185">
        <v>-884546</v>
      </c>
    </row>
    <row r="152" spans="2:8" x14ac:dyDescent="0.25">
      <c r="B152" s="184" t="s">
        <v>392</v>
      </c>
      <c r="C152" s="175">
        <v>-3843056</v>
      </c>
      <c r="D152" s="185">
        <v>-4874001</v>
      </c>
    </row>
    <row r="153" spans="2:8" x14ac:dyDescent="0.25">
      <c r="B153" s="186" t="s">
        <v>81</v>
      </c>
      <c r="C153" s="179">
        <f>SUM(C150:C152)</f>
        <v>-45478196</v>
      </c>
      <c r="D153" s="179">
        <f>SUM(D150:D152)</f>
        <v>-6844667</v>
      </c>
    </row>
    <row r="155" spans="2:8" x14ac:dyDescent="0.25">
      <c r="B155" s="364" t="s">
        <v>220</v>
      </c>
      <c r="C155" s="364"/>
      <c r="D155" s="364"/>
      <c r="E155" s="364"/>
      <c r="F155" s="364"/>
      <c r="G155" s="364"/>
      <c r="H155" s="364"/>
    </row>
    <row r="156" spans="2:8" x14ac:dyDescent="0.25">
      <c r="B156" s="180" t="s">
        <v>215</v>
      </c>
      <c r="C156" s="125">
        <f>+C149</f>
        <v>43921</v>
      </c>
      <c r="D156" s="125">
        <f>+D149</f>
        <v>43830</v>
      </c>
    </row>
    <row r="157" spans="2:8" x14ac:dyDescent="0.25">
      <c r="B157" s="182" t="s">
        <v>395</v>
      </c>
      <c r="C157" s="173">
        <v>-73420065</v>
      </c>
      <c r="D157" s="185">
        <v>-157337192</v>
      </c>
    </row>
    <row r="158" spans="2:8" x14ac:dyDescent="0.25">
      <c r="B158" s="184" t="s">
        <v>396</v>
      </c>
      <c r="C158" s="175">
        <v>-30490068</v>
      </c>
      <c r="D158" s="185">
        <v>-3158212</v>
      </c>
    </row>
    <row r="159" spans="2:8" x14ac:dyDescent="0.25">
      <c r="B159" s="184" t="s">
        <v>394</v>
      </c>
      <c r="C159" s="175">
        <v>-6409092</v>
      </c>
      <c r="D159" s="185">
        <v>-51001103</v>
      </c>
    </row>
    <row r="160" spans="2:8" x14ac:dyDescent="0.25">
      <c r="B160" s="184" t="s">
        <v>393</v>
      </c>
      <c r="C160" s="175">
        <v>-2368505</v>
      </c>
      <c r="D160" s="185">
        <v>-957828</v>
      </c>
    </row>
    <row r="161" spans="2:8" x14ac:dyDescent="0.25">
      <c r="B161" s="186" t="s">
        <v>81</v>
      </c>
      <c r="C161" s="179">
        <f>SUM(C157:C160)</f>
        <v>-112687730</v>
      </c>
      <c r="D161" s="179">
        <f>SUM(D157:D160)</f>
        <v>-212454335</v>
      </c>
    </row>
    <row r="163" spans="2:8" x14ac:dyDescent="0.25">
      <c r="B163" s="364" t="s">
        <v>397</v>
      </c>
      <c r="C163" s="364"/>
      <c r="D163" s="364"/>
      <c r="E163" s="364"/>
      <c r="F163" s="364"/>
      <c r="G163" s="364"/>
      <c r="H163" s="364"/>
    </row>
    <row r="165" spans="2:8" x14ac:dyDescent="0.25">
      <c r="B165" s="36" t="s">
        <v>221</v>
      </c>
    </row>
    <row r="166" spans="2:8" x14ac:dyDescent="0.25">
      <c r="B166" s="170" t="s">
        <v>215</v>
      </c>
      <c r="C166" s="120">
        <f>+C156</f>
        <v>43921</v>
      </c>
      <c r="D166" s="120">
        <f>+D156</f>
        <v>43830</v>
      </c>
    </row>
    <row r="167" spans="2:8" x14ac:dyDescent="0.25">
      <c r="B167" s="137" t="s">
        <v>221</v>
      </c>
      <c r="C167" s="71">
        <v>180529014</v>
      </c>
      <c r="D167" s="70">
        <v>64216378</v>
      </c>
    </row>
    <row r="168" spans="2:8" x14ac:dyDescent="0.25">
      <c r="B168" s="157" t="s">
        <v>400</v>
      </c>
      <c r="C168" s="70">
        <v>136662570</v>
      </c>
      <c r="D168" s="70">
        <v>69238277</v>
      </c>
    </row>
    <row r="169" spans="2:8" x14ac:dyDescent="0.25">
      <c r="B169" s="157" t="s">
        <v>398</v>
      </c>
      <c r="C169" s="70">
        <v>751312</v>
      </c>
      <c r="D169" s="70">
        <v>881916</v>
      </c>
    </row>
    <row r="170" spans="2:8" x14ac:dyDescent="0.25">
      <c r="B170" s="157" t="s">
        <v>399</v>
      </c>
      <c r="C170" s="70">
        <v>0</v>
      </c>
      <c r="D170" s="70">
        <v>883637</v>
      </c>
    </row>
    <row r="171" spans="2:8" x14ac:dyDescent="0.25">
      <c r="B171" s="177" t="s">
        <v>81</v>
      </c>
      <c r="C171" s="178">
        <f>SUM(C167:C170)</f>
        <v>317942896</v>
      </c>
      <c r="D171" s="178">
        <f>SUM(D167:D170)</f>
        <v>135220208</v>
      </c>
    </row>
    <row r="173" spans="2:8" x14ac:dyDescent="0.25">
      <c r="B173" s="36" t="s">
        <v>222</v>
      </c>
    </row>
    <row r="174" spans="2:8" x14ac:dyDescent="0.25">
      <c r="B174" s="170" t="s">
        <v>215</v>
      </c>
      <c r="C174" s="120">
        <f>+C166</f>
        <v>43921</v>
      </c>
      <c r="D174" s="120">
        <f>+D166</f>
        <v>43830</v>
      </c>
    </row>
    <row r="175" spans="2:8" x14ac:dyDescent="0.25">
      <c r="B175" s="414" t="s">
        <v>274</v>
      </c>
      <c r="C175" s="412" t="s">
        <v>274</v>
      </c>
      <c r="D175" s="412" t="s">
        <v>274</v>
      </c>
    </row>
    <row r="176" spans="2:8" x14ac:dyDescent="0.25">
      <c r="B176" s="415"/>
      <c r="C176" s="413"/>
      <c r="D176" s="413"/>
    </row>
    <row r="177" spans="2:4" x14ac:dyDescent="0.25">
      <c r="B177" s="177" t="s">
        <v>81</v>
      </c>
      <c r="C177" s="187"/>
      <c r="D177" s="178">
        <f>SUM(D175:D176)</f>
        <v>0</v>
      </c>
    </row>
  </sheetData>
  <sortState xmlns:xlrd2="http://schemas.microsoft.com/office/spreadsheetml/2017/richdata2" ref="B167:D170">
    <sortCondition descending="1" ref="C167:C170"/>
  </sortState>
  <mergeCells count="44">
    <mergeCell ref="C27:D27"/>
    <mergeCell ref="C31:D31"/>
    <mergeCell ref="C32:D32"/>
    <mergeCell ref="B54:H54"/>
    <mergeCell ref="C56:D56"/>
    <mergeCell ref="B44:H44"/>
    <mergeCell ref="C33:D33"/>
    <mergeCell ref="C28:D28"/>
    <mergeCell ref="C29:D29"/>
    <mergeCell ref="C30:D30"/>
    <mergeCell ref="C40:D40"/>
    <mergeCell ref="C35:D35"/>
    <mergeCell ref="C36:D36"/>
    <mergeCell ref="C34:D34"/>
    <mergeCell ref="C37:D37"/>
    <mergeCell ref="C38:D38"/>
    <mergeCell ref="C39:D39"/>
    <mergeCell ref="B114:H114"/>
    <mergeCell ref="B116:H116"/>
    <mergeCell ref="B112:H112"/>
    <mergeCell ref="B81:H81"/>
    <mergeCell ref="B79:E79"/>
    <mergeCell ref="B148:H148"/>
    <mergeCell ref="B138:H138"/>
    <mergeCell ref="B140:H140"/>
    <mergeCell ref="B130:H130"/>
    <mergeCell ref="B123:H123"/>
    <mergeCell ref="C125:C127"/>
    <mergeCell ref="D125:D127"/>
    <mergeCell ref="B125:B127"/>
    <mergeCell ref="C175:C176"/>
    <mergeCell ref="D175:D176"/>
    <mergeCell ref="B175:B176"/>
    <mergeCell ref="B163:H163"/>
    <mergeCell ref="B155:H155"/>
    <mergeCell ref="C26:D26"/>
    <mergeCell ref="B2:H2"/>
    <mergeCell ref="B3:H3"/>
    <mergeCell ref="B5:H5"/>
    <mergeCell ref="B22:H22"/>
    <mergeCell ref="B24:H24"/>
    <mergeCell ref="B16:H16"/>
    <mergeCell ref="B7:H7"/>
    <mergeCell ref="B9:H9"/>
  </mergeCells>
  <hyperlinks>
    <hyperlink ref="A1" location="ÍNDICE!A1" display="Indice" xr:uid="{66E7A292-58BA-42BC-830C-BEED80809CB1}"/>
  </hyperlinks>
  <pageMargins left="0.25" right="0.25" top="0.75" bottom="0.75" header="0.3" footer="0.3"/>
  <pageSetup paperSize="9" scale="27" orientation="portrait" r:id="rId1"/>
  <ignoredErrors>
    <ignoredError sqref="C121:D121 C153:D153 C161:D161 C171:D171 H40:I40" formulaRange="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H3+iou+fa8RlbhGlC6BpETEgMSbpx9SB9w9rb+ILAeg=</DigestValue>
    </Reference>
    <Reference Type="http://www.w3.org/2000/09/xmldsig#Object" URI="#idOfficeObject">
      <DigestMethod Algorithm="http://www.w3.org/2001/04/xmlenc#sha256"/>
      <DigestValue>ExftwK/b0Y0EN8egOcROLX3KDn2rpRtsNJTZqHuuGbs=</DigestValue>
    </Reference>
    <Reference Type="http://uri.etsi.org/01903#SignedProperties" URI="#idSignedProperties">
      <Transforms>
        <Transform Algorithm="http://www.w3.org/TR/2001/REC-xml-c14n-20010315"/>
      </Transforms>
      <DigestMethod Algorithm="http://www.w3.org/2001/04/xmlenc#sha256"/>
      <DigestValue>JZbSDOknRQDLZdhFNtE60MAKwkVuclH3opGrKiD7pj8=</DigestValue>
    </Reference>
  </SignedInfo>
  <SignatureValue>ZnI9v2f/HUQL9E5RsFI7t1pO6VT3SOfKrjS/horXpJIFTjNHRVxjZ5/I7BjU9QkxQ1ZuOiehn+cw
Mp7wV1BffbjN79UOOvsVke/AlWvjod3uAG9moYLYziV/MyCjCayYWee9h4Mow+COK3P1iUA2/5ab
G5/kPEo3kGwiViRJ2XTbIEqOvL351Dy+ver7U20ydghXhq3Kexne7FA/rsE4jMBw4vPDDlXmDOsf
RL6NURbI/y6pP7W5uhpLi6wqpkwxi1tL32K0bJCOf/UL2yGglY2sq0/IAUp6hR3+t7tchVLV3sSl
hs7Wb68lFjlrbmTYSG+hMDyoZkoMLG1nk37h4A==</SignatureValue>
  <KeyInfo>
    <X509Data>
      <X509Certificate>MIIH6zCCBdOgAwIBAgIIWNl38kf8QYswDQYJKoZIhvcNAQELBQAwWzEXMBUGA1UEBRMOUlVDIDgwMDUwMTcyLTExGjAYBgNVBAMTEUNBLURPQ1VNRU5UQSBTLkEuMRcwFQYDVQQKEw5ET0NVTUVOVEEgUy5BLjELMAkGA1UEBhMCUFkwHhcNMTkwNzE4MTg0NTAyWhcNMjEwNzE3MTg1NTAyWjCBkTELMAkGA1UEBhMCUFkxDjAMBgNVBAQMBUdFTEFZMRIwEAYDVQQFEwlDSTIwNTgwNjcxFTATBgNVBCoMDEVMSUFTIE1JR1VFTDEXMBUGA1UECgwOUEVSU09OQSBGSVNJQ0ExETAPBgNVBAsMCEZJUk1BIEYyMRswGQYDVQQDDBJFTElBUyBNSUdVRUwgR0VMQVkwggEiMA0GCSqGSIb3DQEBAQUAA4IBDwAwggEKAoIBAQDWg6y9wVxPFbaqb4PpRbgoy4iy6lrB+5ngjZBxYbXNbREqr+3MrcRCl/Y+gmnjBZG/9UuAi12O0e3Q0Zc874kLQezV3HZYO+s9viobXTVKcfagvFGqMmaa4GSX6TQzORBoQ3a7ePahXEJqwxmL8wJnt4zgFgedW5u3i4FXDRttWyVDmdwNHZXv4goE3kJHc3rArYtJdOrHRmEWiTtEq8+Y5PXfhOg4ESTJRpVUpvRjbBsI4QZKMOAiw3xwLljVnjDwMc1uAMyzSvIyl1Wmv0vG1CW+xpaNUx+PTV4j5ZxtTk/KS9xjFniZrA08i2int6hVQSf5RMgDAY0iAUwCmJB5AgMBAAGjggN6MIIDdjAMBgNVHRMBAf8EAjAAMA4GA1UdDwEB/wQEAwIF4DAqBgNVHSUBAf8EIDAeBggrBgEFBQcDAQYIKwYBBQUHAwIGCCsGAQUFBwMEMB0GA1UdDgQWBBS11nX/zBr8gECbQDyM8+1+B4stXz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fBgNVHREEGDAWgRRlZ2VsYXlAY2FkaWVt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MNthzt/ym5Xo/YZGcvlAqhn6SX2gk1GipdQySc7sTXIsxAfjjwB59i6VPpHfQOH3pOMbeqB2mVyadt0t4DNARuKl3WMYJLQLQcFgcZVY3gSq5NwyGG1XB1FaMQRn/5PHwf42w3etQW1Ua9x/8x10yhF6lik5pefiGH0ndVvZHtasZe4h4iPA4h2Js6FbFT3A0xj3iFQxtetUr+FUH851w4GngCErrszbywOm2dt8RdRzILFfDFGsfPLUBxMXWx52/6Eq7L58KM8LNplaQIItSjG/s+YkFSWdnx2la4eXORjnwgTCWokRDYggASgF/N+eLKqr7v0Tpy+9KR8X3CJjb51YE4ar5rkzdVPheSzwbZh2+F5ahZvsBI3I1bm7mqjw7kc9ZhTGP47NU10/G26e6xWH1VHUDioAK+RHDQe4QuVMRPLs00ztp03wcBhQBgQJeecgtAIRC2RUzaxBVtDJLTdPO2qF6kHfAsRHqzoPOootPo+g7mqHNoJg5YCQSZQdNLaOhNkLPnQUkoJrSQ17QdDU2oAZANogmp3YDAPvYV9J60gz58avF6bSZYv7otwNS3eQUZkSoAsw/CCU7TaFFxvwBDYslFTIYYz82QKswkozYSVjmZjJiiqsv3isQXVDpPO4w2KVilUS1Z602ifHnUaYfv+zvDOHvVYjLlTw4t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tPfFKR20IXre0MS0MIg86qHAvDJDWvaF5iHNgKv74NM=</DigestValue>
      </Reference>
      <Reference URI="/xl/calcChain.xml?ContentType=application/vnd.openxmlformats-officedocument.spreadsheetml.calcChain+xml">
        <DigestMethod Algorithm="http://www.w3.org/2001/04/xmlenc#sha256"/>
        <DigestValue>SeW7hq7AAZilDNOBFVJwHoXnMM8LAGu1D/SIrh9ibLA=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lfZ4d80lru+vyLpXRCFjXS5xjjimRlcx4gNAr/DwL+Y=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30CZs62FwPe+TuaxZ1toEM5ViByhyaEVGysevV25DpM=</DigestValue>
      </Reference>
      <Reference URI="/xl/externalLinks/externalLink1.xml?ContentType=application/vnd.openxmlformats-officedocument.spreadsheetml.externalLink+xml">
        <DigestMethod Algorithm="http://www.w3.org/2001/04/xmlenc#sha256"/>
        <DigestValue>hmVqm49IPXEWOG74T535R6fOkB841KzDXAvoYbcP/QY=</DigestValue>
      </Reference>
      <Reference URI="/xl/externalLinks/externalLink2.xml?ContentType=application/vnd.openxmlformats-officedocument.spreadsheetml.externalLink+xml">
        <DigestMethod Algorithm="http://www.w3.org/2001/04/xmlenc#sha256"/>
        <DigestValue>6vakIAmWwCJ3ivhJIH085Ehy7bfY2AAfqOIWnXmcvMc=</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ICL05554fVnjJTK5pwgL8JhVVGB9RJB3sRPs4dA8Rd4=</DigestValue>
      </Reference>
      <Reference URI="/xl/printerSettings/printerSettings11.bin?ContentType=application/vnd.openxmlformats-officedocument.spreadsheetml.printerSettings">
        <DigestMethod Algorithm="http://www.w3.org/2001/04/xmlenc#sha256"/>
        <DigestValue>WYdcqY9nrIZQanyFBoeT+NM7VqEz2rCEVgnTpRvv9jU=</DigestValue>
      </Reference>
      <Reference URI="/xl/printerSettings/printerSettings12.bin?ContentType=application/vnd.openxmlformats-officedocument.spreadsheetml.printerSettings">
        <DigestMethod Algorithm="http://www.w3.org/2001/04/xmlenc#sha256"/>
        <DigestValue>Hnt19KnNzm21MPfujsNTqZUmX7fzQrOJXsmOcrt6v1I=</DigestValue>
      </Reference>
      <Reference URI="/xl/printerSettings/printerSettings13.bin?ContentType=application/vnd.openxmlformats-officedocument.spreadsheetml.printerSettings">
        <DigestMethod Algorithm="http://www.w3.org/2001/04/xmlenc#sha256"/>
        <DigestValue>7bcltT2yUheVpJ35+fRoiAgATZ7WWZkNqulb8f1Vydc=</DigestValue>
      </Reference>
      <Reference URI="/xl/printerSettings/printerSettings14.bin?ContentType=application/vnd.openxmlformats-officedocument.spreadsheetml.printerSettings">
        <DigestMethod Algorithm="http://www.w3.org/2001/04/xmlenc#sha256"/>
        <DigestValue>nLcW1XGPB6468WNA0317GE44FAClyKskEm5VFsf1/Oo=</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J8vrfWTQdhbIaku3cf1ztC8UJQklqeClokIal6dANgs=</DigestValue>
      </Reference>
      <Reference URI="/xl/printerSettings/printerSettings5.bin?ContentType=application/vnd.openxmlformats-officedocument.spreadsheetml.printerSettings">
        <DigestMethod Algorithm="http://www.w3.org/2001/04/xmlenc#sha256"/>
        <DigestValue>1NoA1jnn9wnmIpiMQjibkXpTM0W7c3vc6S2Y3xPNnKI=</DigestValue>
      </Reference>
      <Reference URI="/xl/printerSettings/printerSettings6.bin?ContentType=application/vnd.openxmlformats-officedocument.spreadsheetml.printerSettings">
        <DigestMethod Algorithm="http://www.w3.org/2001/04/xmlenc#sha256"/>
        <DigestValue>u5fhEK0YeqTEem0LgRhkdjWXBsOMZzcS9j1zc3nJ50s=</DigestValue>
      </Reference>
      <Reference URI="/xl/printerSettings/printerSettings7.bin?ContentType=application/vnd.openxmlformats-officedocument.spreadsheetml.printerSettings">
        <DigestMethod Algorithm="http://www.w3.org/2001/04/xmlenc#sha256"/>
        <DigestValue>741C4nAUx5ouxprzj2RJ6Di7r/BZ047QTt9o0gbiEGE=</DigestValue>
      </Reference>
      <Reference URI="/xl/printerSettings/printerSettings8.bin?ContentType=application/vnd.openxmlformats-officedocument.spreadsheetml.printerSettings">
        <DigestMethod Algorithm="http://www.w3.org/2001/04/xmlenc#sha256"/>
        <DigestValue>pM+zKs4fsCZDn77QMdZIAzBtU64Jb3zpbqsXFMWLTms=</DigestValue>
      </Reference>
      <Reference URI="/xl/printerSettings/printerSettings9.bin?ContentType=application/vnd.openxmlformats-officedocument.spreadsheetml.printerSettings">
        <DigestMethod Algorithm="http://www.w3.org/2001/04/xmlenc#sha256"/>
        <DigestValue>qzLZkRNe4e1adpIyG97vY/+tU65xZnrroBVRZp54gf8=</DigestValue>
      </Reference>
      <Reference URI="/xl/sharedStrings.xml?ContentType=application/vnd.openxmlformats-officedocument.spreadsheetml.sharedStrings+xml">
        <DigestMethod Algorithm="http://www.w3.org/2001/04/xmlenc#sha256"/>
        <DigestValue>Y1IQWMN+4c/EEYYwYolsXIvCUypd/MB7yTNEnP2khAw=</DigestValue>
      </Reference>
      <Reference URI="/xl/styles.xml?ContentType=application/vnd.openxmlformats-officedocument.spreadsheetml.styles+xml">
        <DigestMethod Algorithm="http://www.w3.org/2001/04/xmlenc#sha256"/>
        <DigestValue>r0oZQzG0p1Plm7vlDUAQoLQhG34rtbkGyIMoUHDpiUM=</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85ruSdCTnmXY9vgPwrxNGro+hBStJmsAw2g+rhaj7UQ=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ebcV4jxPqnTKMhNpAPdIyClzEyfEexM0MzIBs21qurg=</DigestValue>
      </Reference>
      <Reference URI="/xl/worksheets/sheet10.xml?ContentType=application/vnd.openxmlformats-officedocument.spreadsheetml.worksheet+xml">
        <DigestMethod Algorithm="http://www.w3.org/2001/04/xmlenc#sha256"/>
        <DigestValue>sSg6mPp3B8HO3Cz7O3D4c6I5l50nG1DpnJVn37AsKs0=</DigestValue>
      </Reference>
      <Reference URI="/xl/worksheets/sheet11.xml?ContentType=application/vnd.openxmlformats-officedocument.spreadsheetml.worksheet+xml">
        <DigestMethod Algorithm="http://www.w3.org/2001/04/xmlenc#sha256"/>
        <DigestValue>cPc1/zlA9TNgqugnG2d1aw9UUCT75yEj5cQvph4Ij5k=</DigestValue>
      </Reference>
      <Reference URI="/xl/worksheets/sheet12.xml?ContentType=application/vnd.openxmlformats-officedocument.spreadsheetml.worksheet+xml">
        <DigestMethod Algorithm="http://www.w3.org/2001/04/xmlenc#sha256"/>
        <DigestValue>vR12XFQFEb5wzQ7vc00gMgUf/c+mPGYiCV5anbTcWZs=</DigestValue>
      </Reference>
      <Reference URI="/xl/worksheets/sheet13.xml?ContentType=application/vnd.openxmlformats-officedocument.spreadsheetml.worksheet+xml">
        <DigestMethod Algorithm="http://www.w3.org/2001/04/xmlenc#sha256"/>
        <DigestValue>rs3g5heqCE77AQBEtrwA8WfOdWh2wI4cXW6kRoiOc50=</DigestValue>
      </Reference>
      <Reference URI="/xl/worksheets/sheet14.xml?ContentType=application/vnd.openxmlformats-officedocument.spreadsheetml.worksheet+xml">
        <DigestMethod Algorithm="http://www.w3.org/2001/04/xmlenc#sha256"/>
        <DigestValue>UMKOpW7/9wUDR+JL5oKpdVC6cLh8c6Z4KQ2EoyNWBog=</DigestValue>
      </Reference>
      <Reference URI="/xl/worksheets/sheet2.xml?ContentType=application/vnd.openxmlformats-officedocument.spreadsheetml.worksheet+xml">
        <DigestMethod Algorithm="http://www.w3.org/2001/04/xmlenc#sha256"/>
        <DigestValue>CmViBE1MQkG8L3aKHCTTVmDTZdi2AYno4wahf/+EvFw=</DigestValue>
      </Reference>
      <Reference URI="/xl/worksheets/sheet3.xml?ContentType=application/vnd.openxmlformats-officedocument.spreadsheetml.worksheet+xml">
        <DigestMethod Algorithm="http://www.w3.org/2001/04/xmlenc#sha256"/>
        <DigestValue>5wzX6IoMGICAWyGenLvjw+IcFN4fGJ+gK6wRc9yXm0k=</DigestValue>
      </Reference>
      <Reference URI="/xl/worksheets/sheet4.xml?ContentType=application/vnd.openxmlformats-officedocument.spreadsheetml.worksheet+xml">
        <DigestMethod Algorithm="http://www.w3.org/2001/04/xmlenc#sha256"/>
        <DigestValue>DWBq9gYTJZCnIa40DDHWqIu/HLq/6KTOLvOwnMGoVtE=</DigestValue>
      </Reference>
      <Reference URI="/xl/worksheets/sheet5.xml?ContentType=application/vnd.openxmlformats-officedocument.spreadsheetml.worksheet+xml">
        <DigestMethod Algorithm="http://www.w3.org/2001/04/xmlenc#sha256"/>
        <DigestValue>u4k3PBk0ZvcKcxCNbQN4newmSPxhOX3GsCFmysqSJH4=</DigestValue>
      </Reference>
      <Reference URI="/xl/worksheets/sheet6.xml?ContentType=application/vnd.openxmlformats-officedocument.spreadsheetml.worksheet+xml">
        <DigestMethod Algorithm="http://www.w3.org/2001/04/xmlenc#sha256"/>
        <DigestValue>QOYuUagHBpe7lbEEWLemws544xdtvdOymfN1WZryuCQ=</DigestValue>
      </Reference>
      <Reference URI="/xl/worksheets/sheet7.xml?ContentType=application/vnd.openxmlformats-officedocument.spreadsheetml.worksheet+xml">
        <DigestMethod Algorithm="http://www.w3.org/2001/04/xmlenc#sha256"/>
        <DigestValue>fNNfK0Rt9vkg/b+LUMAApQgX2Lq82wF4P6C7VczTHd4=</DigestValue>
      </Reference>
      <Reference URI="/xl/worksheets/sheet8.xml?ContentType=application/vnd.openxmlformats-officedocument.spreadsheetml.worksheet+xml">
        <DigestMethod Algorithm="http://www.w3.org/2001/04/xmlenc#sha256"/>
        <DigestValue>svNhA1QeE65B/I9/vAHAg237OChAGJmqe0PUqFl5/5o=</DigestValue>
      </Reference>
      <Reference URI="/xl/worksheets/sheet9.xml?ContentType=application/vnd.openxmlformats-officedocument.spreadsheetml.worksheet+xml">
        <DigestMethod Algorithm="http://www.w3.org/2001/04/xmlenc#sha256"/>
        <DigestValue>y/HjlQaAH1s4MCv/e4ake/Zi22YzXZ5K9nYtCzhZFU4=</DigestValue>
      </Reference>
    </Manifest>
    <SignatureProperties>
      <SignatureProperty Id="idSignatureTime" Target="#idPackageSignature">
        <mdssi:SignatureTime xmlns:mdssi="http://schemas.openxmlformats.org/package/2006/digital-signature">
          <mdssi:Format>YYYY-MM-DDThh:mm:ssTZD</mdssi:Format>
          <mdssi:Value>2020-07-28T20:45:23Z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10.0</WindowsVersion>
          <OfficeVersion>16.0.13001/20</OfficeVersion>
          <ApplicationVersion>16.0.13001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2020-07-28T20:45:23Z</xd:SigningTime>
          <xd:SigningCertificate>
            <xd:Cert>
              <xd:CertDigest>
                <DigestMethod Algorithm="http://www.w3.org/2001/04/xmlenc#sha256"/>
                <DigestValue>CWUKyEKmd7Nz2f6Zni8ZCveGHCC+/Eky/4OdoZZoOD8=</DigestValue>
              </xd:CertDigest>
              <xd:IssuerSerial>
                <X509IssuerName>C=PY, O=DOCUMENTA S.A., CN=CA-DOCUMENTA S.A., SERIALNUMBER=RUC 80050172-1</X509IssuerName>
                <X509SerialNumber>6402280227757375883</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Presidente</xd:ClaimedRole>
            </xd:ClaimedRoles>
          </xd:SignerRole>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Presidente</xd:CommitmentTypeQualifier>
            </xd:CommitmentTypeQualifier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uP8dl6i30203ACexQe2RKPDKZqOMeYxcbiPjCxIxcf0=</DigestValue>
    </Reference>
    <Reference Type="http://www.w3.org/2000/09/xmldsig#Object" URI="#idOfficeObject">
      <DigestMethod Algorithm="http://www.w3.org/2001/04/xmlenc#sha256"/>
      <DigestValue>Vg9j7TwXDyh7ts8oJyK4xSq7EUjJ+BdNKkIf0eJjuok=</DigestValue>
    </Reference>
    <Reference Type="http://uri.etsi.org/01903#SignedProperties" URI="#idSignedProperties">
      <Transforms>
        <Transform Algorithm="http://www.w3.org/TR/2001/REC-xml-c14n-20010315"/>
      </Transforms>
      <DigestMethod Algorithm="http://www.w3.org/2001/04/xmlenc#sha256"/>
      <DigestValue>Uu/AmpxsbP2Ifx/7an9dek8rqZwjBl/6QT0DOdx/1ew=</DigestValue>
    </Reference>
  </SignedInfo>
  <SignatureValue>O6ndYfojYahTYFne2jGQKR+k91ndUZbp98DQIK/m79MbEGas3Ou9vGk9CNj+sCT4+QcT2npp8PUG
yxOBJHFXFg1AxiCDtQedwQQf8Jq2gmavHOxD/NwP2G04PYOM945tFnBXjKreZim8K1eu/fxOrKv8
SEDWiI1DC4jnnx/r7WcWSXO7VhWqdGyAC73rcaesV17KDqyiHhBlIktHn8tzvXIQVpBIJ1Y5wyCs
bui2oScQyvvnVm0uCJ82kLXZ6y5gIOBw7cyfrCAb7/qj1mo6+zC6P/IJkQSlwAAvmr9vq674gOvv
BuTJP8zNxbKGjFxSrTuW2RLdb0QEiTjZ4hYRdQ==</SignatureValue>
  <KeyInfo>
    <X509Data>
      <X509Certificate>MIIH/jCCBeagAwIBAgIIQPxi1FMrlgwwDQYJKoZIhvcNAQELBQAwWzEXMBUGA1UEBRMOUlVDIDgwMDUwMTcyLTExGjAYBgNVBAMTEUNBLURPQ1VNRU5UQSBTLkEuMRcwFQYDVQQKEw5ET0NVTUVOVEEgUy5BLjELMAkGA1UEBhMCUFkwHhcNMTkwNTI0MTgxMTE0WhcNMjEwNTIzMTgyMTE0WjCBozELMAkGA1UEBhMCUFkxGDAWBgNVBAQMD1VHQVJURSBWSUxMQUxCQTESMBAGA1UEBRMJQ0kzODUzNzgyMRQwEgYDVQQqDAtKT1JHRSBSQU1PTjEXMBUGA1UECgwOUEVSU09OQSBGSVNJQ0ExETAPBgNVBAsMCEZJUk1BIEYyMSQwIgYDVQQDDBtKT1JHRSBSQU1PTiBVR0FSVEUgVklMTEFMQkEwggEiMA0GCSqGSIb3DQEBAQUAA4IBDwAwggEKAoIBAQDgVXF3+bFpiMN7KxrOFf9TXmqHe3or+aamfLZKLjeowQiQE/C5LB9EdMlwBh888yX2eX1nSmkWYddHSJ+S63YFjKCEo0RUAvSSt7FEaGPMEj7B9Hivjdj+aRFGvUZ/AUtMsPA7eVyMdMGPpPda3IvEmAHjonTEmTMuBwqi59KPXzYpubhlao3dGpIF/b/Nf3eiAk9f+7YxFBNLxrwpbBhzE7l1YJObc5pJyC15qP0kPAFd5Hq+FL7Rzvs7Cq5tLUV/ilB0gkZuwkMUpiIhvfhtUtH0aE8lOm4RmxPB6nGAeDXCb/Y126wycmVXUPPO7TJYj/wT7OyOg/FWJBELyVu5AgMBAAGjggN7MIIDdzAMBgNVHRMBAf8EAjAAMA4GA1UdDwEB/wQEAwIF4DAqBgNVHSUBAf8EIDAeBggrBgEFBQcDAQYIKwYBBQUHAwIGCCsGAQUFBwMEMB0GA1UdDgQWBBReAWzX3U4TDbbz0VxDGNuet/lgP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gBgNVHREEGTAXgRVqdWdhcnRlQGNhZGllb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NZ2cTpCkkoeG0dmw02CogsWdu7g7CqvzPdaxH6eD7460gwO7+tLAeZefxW4/2SG8ct3yE3stuRl+Ep6wUXaZJac95ufnDO107yjGmS0KV8icAzWLxX8VKoPz+c8spELjgXXX8COnqfNWNr0Gmi27d/ZqTPRKCgKkl1Z7qs7aVn1dP1Hv5hKYDosQ5IqaR2JC/jtOrhungX5V6hCD9sFjuITzFIHM7YSv0J+J10r8YsTzjLFlBzW/nPqS4f1jSfYjPTu/Bo9H+Awbj1q2wlaByHkDQ355mLyvvkIFGkjkCwSKkcovVSw4A6cSxm1v2BTXVxF75+JGLEsx64cH8LBkWdzwxNgnaW1OwXEYoEdPDp4IyBSn7rbB+ldNUy9dHcxL5BFL6YGsis24HJ16i76PGtCPeXcHSza8K7eVtTEQyhV3g8/DfsH+6ByxNlJMOVuu6pPPrgtxlT48l3wfwYxPB2+SF4wj+bsgaw5TEXo4aqOWBJs8Y2aqt9fjNu852kUIYFFeyv8NR+FuLMO5ZSTG+ID+rHocVQgYk1QiZKz+OJtEJGoCcsg5PYnDMAoIw7tZ5RPI/gdmt3PYh2OxPuxO3D+sshjGkPlRGD2FRNRlLccfGk0QvekEoUTD6HJCl67SSpuxVrjiTBwRo41EA5QQ2QhSNBv9c44gxnvaSYEtY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tPfFKR20IXre0MS0MIg86qHAvDJDWvaF5iHNgKv74NM=</DigestValue>
      </Reference>
      <Reference URI="/xl/calcChain.xml?ContentType=application/vnd.openxmlformats-officedocument.spreadsheetml.calcChain+xml">
        <DigestMethod Algorithm="http://www.w3.org/2001/04/xmlenc#sha256"/>
        <DigestValue>SeW7hq7AAZilDNOBFVJwHoXnMM8LAGu1D/SIrh9ibLA=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lfZ4d80lru+vyLpXRCFjXS5xjjimRlcx4gNAr/DwL+Y=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30CZs62FwPe+TuaxZ1toEM5ViByhyaEVGysevV25DpM=</DigestValue>
      </Reference>
      <Reference URI="/xl/externalLinks/externalLink1.xml?ContentType=application/vnd.openxmlformats-officedocument.spreadsheetml.externalLink+xml">
        <DigestMethod Algorithm="http://www.w3.org/2001/04/xmlenc#sha256"/>
        <DigestValue>hmVqm49IPXEWOG74T535R6fOkB841KzDXAvoYbcP/QY=</DigestValue>
      </Reference>
      <Reference URI="/xl/externalLinks/externalLink2.xml?ContentType=application/vnd.openxmlformats-officedocument.spreadsheetml.externalLink+xml">
        <DigestMethod Algorithm="http://www.w3.org/2001/04/xmlenc#sha256"/>
        <DigestValue>6vakIAmWwCJ3ivhJIH085Ehy7bfY2AAfqOIWnXmcvMc=</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ICL05554fVnjJTK5pwgL8JhVVGB9RJB3sRPs4dA8Rd4=</DigestValue>
      </Reference>
      <Reference URI="/xl/printerSettings/printerSettings11.bin?ContentType=application/vnd.openxmlformats-officedocument.spreadsheetml.printerSettings">
        <DigestMethod Algorithm="http://www.w3.org/2001/04/xmlenc#sha256"/>
        <DigestValue>WYdcqY9nrIZQanyFBoeT+NM7VqEz2rCEVgnTpRvv9jU=</DigestValue>
      </Reference>
      <Reference URI="/xl/printerSettings/printerSettings12.bin?ContentType=application/vnd.openxmlformats-officedocument.spreadsheetml.printerSettings">
        <DigestMethod Algorithm="http://www.w3.org/2001/04/xmlenc#sha256"/>
        <DigestValue>Hnt19KnNzm21MPfujsNTqZUmX7fzQrOJXsmOcrt6v1I=</DigestValue>
      </Reference>
      <Reference URI="/xl/printerSettings/printerSettings13.bin?ContentType=application/vnd.openxmlformats-officedocument.spreadsheetml.printerSettings">
        <DigestMethod Algorithm="http://www.w3.org/2001/04/xmlenc#sha256"/>
        <DigestValue>7bcltT2yUheVpJ35+fRoiAgATZ7WWZkNqulb8f1Vydc=</DigestValue>
      </Reference>
      <Reference URI="/xl/printerSettings/printerSettings14.bin?ContentType=application/vnd.openxmlformats-officedocument.spreadsheetml.printerSettings">
        <DigestMethod Algorithm="http://www.w3.org/2001/04/xmlenc#sha256"/>
        <DigestValue>nLcW1XGPB6468WNA0317GE44FAClyKskEm5VFsf1/Oo=</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J8vrfWTQdhbIaku3cf1ztC8UJQklqeClokIal6dANgs=</DigestValue>
      </Reference>
      <Reference URI="/xl/printerSettings/printerSettings5.bin?ContentType=application/vnd.openxmlformats-officedocument.spreadsheetml.printerSettings">
        <DigestMethod Algorithm="http://www.w3.org/2001/04/xmlenc#sha256"/>
        <DigestValue>1NoA1jnn9wnmIpiMQjibkXpTM0W7c3vc6S2Y3xPNnKI=</DigestValue>
      </Reference>
      <Reference URI="/xl/printerSettings/printerSettings6.bin?ContentType=application/vnd.openxmlformats-officedocument.spreadsheetml.printerSettings">
        <DigestMethod Algorithm="http://www.w3.org/2001/04/xmlenc#sha256"/>
        <DigestValue>u5fhEK0YeqTEem0LgRhkdjWXBsOMZzcS9j1zc3nJ50s=</DigestValue>
      </Reference>
      <Reference URI="/xl/printerSettings/printerSettings7.bin?ContentType=application/vnd.openxmlformats-officedocument.spreadsheetml.printerSettings">
        <DigestMethod Algorithm="http://www.w3.org/2001/04/xmlenc#sha256"/>
        <DigestValue>741C4nAUx5ouxprzj2RJ6Di7r/BZ047QTt9o0gbiEGE=</DigestValue>
      </Reference>
      <Reference URI="/xl/printerSettings/printerSettings8.bin?ContentType=application/vnd.openxmlformats-officedocument.spreadsheetml.printerSettings">
        <DigestMethod Algorithm="http://www.w3.org/2001/04/xmlenc#sha256"/>
        <DigestValue>pM+zKs4fsCZDn77QMdZIAzBtU64Jb3zpbqsXFMWLTms=</DigestValue>
      </Reference>
      <Reference URI="/xl/printerSettings/printerSettings9.bin?ContentType=application/vnd.openxmlformats-officedocument.spreadsheetml.printerSettings">
        <DigestMethod Algorithm="http://www.w3.org/2001/04/xmlenc#sha256"/>
        <DigestValue>qzLZkRNe4e1adpIyG97vY/+tU65xZnrroBVRZp54gf8=</DigestValue>
      </Reference>
      <Reference URI="/xl/sharedStrings.xml?ContentType=application/vnd.openxmlformats-officedocument.spreadsheetml.sharedStrings+xml">
        <DigestMethod Algorithm="http://www.w3.org/2001/04/xmlenc#sha256"/>
        <DigestValue>Y1IQWMN+4c/EEYYwYolsXIvCUypd/MB7yTNEnP2khAw=</DigestValue>
      </Reference>
      <Reference URI="/xl/styles.xml?ContentType=application/vnd.openxmlformats-officedocument.spreadsheetml.styles+xml">
        <DigestMethod Algorithm="http://www.w3.org/2001/04/xmlenc#sha256"/>
        <DigestValue>r0oZQzG0p1Plm7vlDUAQoLQhG34rtbkGyIMoUHDpiUM=</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85ruSdCTnmXY9vgPwrxNGro+hBStJmsAw2g+rhaj7UQ=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ebcV4jxPqnTKMhNpAPdIyClzEyfEexM0MzIBs21qurg=</DigestValue>
      </Reference>
      <Reference URI="/xl/worksheets/sheet10.xml?ContentType=application/vnd.openxmlformats-officedocument.spreadsheetml.worksheet+xml">
        <DigestMethod Algorithm="http://www.w3.org/2001/04/xmlenc#sha256"/>
        <DigestValue>sSg6mPp3B8HO3Cz7O3D4c6I5l50nG1DpnJVn37AsKs0=</DigestValue>
      </Reference>
      <Reference URI="/xl/worksheets/sheet11.xml?ContentType=application/vnd.openxmlformats-officedocument.spreadsheetml.worksheet+xml">
        <DigestMethod Algorithm="http://www.w3.org/2001/04/xmlenc#sha256"/>
        <DigestValue>cPc1/zlA9TNgqugnG2d1aw9UUCT75yEj5cQvph4Ij5k=</DigestValue>
      </Reference>
      <Reference URI="/xl/worksheets/sheet12.xml?ContentType=application/vnd.openxmlformats-officedocument.spreadsheetml.worksheet+xml">
        <DigestMethod Algorithm="http://www.w3.org/2001/04/xmlenc#sha256"/>
        <DigestValue>vR12XFQFEb5wzQ7vc00gMgUf/c+mPGYiCV5anbTcWZs=</DigestValue>
      </Reference>
      <Reference URI="/xl/worksheets/sheet13.xml?ContentType=application/vnd.openxmlformats-officedocument.spreadsheetml.worksheet+xml">
        <DigestMethod Algorithm="http://www.w3.org/2001/04/xmlenc#sha256"/>
        <DigestValue>rs3g5heqCE77AQBEtrwA8WfOdWh2wI4cXW6kRoiOc50=</DigestValue>
      </Reference>
      <Reference URI="/xl/worksheets/sheet14.xml?ContentType=application/vnd.openxmlformats-officedocument.spreadsheetml.worksheet+xml">
        <DigestMethod Algorithm="http://www.w3.org/2001/04/xmlenc#sha256"/>
        <DigestValue>UMKOpW7/9wUDR+JL5oKpdVC6cLh8c6Z4KQ2EoyNWBog=</DigestValue>
      </Reference>
      <Reference URI="/xl/worksheets/sheet2.xml?ContentType=application/vnd.openxmlformats-officedocument.spreadsheetml.worksheet+xml">
        <DigestMethod Algorithm="http://www.w3.org/2001/04/xmlenc#sha256"/>
        <DigestValue>CmViBE1MQkG8L3aKHCTTVmDTZdi2AYno4wahf/+EvFw=</DigestValue>
      </Reference>
      <Reference URI="/xl/worksheets/sheet3.xml?ContentType=application/vnd.openxmlformats-officedocument.spreadsheetml.worksheet+xml">
        <DigestMethod Algorithm="http://www.w3.org/2001/04/xmlenc#sha256"/>
        <DigestValue>5wzX6IoMGICAWyGenLvjw+IcFN4fGJ+gK6wRc9yXm0k=</DigestValue>
      </Reference>
      <Reference URI="/xl/worksheets/sheet4.xml?ContentType=application/vnd.openxmlformats-officedocument.spreadsheetml.worksheet+xml">
        <DigestMethod Algorithm="http://www.w3.org/2001/04/xmlenc#sha256"/>
        <DigestValue>DWBq9gYTJZCnIa40DDHWqIu/HLq/6KTOLvOwnMGoVtE=</DigestValue>
      </Reference>
      <Reference URI="/xl/worksheets/sheet5.xml?ContentType=application/vnd.openxmlformats-officedocument.spreadsheetml.worksheet+xml">
        <DigestMethod Algorithm="http://www.w3.org/2001/04/xmlenc#sha256"/>
        <DigestValue>u4k3PBk0ZvcKcxCNbQN4newmSPxhOX3GsCFmysqSJH4=</DigestValue>
      </Reference>
      <Reference URI="/xl/worksheets/sheet6.xml?ContentType=application/vnd.openxmlformats-officedocument.spreadsheetml.worksheet+xml">
        <DigestMethod Algorithm="http://www.w3.org/2001/04/xmlenc#sha256"/>
        <DigestValue>QOYuUagHBpe7lbEEWLemws544xdtvdOymfN1WZryuCQ=</DigestValue>
      </Reference>
      <Reference URI="/xl/worksheets/sheet7.xml?ContentType=application/vnd.openxmlformats-officedocument.spreadsheetml.worksheet+xml">
        <DigestMethod Algorithm="http://www.w3.org/2001/04/xmlenc#sha256"/>
        <DigestValue>fNNfK0Rt9vkg/b+LUMAApQgX2Lq82wF4P6C7VczTHd4=</DigestValue>
      </Reference>
      <Reference URI="/xl/worksheets/sheet8.xml?ContentType=application/vnd.openxmlformats-officedocument.spreadsheetml.worksheet+xml">
        <DigestMethod Algorithm="http://www.w3.org/2001/04/xmlenc#sha256"/>
        <DigestValue>svNhA1QeE65B/I9/vAHAg237OChAGJmqe0PUqFl5/5o=</DigestValue>
      </Reference>
      <Reference URI="/xl/worksheets/sheet9.xml?ContentType=application/vnd.openxmlformats-officedocument.spreadsheetml.worksheet+xml">
        <DigestMethod Algorithm="http://www.w3.org/2001/04/xmlenc#sha256"/>
        <DigestValue>y/HjlQaAH1s4MCv/e4ake/Zi22YzXZ5K9nYtCzhZFU4=</DigestValue>
      </Reference>
    </Manifest>
    <SignatureProperties>
      <SignatureProperty Id="idSignatureTime" Target="#idPackageSignature">
        <mdssi:SignatureTime xmlns:mdssi="http://schemas.openxmlformats.org/package/2006/digital-signature">
          <mdssi:Format>YYYY-MM-DDThh:mm:ssTZD</mdssi:Format>
          <mdssi:Value>2020-07-28T20:49:06Z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 de la Sociedad</SignatureComments>
          <WindowsVersion>10.0</WindowsVersion>
          <OfficeVersion>16.0.13001/20</OfficeVersion>
          <ApplicationVersion>16.0.13001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2020-07-28T20:49:06Z</xd:SigningTime>
          <xd:SigningCertificate>
            <xd:Cert>
              <xd:CertDigest>
                <DigestMethod Algorithm="http://www.w3.org/2001/04/xmlenc#sha256"/>
                <DigestValue>3Mh5jPhpDcLfFZMhTPcIy4jVUZnZEEG/vrfjrOTEqtU=</DigestValue>
              </xd:CertDigest>
              <xd:IssuerSerial>
                <X509IssuerName>C=PY, O=DOCUMENTA S.A., CN=CA-DOCUMENTA S.A., SERIALNUMBER=RUC 80050172-1</X509IssuerName>
                <X509SerialNumber>4682726376626427404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 de la Sociedad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Cm9/ggLjQKVgXFfq7/MqX5+uii4=</DigestValue>
    </Reference>
    <Reference URI="#idOfficeObject" Type="http://www.w3.org/2000/09/xmldsig#Object">
      <DigestMethod Algorithm="http://www.w3.org/2000/09/xmldsig#sha1"/>
      <DigestValue>CuUhGL3rvEEvCMTnERh8HBw+KDU=</DigestValue>
    </Reference>
  </SignedInfo>
  <SignatureValue>
    K/r4dqs3C3B2TEUdncpraH0xfMaKRTicQDjd49ID8GEAS3/FKRtBGW9P/jh29uxgezLlHmPA
    5Q9F9fYj51MAOmQVuESQDl6Ht29mbsS9t+dgqIppMLpcpRH3lm6SSRet0ymMt8l6YeuKtIwz
    4ztvEdKfCTkA7o9PdqH9F9NG37zQXK4FcvXJYiTpbE9wbezjIZ3f/5KbbPtm8Kl2kSgAY79u
    1/H+KyMSvCnta32MpFm7pdCryxY4iAyV+oT0edfm+KZzyRAv+SOYP/OpfII4tPD/Sd/LmvSD
    fqdlLuR4xvmWR3YOPB6S398ULIk8IaTcSAiGv6/DnEo/mtDnMiagXw==
  </SignatureValue>
  <KeyInfo>
    <KeyValue>
      <RSAKeyValue>
        <Modulus>
            t3UyGE87dbNy0kwg5259It6IG3Jqa0LFr8+80HhyW+GPaN/zMxuXpgY7vEWedLLG7UZ+OZsO
            9zv4ZXS7y5Wa3P4JPIJoqlLISf2/TBiUhMxKwrW8bqbvsC6rs0IQNErjwEK31jAkBplmHoc8
            ta3lLE7NHaUIs3qQkvjHE8Gf6qA4yamTadVCq2cZOd9uDGhbmyuJfMh+ZBbW7j8u6e6Hdstn
            6/fq1FR/CGKgeOGgoUVq2X4HS9h93zo80OELdqWaxp5A/hUPKFMEOmDiITmQSDMtevxziodl
            AhgxkTUJWBxuv4KgmtwJV6eLeI22UMBQl0y8hNvMXHqHKakjkK/MhQ==
          </Modulus>
        <Exponent>AQAB</Exponent>
      </RSAKeyValue>
    </KeyValue>
    <X509Data>
      <X509Certificate>
          MIIH+zCCBeOgAwIBAgIIBSDmJhWBHk4wDQYJKoZIhvcNAQELBQAwWzEXMBUGA1UEBRMOUlVD
          IDgwMDUwMTcyLTExGjAYBgNVBAMTEUNBLURPQ1VNRU5UQSBTLkEuMRcwFQYDVQQKEw5ET0NV
          TUVOVEEgUy5BLjELMAkGA1UEBhMCUFkwHhcNMTkwNTI0MTgyNDIxWhcNMjEwNTIzMTgzNDIx
          WjCBnTELMAkGA1UEBhMCUFkxFTATBgNVBAQMDEdBTEVBTk8gQkFFWjESMBAGA1UEBRMJQ0kx
          MzQxNTk1MRQwEgYDVQQqDAtKVUFOQSBQQUJMQTEXMBUGA1UECgwOUEVSU09OQSBGSVNJQ0Ex
          ETAPBgNVBAsMCEZJUk1BIEYyMSEwHwYDVQQDDBhKVUFOQSBQQUJMQSBHQUxFQU5PIEJBRVow
          ggEiMA0GCSqGSIb3DQEBAQUAA4IBDwAwggEKAoIBAQC3dTIYTzt1s3LSTCDnbn0i3ogbcmpr
          QsWvz7zQeHJb4Y9o3/MzG5emBju8RZ50ssbtRn45mw73O/hldLvLlZrc/gk8gmiqUshJ/b9M
          GJSEzErCtbxupu+wLquzQhA0SuPAQrfWMCQGmWYehzy1reUsTs0dpQizepCS+McTwZ/qoDjJ
          qZNp1UKrZxk5324MaFubK4l8yH5kFtbuPy7p7od2y2fr9+rUVH8IYqB44aChRWrZfgdL2H3f
          OjzQ4Qt2pZrGnkD+FQ8oUwQ6YOIhOZBIMy16/HOKh2UCGDGRNQlYHG6/gqCa3AlXp4t4jbZQ
          wFCXTLyE28xceocpqSOQr8yFAgMBAAGjggN+MIIDejAMBgNVHRMBAf8EAjAAMA4GA1UdDwEB
          /wQEAwIF4DAqBgNVHSUBAf8EIDAeBggrBgEFBQcDAQYIKwYBBQUHAwIGCCsGAQUFBwMEMB0G
          A1UdDgQWBBTBQWwNEXQn8RV1XUJlG1idCvyS9zCBlgYIKwYBBQUHAQEEgYkwgYYwOQYIKwYB
          BQUHMAGGLWh0dHA6Ly93d3cuZG9jdW1lbnRhLmNvbS5weS9maXJtYWRpZ2l0YWwvb3NjcDBJ
          BggrBgEFBQcwAoY9aHR0cHM6Ly93d3cuZG9jdW1lbnRhLmNvbS5weS9maXJtYWRpZ2l0YWwv
          ZGVzY2FyZ2FzL2NhZG9jLmNydDAfBgNVHSMEGDAWgBRAJqwmXGKPxvUCVOSNwRom1u6lsjBP
          BgNVHR8ESDBGMESgQqBAhj5odHRwczovL3d3dy5kb2N1bWVudGEuY29tLnB5L2Zpcm1hZGln
          aXRhbC9kZXNjYXJnYXMvY3JsZG9jLmNybDAjBgNVHREEHDAagRhqdWFuaWdhbDIwMTFAaG90
          bWFpbC5jb20wggHdBgNVHSAEggHUMIIB0DCCAcwGDisGAQQBgvk7AQEBBgEBMIIBuDA/Bggr
          BgEFBQcCARYzaHR0cHM6Ly93d3cuZG9jdW1lbnRhLmNvbS5weS9maXJtYWRpZ2l0YWwvZGVz
          Y2FyZ2FzMIHABggrBgEFBQcCAjCBsxqBsEVzdGUgZXMgdW4gY2VydGlmaWNhZG8gZGUgcGVy
          c29uYSBm7XNpY2EgY3V5YSBjbGF2ZSBwcml2YWRhIGVzdOEgY29udGVuaWRhIGVuIHVuIG3z
          ZHVsbyBkZSBoYXJkd2FyZSBzZWd1cm8geSBzdSBmaW5hbGlkYWQgZXMgYXV0ZW50aWNhciBh
          IHN1IHRpdHVsYXIgbyBnZW5lcmFyIGZpcm1hcyBkaWdpdGFsZXMuMIGxBggrBgEFBQcCAjCB
          pBqBoVRoaXMgaXMgYW4gZW5kIHVzZXIgY2VydGlmaWNhdGUgd2hvc2UgcHJpdmF0ZSBrZXkg
          aXMgZW1iZWRkZWQgd2l0aGluIGEgc2VjdXJlIGhhcmR3YXJlIG1vZHVsZSB0aGF0IGFpbXMg
          dG8gYXV0aGVudGljYXRlIGl0cyBvd25lciBvciBnZW5lcmF0ZSBkaWdpdGFsIHNpZ25hdHVy
          ZXMuMA0GCSqGSIb3DQEBCwUAA4ICAQDyG0YEss/UvacuDjSNyf7QJz3jQ0NZrmN51sU5J42S
          1FVEhzgELQcsV8TBGCvgBH5ubGY1B3RyV3eZBnr7+X87MHNtrmgIP1ZAE44DIFr1mpC87fJB
          CkO86CjpxMpyYSuy/sSliuMWP8ldBy0UBDHQvoJsTJivjV5DGKZhTr0GlAL9B9J2jp/FIKy8
          LshSm9UdUWJy94uU0B6eUUM9V147o+CPY1IysUsqeGU4FkVCq1Cgel8HT0IeXjsnqK/NU/IZ
          ituMwUynU60AA31APcJFSqCGQvH7NLCRlV0upxZLEgJAl89+uMswhpgdqU+zgQv7/GnQH8JH
          a/oHtWinpmcXBXBoa2vYHksTuwVtXeCqL/veuVnJo0voMFkYtHdCVMQgWDJPmzBDnBx4YNm7
          EA5O6qYVof1wO8JGHQuWwYlOwX4eqTEMS+uJ5W7esctjzgq7BTfnxtaylgv1kX8WpRijT/1o
          /INXjZ2dUHtxfKmYm3WL+3ryuAUZokJXcpqc1lGfjOBphOu1FN3CqO7/SpJkxAAVP28jPKve
          izIW3R6NZfnMTcDtI/MyCywkTuTpalKpakpG0/wkBGJ0tnUF7ltl5H9AcCIdPefPmBp/jwhS
          GXSa3C5khKDHrqaWR57eqlzUYGYFJjRQ3j1CRPk4TTJOjApoad0xiUHdJTjUu7eNXA==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35ZnosgiU0CZxhDVdd44JI5Ji0o=</DigestValue>
      </Reference>
      <Reference URI="/xl/calcChain.xml?ContentType=application/vnd.openxmlformats-officedocument.spreadsheetml.calcChain+xml">
        <DigestMethod Algorithm="http://www.w3.org/2000/09/xmldsig#sha1"/>
        <DigestValue>T64y6cShjAP7avQTlZmlbkxXpY8=</DigestValue>
      </Reference>
      <Reference URI="/xl/externalLinks/externalLink1.xml?ContentType=application/vnd.openxmlformats-officedocument.spreadsheetml.externalLink+xml">
        <DigestMethod Algorithm="http://www.w3.org/2000/09/xmldsig#sha1"/>
        <DigestValue>xNqx4r4F+J+LDGQIb8FeeWeFhRY=</DigestValue>
      </Reference>
      <Reference URI="/xl/externalLinks/externalLink2.xml?ContentType=application/vnd.openxmlformats-officedocument.spreadsheetml.externalLink+xml">
        <DigestMethod Algorithm="http://www.w3.org/2000/09/xmldsig#sha1"/>
        <DigestValue>jP2oTsirftYltI0JlH4of+vVpRc=</DigestValue>
      </Reference>
      <Reference URI="/xl/printerSettings/printerSettings1.bin?ContentType=application/vnd.openxmlformats-officedocument.spreadsheetml.printerSettings">
        <DigestMethod Algorithm="http://www.w3.org/2000/09/xmldsig#sha1"/>
        <DigestValue>0leh8Dg/8DwVqWi8kVgxienX2cU=</DigestValue>
      </Reference>
      <Reference URI="/xl/printerSettings/printerSettings10.bin?ContentType=application/vnd.openxmlformats-officedocument.spreadsheetml.printerSettings">
        <DigestMethod Algorithm="http://www.w3.org/2000/09/xmldsig#sha1"/>
        <DigestValue>H+pp+9i6ZazwVnozO0rqgQ41PjY=</DigestValue>
      </Reference>
      <Reference URI="/xl/printerSettings/printerSettings11.bin?ContentType=application/vnd.openxmlformats-officedocument.spreadsheetml.printerSettings">
        <DigestMethod Algorithm="http://www.w3.org/2000/09/xmldsig#sha1"/>
        <DigestValue>O8lXuRmrGayBRtR+MnFDVt5MueA=</DigestValue>
      </Reference>
      <Reference URI="/xl/printerSettings/printerSettings12.bin?ContentType=application/vnd.openxmlformats-officedocument.spreadsheetml.printerSettings">
        <DigestMethod Algorithm="http://www.w3.org/2000/09/xmldsig#sha1"/>
        <DigestValue>Tb2vrPOnR3dbG3+sbWzvJDVxGrw=</DigestValue>
      </Reference>
      <Reference URI="/xl/printerSettings/printerSettings13.bin?ContentType=application/vnd.openxmlformats-officedocument.spreadsheetml.printerSettings">
        <DigestMethod Algorithm="http://www.w3.org/2000/09/xmldsig#sha1"/>
        <DigestValue>w/cUz7OD2tjhAyISh3cYS2APl+E=</DigestValue>
      </Reference>
      <Reference URI="/xl/printerSettings/printerSettings14.bin?ContentType=application/vnd.openxmlformats-officedocument.spreadsheetml.printerSettings">
        <DigestMethod Algorithm="http://www.w3.org/2000/09/xmldsig#sha1"/>
        <DigestValue>JqTm7fEB1gmYBeNKo6hDRpWoeSs=</DigestValue>
      </Reference>
      <Reference URI="/xl/printerSettings/printerSettings2.bin?ContentType=application/vnd.openxmlformats-officedocument.spreadsheetml.printerSettings">
        <DigestMethod Algorithm="http://www.w3.org/2000/09/xmldsig#sha1"/>
        <DigestValue>8a6lPl+dGBWquFapiLtkmvbcNI8=</DigestValue>
      </Reference>
      <Reference URI="/xl/printerSettings/printerSettings3.bin?ContentType=application/vnd.openxmlformats-officedocument.spreadsheetml.printerSettings">
        <DigestMethod Algorithm="http://www.w3.org/2000/09/xmldsig#sha1"/>
        <DigestValue>21Mxs2098ft3P4lBP59IajKq4iw=</DigestValue>
      </Reference>
      <Reference URI="/xl/printerSettings/printerSettings4.bin?ContentType=application/vnd.openxmlformats-officedocument.spreadsheetml.printerSettings">
        <DigestMethod Algorithm="http://www.w3.org/2000/09/xmldsig#sha1"/>
        <DigestValue>LOylJAfsNP9QOnKggMwrz9wKM1Q=</DigestValue>
      </Reference>
      <Reference URI="/xl/printerSettings/printerSettings5.bin?ContentType=application/vnd.openxmlformats-officedocument.spreadsheetml.printerSettings">
        <DigestMethod Algorithm="http://www.w3.org/2000/09/xmldsig#sha1"/>
        <DigestValue>DRVl9mc37uzJbxAmJBHom5ZvRm4=</DigestValue>
      </Reference>
      <Reference URI="/xl/printerSettings/printerSettings6.bin?ContentType=application/vnd.openxmlformats-officedocument.spreadsheetml.printerSettings">
        <DigestMethod Algorithm="http://www.w3.org/2000/09/xmldsig#sha1"/>
        <DigestValue>yn8iLz4OJds1I3ftBw243MYZMiI=</DigestValue>
      </Reference>
      <Reference URI="/xl/printerSettings/printerSettings7.bin?ContentType=application/vnd.openxmlformats-officedocument.spreadsheetml.printerSettings">
        <DigestMethod Algorithm="http://www.w3.org/2000/09/xmldsig#sha1"/>
        <DigestValue>QjUjcuunFtIr+mohOREwK8JiMas=</DigestValue>
      </Reference>
      <Reference URI="/xl/printerSettings/printerSettings8.bin?ContentType=application/vnd.openxmlformats-officedocument.spreadsheetml.printerSettings">
        <DigestMethod Algorithm="http://www.w3.org/2000/09/xmldsig#sha1"/>
        <DigestValue>kSZ4+n94v7s/WshmMqnremBvDGc=</DigestValue>
      </Reference>
      <Reference URI="/xl/printerSettings/printerSettings9.bin?ContentType=application/vnd.openxmlformats-officedocument.spreadsheetml.printerSettings">
        <DigestMethod Algorithm="http://www.w3.org/2000/09/xmldsig#sha1"/>
        <DigestValue>HFVicVbeuU1c+Fb8iZP6vwYcFPU=</DigestValue>
      </Reference>
      <Reference URI="/xl/sharedStrings.xml?ContentType=application/vnd.openxmlformats-officedocument.spreadsheetml.sharedStrings+xml">
        <DigestMethod Algorithm="http://www.w3.org/2000/09/xmldsig#sha1"/>
        <DigestValue>RPFqp13qFpIw3aLAEo3KnjOXk7Y=</DigestValue>
      </Reference>
      <Reference URI="/xl/styles.xml?ContentType=application/vnd.openxmlformats-officedocument.spreadsheetml.styles+xml">
        <DigestMethod Algorithm="http://www.w3.org/2000/09/xmldsig#sha1"/>
        <DigestValue>6f341nJ7Fln+L4rj0e4cfZ/pf+U=</DigestValue>
      </Reference>
      <Reference URI="/xl/theme/theme1.xml?ContentType=application/vnd.openxmlformats-officedocument.theme+xml">
        <DigestMethod Algorithm="http://www.w3.org/2000/09/xmldsig#sha1"/>
        <DigestValue>ftYJu36BeGG57gspx0Irb0ugJtM=</DigestValue>
      </Reference>
      <Reference URI="/xl/workbook.xml?ContentType=application/vnd.openxmlformats-officedocument.spreadsheetml.sheet.main+xml">
        <DigestMethod Algorithm="http://www.w3.org/2000/09/xmldsig#sha1"/>
        <DigestValue>k7FF5cVsd7aQ0NwRbiJIzdlrciI=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0BJaX1CwvtsMuSBJppY6ra4sBh8=</DigestValue>
      </Reference>
      <Reference URI="/xl/worksheets/sheet10.xml?ContentType=application/vnd.openxmlformats-officedocument.spreadsheetml.worksheet+xml">
        <DigestMethod Algorithm="http://www.w3.org/2000/09/xmldsig#sha1"/>
        <DigestValue>sR44A2mXBUEtH4Zt53YgCB255IA=</DigestValue>
      </Reference>
      <Reference URI="/xl/worksheets/sheet11.xml?ContentType=application/vnd.openxmlformats-officedocument.spreadsheetml.worksheet+xml">
        <DigestMethod Algorithm="http://www.w3.org/2000/09/xmldsig#sha1"/>
        <DigestValue>pKEK77mVQg0Xoy4olqak6JS8HQE=</DigestValue>
      </Reference>
      <Reference URI="/xl/worksheets/sheet12.xml?ContentType=application/vnd.openxmlformats-officedocument.spreadsheetml.worksheet+xml">
        <DigestMethod Algorithm="http://www.w3.org/2000/09/xmldsig#sha1"/>
        <DigestValue>eIAyQl2N2Ru8IBeu7GoI7ZkffpA=</DigestValue>
      </Reference>
      <Reference URI="/xl/worksheets/sheet13.xml?ContentType=application/vnd.openxmlformats-officedocument.spreadsheetml.worksheet+xml">
        <DigestMethod Algorithm="http://www.w3.org/2000/09/xmldsig#sha1"/>
        <DigestValue>LVt1ocrMlUuYx+nKxK9dma90wm8=</DigestValue>
      </Reference>
      <Reference URI="/xl/worksheets/sheet14.xml?ContentType=application/vnd.openxmlformats-officedocument.spreadsheetml.worksheet+xml">
        <DigestMethod Algorithm="http://www.w3.org/2000/09/xmldsig#sha1"/>
        <DigestValue>1ipo75PO3aBZ0tIudPZL2ZiHv2k=</DigestValue>
      </Reference>
      <Reference URI="/xl/worksheets/sheet2.xml?ContentType=application/vnd.openxmlformats-officedocument.spreadsheetml.worksheet+xml">
        <DigestMethod Algorithm="http://www.w3.org/2000/09/xmldsig#sha1"/>
        <DigestValue>earluH/6Z/iRc3qorQEqTQiphA0=</DigestValue>
      </Reference>
      <Reference URI="/xl/worksheets/sheet3.xml?ContentType=application/vnd.openxmlformats-officedocument.spreadsheetml.worksheet+xml">
        <DigestMethod Algorithm="http://www.w3.org/2000/09/xmldsig#sha1"/>
        <DigestValue>cDoa8WuiS4V4JSG8Vb30pvwyRFY=</DigestValue>
      </Reference>
      <Reference URI="/xl/worksheets/sheet4.xml?ContentType=application/vnd.openxmlformats-officedocument.spreadsheetml.worksheet+xml">
        <DigestMethod Algorithm="http://www.w3.org/2000/09/xmldsig#sha1"/>
        <DigestValue>e+sT5seWXg9C+2t0a8Qm71hPn2g=</DigestValue>
      </Reference>
      <Reference URI="/xl/worksheets/sheet5.xml?ContentType=application/vnd.openxmlformats-officedocument.spreadsheetml.worksheet+xml">
        <DigestMethod Algorithm="http://www.w3.org/2000/09/xmldsig#sha1"/>
        <DigestValue>7Bdy5scaJl6uoVEQpuEqFU5E45A=</DigestValue>
      </Reference>
      <Reference URI="/xl/worksheets/sheet6.xml?ContentType=application/vnd.openxmlformats-officedocument.spreadsheetml.worksheet+xml">
        <DigestMethod Algorithm="http://www.w3.org/2000/09/xmldsig#sha1"/>
        <DigestValue>T9YyJHRvhCQohYELdBe7lGxAQM0=</DigestValue>
      </Reference>
      <Reference URI="/xl/worksheets/sheet7.xml?ContentType=application/vnd.openxmlformats-officedocument.spreadsheetml.worksheet+xml">
        <DigestMethod Algorithm="http://www.w3.org/2000/09/xmldsig#sha1"/>
        <DigestValue>Gy+TWbAUVbShAW6y1fcLHFXLutI=</DigestValue>
      </Reference>
      <Reference URI="/xl/worksheets/sheet8.xml?ContentType=application/vnd.openxmlformats-officedocument.spreadsheetml.worksheet+xml">
        <DigestMethod Algorithm="http://www.w3.org/2000/09/xmldsig#sha1"/>
        <DigestValue>QVfW1RZD0S8XZlHYTDzjnymDQDk=</DigestValue>
      </Reference>
      <Reference URI="/xl/worksheets/sheet9.xml?ContentType=application/vnd.openxmlformats-officedocument.spreadsheetml.worksheet+xml">
        <DigestMethod Algorithm="http://www.w3.org/2000/09/xmldsig#sha1"/>
        <DigestValue>am+xD7DhwgHrNm1j+dNVk3rSNN4=</DigestValue>
      </Reference>
    </Manifest>
    <SignatureProperties>
      <SignatureProperty Id="idSignatureTime" Target="#idPackageSignature">
        <mdssi:SignatureTime>
          <mdssi:Format>YYYY-MM-DDThh:mm:ssTZD</mdssi:Format>
          <mdssi:Value>2020-07-29T17:12:07Z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T o u r   x m l n s : x s d = " h t t p : / / w w w . w 3 . o r g / 2 0 0 1 / X M L S c h e m a "   x m l n s : x s i = " h t t p : / / w w w . w 3 . o r g / 2 0 0 1 / X M L S c h e m a - i n s t a n c e "   N a m e = " P a s e o   1 "   D e s c r i p t i o n = " L a   d e s c r i p c i � n   d e l   p a s e o   v a   a q u � "   x m l n s = " h t t p : / / m i c r o s o f t . d a t a . v i s u a l i z a t i o n . e n g i n e . t o u r s / 1 . 0 " > < S c e n e s > < S c e n e   C u s t o m M a p G u i d = " 0 0 0 0 0 0 0 0 - 0 0 0 0 - 0 0 0 0 - 0 0 0 0 - 0 0 0 0 0 0 0 0 0 0 0 0 "   C u s t o m M a p I d = " 0 0 0 0 0 0 0 0 - 0 0 0 0 - 0 0 0 0 - 0 0 0 0 - 0 0 0 0 0 0 0 0 0 0 0 0 "   S c e n e I d = " 3 6 8 4 d 7 8 a - b 8 8 6 - 4 1 2 c - b 1 c 6 - 8 3 5 3 5 6 9 7 b 4 1 0 " > < T r a n s i t i o n > M o v e T o < / T r a n s i t i o n > < E f f e c t > S t a t i o n < / E f f e c t > < T h e m e > B i n g R o a d < / T h e m e > < T h e m e W i t h L a b e l > f a l s e < / T h e m e W i t h L a b e l > < F l a t M o d e E n a b l e d > f a l s e < / F l a t M o d e E n a b l e d > < D u r a t i o n > 1 0 0 0 0 0 0 0 0 < / D u r a t i o n > < T r a n s i t i o n D u r a t i o n > 3 0 0 0 0 0 0 0 < / T r a n s i t i o n D u r a t i o n > < S p e e d > 0 . 5 < / S p e e d > < F r a m e > < C a m e r a > < L a t i t u d e > - 5 . 0 8 6 7 9 6 2 3 3 4 6 0 3 3 2 5 < / L a t i t u d e > < L o n g i t u d e > 8 8 . 6 2 2 4 4 7 3 0 7 9 2 0 8 2 2 < / L o n g i t u d e > < R o t a t i o n > 0 < / R o t a t i o n > < P i v o t A n g l e > 0 < / P i v o t A n g l e > < D i s t a n c e > 0 . 6 8 7 1 9 4 7 6 7 3 6 0 0 0 0 1 8 < / D i s t a n c e > < / C a m e r a > < 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 N a m e = " C a p a   1 "   G u i d = " 2 9 f d a 4 2 d - 0 4 f c - 4 b 0 c - 9 2 6 3 - c d 2 e 8 9 4 1 4 6 0 a "   R e v = " 1 "   R e v G u i d = " f 0 5 1 8 2 1 6 - 9 b 5 2 - 4 6 7 0 - a 1 d 0 - 0 8 c f 5 4 b a 6 b d f " 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805D5139E737CA46B576776EB15C92A9" ma:contentTypeVersion="11" ma:contentTypeDescription="Crear nuevo documento." ma:contentTypeScope="" ma:versionID="d5ec20bac0941b1c5b5c6948cd28662b">
  <xsd:schema xmlns:xsd="http://www.w3.org/2001/XMLSchema" xmlns:xs="http://www.w3.org/2001/XMLSchema" xmlns:p="http://schemas.microsoft.com/office/2006/metadata/properties" xmlns:ns3="727e11e5-f0bc-40b2-aa03-230944aad938" xmlns:ns4="5c546f28-f963-4913-91d3-746344b8e317" targetNamespace="http://schemas.microsoft.com/office/2006/metadata/properties" ma:root="true" ma:fieldsID="cc6cb1896c00002d56073c9761bcd09a" ns3:_="" ns4:_="">
    <xsd:import namespace="727e11e5-f0bc-40b2-aa03-230944aad938"/>
    <xsd:import namespace="5c546f28-f963-4913-91d3-746344b8e317"/>
    <xsd:element name="properties">
      <xsd:complexType>
        <xsd:sequence>
          <xsd:element name="documentManagement">
            <xsd:complexType>
              <xsd:all>
                <xsd:element ref="ns3:MediaServiceMetadata" minOccurs="0"/>
                <xsd:element ref="ns3:MediaServiceFastMetadata" minOccurs="0"/>
                <xsd:element ref="ns4:SharedWithUsers" minOccurs="0"/>
                <xsd:element ref="ns3:MediaServiceAutoTags" minOccurs="0"/>
                <xsd:element ref="ns3:MediaServiceOCR" minOccurs="0"/>
                <xsd:element ref="ns3:MediaServiceDateTaken" minOccurs="0"/>
                <xsd:element ref="ns3:MediaServiceLocation"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e11e5-f0bc-40b2-aa03-230944aad93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546f28-f963-4913-91d3-746344b8e31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V i s u a l i z a t i o n   x m l n s : x s d = " h t t p : / / w w w . w 3 . o r g / 2 0 0 1 / X M L S c h e m a "   x m l n s : x s i = " h t t p : / / w w w . w 3 . o r g / 2 0 0 1 / X M L S c h e m a - i n s t a n c e "   x m l n s = " h t t p : / / m i c r o s o f t . d a t a . v i s u a l i z a t i o n . C l i e n t . E x c e l / 1 . 0 " > < T o u r s > < T o u r   N a m e = " P a s e o   1 "   I d = " { 2 3 0 9 5 D 8 B - 1 0 3 6 - 4 C D 5 - 8 D 0 B - 8 B 3 7 2 3 8 5 3 4 7 4 } "   T o u r I d = " d 1 4 6 6 3 4 1 - 9 b 5 1 - 4 5 c 7 - b 4 3 0 - a 9 4 e 5 7 f 4 4 7 6 3 "   X m l V e r = " 6 "   M i n X m l V e r = " 3 " > < D e s c r i p t i o n > L a   d e s c r i p c i � n   d e l   p a s e o   v a   a q u � < / D e s c r i p t i o n > < 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T o u r > < / T o u r s > < / V i s u a l i z a t i o n > 
</file>

<file path=customXml/itemProps1.xml><?xml version="1.0" encoding="utf-8"?>
<ds:datastoreItem xmlns:ds="http://schemas.openxmlformats.org/officeDocument/2006/customXml" ds:itemID="{23095D8B-1036-4CD5-8D0B-8B3723853474}">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041F4C9A-4D7C-4604-BB4C-69F935F9DFDD}">
  <ds:schemaRefs>
    <ds:schemaRef ds:uri="http://schemas.openxmlformats.org/package/2006/metadata/core-properties"/>
    <ds:schemaRef ds:uri="5c546f28-f963-4913-91d3-746344b8e317"/>
    <ds:schemaRef ds:uri="727e11e5-f0bc-40b2-aa03-230944aad938"/>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69503B3-65B8-42BD-BC83-EA595A005475}">
  <ds:schemaRefs>
    <ds:schemaRef ds:uri="http://schemas.microsoft.com/sharepoint/v3/contenttype/forms"/>
  </ds:schemaRefs>
</ds:datastoreItem>
</file>

<file path=customXml/itemProps4.xml><?xml version="1.0" encoding="utf-8"?>
<ds:datastoreItem xmlns:ds="http://schemas.openxmlformats.org/officeDocument/2006/customXml" ds:itemID="{8B865FD4-915B-4EC6-8536-35124F60F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e11e5-f0bc-40b2-aa03-230944aad938"/>
    <ds:schemaRef ds:uri="5c546f28-f963-4913-91d3-746344b8e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B1609C0-611D-482D-80D9-A966B996431D}">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CARATULA</vt:lpstr>
      <vt:lpstr>ÍNDICE</vt:lpstr>
      <vt:lpstr>01</vt:lpstr>
      <vt:lpstr>02</vt:lpstr>
      <vt:lpstr>05</vt:lpstr>
      <vt:lpstr>06</vt:lpstr>
      <vt:lpstr>07</vt:lpstr>
      <vt:lpstr>08</vt:lpstr>
      <vt:lpstr>09</vt:lpstr>
      <vt:lpstr>10</vt:lpstr>
      <vt:lpstr>11</vt:lpstr>
      <vt:lpstr>12</vt:lpstr>
      <vt:lpstr>13</vt:lpstr>
      <vt:lpstr>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Jugarte</dc:creator>
  <cp:keywords/>
  <dc:description/>
  <cp:lastModifiedBy>Jorge Ugarte</cp:lastModifiedBy>
  <cp:revision/>
  <cp:lastPrinted>2020-07-24T20:58:24Z</cp:lastPrinted>
  <dcterms:created xsi:type="dcterms:W3CDTF">2015-06-05T18:19:34Z</dcterms:created>
  <dcterms:modified xsi:type="dcterms:W3CDTF">2020-07-28T19:35:01Z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0x010100805D5139E737CA46B576776EB15C92A9</vt:lpwstr>
  </property>
</Properties>
</file>