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24226"/>
  <mc:AlternateContent xmlns:mc="http://schemas.openxmlformats.org/markup-compatibility/2006">
    <mc:Choice Requires="x15">
      <x15ac:absPath xmlns:x15ac="http://schemas.microsoft.com/office/spreadsheetml/2010/11/ac" url="C:\Users\jose.laran\Desktop\"/>
    </mc:Choice>
  </mc:AlternateContent>
  <xr:revisionPtr revIDLastSave="0" documentId="13_ncr:201_{28396331-0DF0-4FAE-9323-0F3F2705EDCE}" xr6:coauthVersionLast="36" xr6:coauthVersionMax="36" xr10:uidLastSave="{00000000-0000-0000-0000-000000000000}"/>
  <bookViews>
    <workbookView xWindow="0" yWindow="0" windowWidth="15300" windowHeight="4440" xr2:uid="{00000000-000D-0000-FFFF-FFFF00000000}"/>
  </bookViews>
  <sheets>
    <sheet name="Balance General" sheetId="1" r:id="rId1"/>
    <sheet name="Estado de Resultados" sheetId="2" r:id="rId2"/>
    <sheet name="Flujo de Efectivo" sheetId="4" r:id="rId3"/>
    <sheet name="Variacion PN" sheetId="13" r:id="rId4"/>
    <sheet name="Notas" sheetId="7" r:id="rId5"/>
  </sheets>
  <definedNames>
    <definedName name="_xlnm.Print_Area" localSheetId="0">'Balance General'!$A$2:$F$43</definedName>
    <definedName name="_xlnm.Print_Area" localSheetId="1">'Estado de Resultados'!$A$2:$C$44</definedName>
    <definedName name="_xlnm.Print_Area" localSheetId="2">'Flujo de Efectivo'!$A$2:$C$34</definedName>
    <definedName name="_xlnm.Print_Area" localSheetId="4">Notas!$A:$H</definedName>
    <definedName name="_xlnm.Print_Area" localSheetId="3">'Variacion PN'!#REF!</definedName>
  </definedNames>
  <calcPr calcId="191029"/>
</workbook>
</file>

<file path=xl/calcChain.xml><?xml version="1.0" encoding="utf-8"?>
<calcChain xmlns="http://schemas.openxmlformats.org/spreadsheetml/2006/main">
  <c r="H62" i="7" l="1"/>
  <c r="F62" i="7"/>
  <c r="D62" i="7"/>
  <c r="F61" i="7" l="1"/>
  <c r="D61" i="7"/>
  <c r="F60" i="7"/>
  <c r="D60" i="7"/>
  <c r="B6" i="4"/>
  <c r="H141" i="7"/>
  <c r="I141" i="7"/>
  <c r="J141" i="7"/>
  <c r="J142" i="7"/>
  <c r="I142" i="7"/>
  <c r="H142" i="7"/>
  <c r="H154" i="7"/>
  <c r="I154" i="7"/>
  <c r="J154" i="7"/>
  <c r="J151" i="7"/>
  <c r="I151" i="7"/>
  <c r="H151" i="7"/>
  <c r="H150" i="7"/>
  <c r="I150" i="7"/>
  <c r="J150" i="7"/>
  <c r="H148" i="7"/>
  <c r="I148" i="7"/>
  <c r="J148" i="7"/>
  <c r="J136" i="7"/>
  <c r="I136" i="7"/>
  <c r="H136" i="7"/>
  <c r="J135" i="7"/>
  <c r="I135" i="7"/>
  <c r="H135" i="7"/>
  <c r="J144" i="7"/>
  <c r="I144" i="7"/>
  <c r="H144" i="7"/>
  <c r="J143" i="7"/>
  <c r="I143" i="7"/>
  <c r="H143" i="7"/>
  <c r="J147" i="7"/>
  <c r="I147" i="7"/>
  <c r="H147" i="7"/>
  <c r="J153" i="7"/>
  <c r="I153" i="7"/>
  <c r="H153" i="7"/>
  <c r="F155" i="7"/>
  <c r="G148" i="7"/>
  <c r="G134" i="7" l="1"/>
  <c r="G144" i="7" l="1"/>
  <c r="G152" i="7"/>
  <c r="G155" i="7" s="1"/>
  <c r="G140" i="7"/>
  <c r="G146" i="7" s="1"/>
  <c r="C21" i="4" l="1"/>
  <c r="C7" i="4"/>
  <c r="C15" i="4"/>
  <c r="B7" i="4"/>
  <c r="B29" i="4"/>
  <c r="B31" i="4"/>
  <c r="D438" i="7" l="1"/>
  <c r="C25" i="2" s="1"/>
  <c r="C29" i="2"/>
  <c r="C28" i="2"/>
  <c r="C37" i="2"/>
  <c r="C19" i="2"/>
  <c r="D378" i="7"/>
  <c r="C9" i="2" s="1"/>
  <c r="C4" i="2" s="1"/>
  <c r="D460" i="7"/>
  <c r="C32" i="2" s="1"/>
  <c r="C31" i="2" s="1"/>
  <c r="D397" i="7"/>
  <c r="M13" i="13"/>
  <c r="M9" i="13"/>
  <c r="M10" i="13"/>
  <c r="M11" i="13"/>
  <c r="M12" i="13"/>
  <c r="M8" i="13"/>
  <c r="N14" i="13"/>
  <c r="L8" i="13"/>
  <c r="K8" i="13"/>
  <c r="J11" i="13"/>
  <c r="H10" i="13"/>
  <c r="G9" i="13"/>
  <c r="N7" i="13"/>
  <c r="C197" i="7"/>
  <c r="C285" i="7"/>
  <c r="E10" i="1"/>
  <c r="F41" i="1"/>
  <c r="F19" i="1"/>
  <c r="C41" i="1"/>
  <c r="C38" i="1"/>
  <c r="C23" i="1"/>
  <c r="B21" i="2"/>
  <c r="C459" i="7"/>
  <c r="B29" i="2"/>
  <c r="B28" i="2"/>
  <c r="C392" i="7"/>
  <c r="D474" i="7"/>
  <c r="D466" i="7"/>
  <c r="C35" i="2" s="1"/>
  <c r="C34" i="2" s="1"/>
  <c r="D449" i="7"/>
  <c r="D447" i="7"/>
  <c r="D404" i="7"/>
  <c r="C16" i="2" s="1"/>
  <c r="C14" i="2" s="1"/>
  <c r="C378" i="7"/>
  <c r="B9" i="2" s="1"/>
  <c r="C360" i="7"/>
  <c r="F352" i="7"/>
  <c r="F354" i="7" s="1"/>
  <c r="E354" i="7"/>
  <c r="C354" i="7"/>
  <c r="C266" i="7"/>
  <c r="C255" i="7"/>
  <c r="F256" i="7"/>
  <c r="D254" i="7"/>
  <c r="F247" i="7"/>
  <c r="F248" i="7" s="1"/>
  <c r="D248" i="7"/>
  <c r="D234" i="7"/>
  <c r="G234" i="7" s="1"/>
  <c r="G235" i="7"/>
  <c r="G236" i="7"/>
  <c r="G237" i="7"/>
  <c r="G233" i="7"/>
  <c r="D227" i="7"/>
  <c r="D224" i="7"/>
  <c r="C27" i="2" l="1"/>
  <c r="C17" i="2"/>
  <c r="C6" i="4"/>
  <c r="C8" i="4"/>
  <c r="C12" i="2"/>
  <c r="C10" i="2" s="1"/>
  <c r="C13" i="2" s="1"/>
  <c r="G238" i="7"/>
  <c r="C26" i="2" l="1"/>
  <c r="C42" i="2" s="1"/>
  <c r="C44" i="2" s="1"/>
  <c r="F145" i="7" l="1"/>
  <c r="F144" i="7"/>
  <c r="F146" i="7" s="1"/>
  <c r="E109" i="7" l="1"/>
  <c r="F121" i="7"/>
  <c r="E116" i="7" l="1"/>
  <c r="D116" i="7"/>
  <c r="F116" i="7"/>
  <c r="F123" i="7" s="1"/>
  <c r="F125" i="7" s="1"/>
  <c r="D49" i="7" l="1"/>
  <c r="F53" i="7"/>
  <c r="F49" i="7"/>
  <c r="A35" i="4" l="1"/>
  <c r="M7" i="13" l="1"/>
  <c r="F14" i="13"/>
  <c r="B24" i="4"/>
  <c r="H57" i="4" l="1"/>
  <c r="H52" i="4"/>
  <c r="H46" i="4"/>
  <c r="H45" i="4"/>
  <c r="H44" i="4"/>
  <c r="H41" i="4"/>
  <c r="H39" i="4"/>
  <c r="H33" i="4"/>
  <c r="H47" i="4" l="1"/>
  <c r="J18" i="4"/>
  <c r="I25" i="4"/>
  <c r="H19" i="4"/>
  <c r="J19" i="4" s="1"/>
  <c r="H18" i="4"/>
  <c r="H4" i="4"/>
  <c r="C25" i="4"/>
  <c r="C30" i="4"/>
  <c r="C9" i="4"/>
  <c r="C14" i="4" s="1"/>
  <c r="C16" i="4" s="1"/>
  <c r="H25" i="4" l="1"/>
  <c r="C32" i="4"/>
  <c r="C34" i="4" s="1"/>
  <c r="B33" i="4" s="1"/>
  <c r="G14" i="13"/>
  <c r="H14" i="13"/>
  <c r="I14" i="13"/>
  <c r="J14" i="13"/>
  <c r="K14" i="13"/>
  <c r="L14" i="13"/>
  <c r="E14" i="13"/>
  <c r="C385" i="7"/>
  <c r="B37" i="2"/>
  <c r="C474" i="7"/>
  <c r="B13" i="1"/>
  <c r="F233" i="7"/>
  <c r="F237" i="7"/>
  <c r="B27" i="2" l="1"/>
  <c r="B28" i="1"/>
  <c r="D270" i="7"/>
  <c r="B7" i="1"/>
  <c r="D238" i="7"/>
  <c r="E238" i="7"/>
  <c r="C238" i="7"/>
  <c r="E229" i="7"/>
  <c r="F229" i="7"/>
  <c r="F236" i="7"/>
  <c r="F235" i="7"/>
  <c r="F234" i="7"/>
  <c r="B33" i="1" l="1"/>
  <c r="F238" i="7"/>
  <c r="C229" i="7"/>
  <c r="C466" i="7"/>
  <c r="B35" i="2" s="1"/>
  <c r="C460" i="7"/>
  <c r="C449" i="7"/>
  <c r="C447" i="7"/>
  <c r="C404" i="7"/>
  <c r="C397" i="7"/>
  <c r="B4" i="2"/>
  <c r="B12" i="2" l="1"/>
  <c r="B10" i="2" s="1"/>
  <c r="B13" i="2" s="1"/>
  <c r="B16" i="2"/>
  <c r="B14" i="2" s="1"/>
  <c r="B32" i="2"/>
  <c r="C438" i="7"/>
  <c r="H40" i="4"/>
  <c r="H42" i="4" s="1"/>
  <c r="B34" i="2"/>
  <c r="B30" i="4"/>
  <c r="H5" i="4"/>
  <c r="B31" i="2" l="1"/>
  <c r="B25" i="2"/>
  <c r="B17" i="2" s="1"/>
  <c r="B26" i="2" s="1"/>
  <c r="B42" i="2" s="1"/>
  <c r="B44" i="2" l="1"/>
  <c r="H34" i="4"/>
  <c r="D347" i="7"/>
  <c r="D348" i="7"/>
  <c r="D349" i="7"/>
  <c r="D350" i="7"/>
  <c r="D351" i="7"/>
  <c r="D346" i="7"/>
  <c r="E22" i="1"/>
  <c r="C323" i="7"/>
  <c r="E16" i="1" s="1"/>
  <c r="C287" i="7"/>
  <c r="E7" i="1" s="1"/>
  <c r="E6" i="1" s="1"/>
  <c r="H35" i="4" s="1"/>
  <c r="C270" i="7"/>
  <c r="B21" i="1" s="1"/>
  <c r="B20" i="1" s="1"/>
  <c r="B36" i="1"/>
  <c r="D255" i="7"/>
  <c r="B37" i="1"/>
  <c r="B16" i="1"/>
  <c r="B15" i="1" s="1"/>
  <c r="H9" i="4" l="1"/>
  <c r="H10" i="4" s="1"/>
  <c r="E15" i="1"/>
  <c r="B8" i="4"/>
  <c r="D354" i="7"/>
  <c r="E21" i="1"/>
  <c r="E17" i="1"/>
  <c r="E19" i="1" s="1"/>
  <c r="E41" i="1" s="1"/>
  <c r="H36" i="4"/>
  <c r="F255" i="7"/>
  <c r="B35" i="1"/>
  <c r="G156" i="7" l="1"/>
  <c r="G184" i="7" s="1"/>
  <c r="B10" i="1" s="1"/>
  <c r="B9" i="4" l="1"/>
  <c r="B14" i="4" s="1"/>
  <c r="B16" i="4" s="1"/>
  <c r="F156" i="7" l="1"/>
  <c r="D123" i="7"/>
  <c r="D125" i="7" s="1"/>
  <c r="E121" i="7"/>
  <c r="E69" i="7"/>
  <c r="D69" i="7"/>
  <c r="F68" i="7"/>
  <c r="F69" i="7" l="1"/>
  <c r="E123" i="7"/>
  <c r="E62" i="7"/>
  <c r="E125" i="7" l="1"/>
  <c r="B8" i="1"/>
  <c r="B6" i="1" s="1"/>
  <c r="B23" i="1" s="1"/>
  <c r="D229" i="7" l="1"/>
  <c r="G229" i="7"/>
  <c r="B32" i="1" l="1"/>
  <c r="B31" i="1" l="1"/>
  <c r="B38" i="1" s="1"/>
  <c r="B41" i="1" s="1"/>
  <c r="B21" i="4"/>
  <c r="B25" i="4" s="1"/>
  <c r="B32" i="4" s="1"/>
  <c r="B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Lidia Liz Paola Coronel Carmona</author>
  </authors>
  <commentList>
    <comment ref="C186" authorId="0" shapeId="0" xr:uid="{F6B9E0E3-4203-418D-B68D-6D334D41AC1F}">
      <text>
        <r>
          <rPr>
            <b/>
            <sz val="9"/>
            <color indexed="81"/>
            <rFont val="Tahoma"/>
            <family val="2"/>
          </rPr>
          <t>Lidia Liz Paola Coronel Carmona:</t>
        </r>
        <r>
          <rPr>
            <sz val="9"/>
            <color indexed="81"/>
            <rFont val="Tahoma"/>
            <family val="2"/>
          </rPr>
          <t xml:space="preserve">
EL VALOR NOMINAL ES DE 200.000.000</t>
        </r>
      </text>
    </comment>
  </commentList>
</comments>
</file>

<file path=xl/sharedStrings.xml><?xml version="1.0" encoding="utf-8"?>
<sst xmlns="http://schemas.openxmlformats.org/spreadsheetml/2006/main" count="812" uniqueCount="532">
  <si>
    <t>ACTIVO</t>
  </si>
  <si>
    <t>ACTIVO CORRIENTE</t>
  </si>
  <si>
    <t>Recaudaciones a Depositar</t>
  </si>
  <si>
    <t>Titulos de Renta Fija</t>
  </si>
  <si>
    <t>Titulos de Renta Variable</t>
  </si>
  <si>
    <t>TOTAL ACTIVO CORRIENTE</t>
  </si>
  <si>
    <t>ACTIVO NO CORRIENTE</t>
  </si>
  <si>
    <t>TOTAL ACTIVO NO CORRIENTE</t>
  </si>
  <si>
    <t>PASIVO</t>
  </si>
  <si>
    <t>PATRIMONIO NETO</t>
  </si>
  <si>
    <t>TOTAL PASIVO Y PATRIMINIO NETO</t>
  </si>
  <si>
    <t>INGRESOS OPERACIONES</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</si>
  <si>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</si>
  <si>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</si>
  <si>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</si>
  <si>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</si>
  <si>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</si>
  <si>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</si>
  <si>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</si>
  <si>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</si>
  <si>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</si>
  <si>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</si>
  <si>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</si>
  <si>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</si>
  <si>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</si>
  <si>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</si>
  <si>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</si>
  <si>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</si>
  <si>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</si>
  <si>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</si>
  <si>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</si>
  <si>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</si>
  <si>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</si>
  <si>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</si>
  <si>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</si>
  <si>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</si>
  <si>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</si>
  <si>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</si>
  <si>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</si>
  <si>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</si>
  <si>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</si>
  <si>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</si>
  <si>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</si>
  <si>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</si>
  <si>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</si>
  <si>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</si>
  <si>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</si>
  <si>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</si>
  <si>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Fondos con destino especial</t>
  </si>
  <si>
    <t>Compra de Propiedad, planta y equipo</t>
  </si>
  <si>
    <t>Adquisición de Acciones y Títulos de Deuda (Cartera Propia)</t>
  </si>
  <si>
    <t>Intereses percibidos</t>
  </si>
  <si>
    <t>Dividendo percibidos</t>
  </si>
  <si>
    <t>Efectivo neto por (o usado) en actividades de inversión</t>
  </si>
  <si>
    <t>Flujo de Efectivo por las Actividades de Financiamiento</t>
  </si>
  <si>
    <t>Flujo de Efectivo por las Actividades de Inversión</t>
  </si>
  <si>
    <t>Aporte de capital</t>
  </si>
  <si>
    <t>Proveniente de préstamos y otras deudas</t>
  </si>
  <si>
    <t>Intereses pagados</t>
  </si>
  <si>
    <t>Efectivo neto en actividades de financiamiento</t>
  </si>
  <si>
    <t>Aumento (o disminición) neto de efectivo y sus equivalentes</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</si>
  <si>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</si>
  <si>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</si>
  <si>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</si>
  <si>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</si>
  <si>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</si>
  <si>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</si>
  <si>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</si>
  <si>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</si>
  <si>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</si>
  <si>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</si>
  <si>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</si>
  <si>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</si>
  <si>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</si>
  <si>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</si>
  <si>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</si>
  <si>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</si>
  <si>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</si>
  <si>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</si>
  <si>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</si>
  <si>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</si>
  <si>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</si>
  <si>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</si>
  <si>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</si>
  <si>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</si>
  <si>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</si>
  <si>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</si>
  <si>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</si>
  <si>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</si>
  <si>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</si>
  <si>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</si>
  <si>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Uniformes al Personal</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</si>
  <si>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</si>
  <si>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</si>
  <si>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</si>
  <si>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</si>
  <si>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</si>
  <si>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</si>
  <si>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</si>
  <si>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</si>
  <si>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</si>
  <si>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</si>
  <si>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</si>
  <si>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</si>
  <si>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IVA Gasto Deducible</t>
  </si>
  <si>
    <t>Bonificación Familiar</t>
  </si>
  <si>
    <t>Papelería y Útiles</t>
  </si>
  <si>
    <t>Capacitación personal</t>
  </si>
  <si>
    <t>Fondo de Garantía</t>
  </si>
  <si>
    <t>Aranceles Pagados a La SEN</t>
  </si>
  <si>
    <t>Canon SEPRELAD</t>
  </si>
  <si>
    <t>Tipo de cambio comprador</t>
  </si>
  <si>
    <t xml:space="preserve">Tipo de cambio vendedor       </t>
  </si>
  <si>
    <t>DETALLE</t>
  </si>
  <si>
    <t>MONEDA EXTRANJERA MONTO</t>
  </si>
  <si>
    <t>ACTIVOS CORRIENTES</t>
  </si>
  <si>
    <t>BANCOS</t>
  </si>
  <si>
    <t>Banco ITAU</t>
  </si>
  <si>
    <t>U$D</t>
  </si>
  <si>
    <t>Banco Continental</t>
  </si>
  <si>
    <t>Banco Regional</t>
  </si>
  <si>
    <t>Banco Sudameris</t>
  </si>
  <si>
    <t>CREDITOS</t>
  </si>
  <si>
    <t>Clientes Moneda Extranjera</t>
  </si>
  <si>
    <t>INVERSIONES TEMPORARIAS</t>
  </si>
  <si>
    <t xml:space="preserve">Titulos de Renta Fija CDA </t>
  </si>
  <si>
    <t xml:space="preserve">Titulos de Renta Fija BONO </t>
  </si>
  <si>
    <t>OBLIGACIONES COMERCIALES</t>
  </si>
  <si>
    <t>Proveedores Moneda Extranjera</t>
  </si>
  <si>
    <t>GANANCIAS POR VALUACIÓN DE ACTIVOS MONETARIOS EN MONEDA EXTRANJERA</t>
  </si>
  <si>
    <t>PÉRDIDAS POR VALUACIÓN  DE PASIVOS MONETARIOS EN MONEDA EXTRANJERA</t>
  </si>
  <si>
    <t>TIPO DE MONEDA</t>
  </si>
  <si>
    <t>MONTO USD</t>
  </si>
  <si>
    <t>DISPONIBILIDADES</t>
  </si>
  <si>
    <t>Banco ITAU 700805688</t>
  </si>
  <si>
    <t>Banco ITAU 7700812608</t>
  </si>
  <si>
    <t>Banco Continental 53456309</t>
  </si>
  <si>
    <t>Banco Continental 76696402</t>
  </si>
  <si>
    <t>Vision Banco 900483585</t>
  </si>
  <si>
    <t>Banco Regional 7881548</t>
  </si>
  <si>
    <t>Banco Sudameris 28906017</t>
  </si>
  <si>
    <t>Financiera Solar 182965</t>
  </si>
  <si>
    <t>Banco Nacional de Fomento</t>
  </si>
  <si>
    <t>Banco ITAU 7050800413</t>
  </si>
  <si>
    <t>Banco Continental 17608406</t>
  </si>
  <si>
    <t>Banco Regional 7881549</t>
  </si>
  <si>
    <t>TOTAL DISPONIBILIDADES</t>
  </si>
  <si>
    <t>e)     Inversiones: Conformación, e indicación del criterio de valuación e inclusión de los importes de previsión por menor valor.</t>
  </si>
  <si>
    <t>INFORMACIÓN SOBRE EL DOCUMENTO Y EMISOR</t>
  </si>
  <si>
    <t>MONEDA</t>
  </si>
  <si>
    <t>INSTRUMENTO</t>
  </si>
  <si>
    <t>CANTIDAD DE TITULOS</t>
  </si>
  <si>
    <t>VALOR NOMINAL UNITARIO</t>
  </si>
  <si>
    <t>RESULTADO</t>
  </si>
  <si>
    <t>EMISOR</t>
  </si>
  <si>
    <t>CDA</t>
  </si>
  <si>
    <t>USD</t>
  </si>
  <si>
    <t>INVERSIONES PERMANENTES</t>
  </si>
  <si>
    <t>PERÍODO ACTUAL G.</t>
  </si>
  <si>
    <t>TOTAL EJERCICIO  ANTERIOR G.</t>
  </si>
  <si>
    <t>ACCIONES EN OTRAS EMPRESAS</t>
  </si>
  <si>
    <t>ACCIONES</t>
  </si>
  <si>
    <t>CUENTAS</t>
  </si>
  <si>
    <t>VALOR DE COSTO</t>
  </si>
  <si>
    <t>VALOR CONTABLE</t>
  </si>
  <si>
    <t>VALOR DE COTIZACION</t>
  </si>
  <si>
    <t>Inversiones Corrientes</t>
  </si>
  <si>
    <t>Saldo período actual</t>
  </si>
  <si>
    <t>Saldo ejercicio anterior</t>
  </si>
  <si>
    <t>Inversiones No Corrientes</t>
  </si>
  <si>
    <t>Saldo período actual G.</t>
  </si>
  <si>
    <t>Saldo ejercicio anterior G.</t>
  </si>
  <si>
    <t>ACCION DE LA BOLSA DE VALORES</t>
  </si>
  <si>
    <t>CANTIDAD</t>
  </si>
  <si>
    <t>VALOR NOMINAL</t>
  </si>
  <si>
    <t>1 (una)</t>
  </si>
  <si>
    <t>f)    Créditos</t>
  </si>
  <si>
    <t>DEUDORES POR INTERMEDIACION</t>
  </si>
  <si>
    <t xml:space="preserve">CONCEPTO </t>
  </si>
  <si>
    <t>Deudores por Intermediación Moneda Local - Servicios</t>
  </si>
  <si>
    <t>DEUDORES VARIOS</t>
  </si>
  <si>
    <t>g)      Bienes de Uso</t>
  </si>
  <si>
    <t>Equipo de Informatica</t>
  </si>
  <si>
    <t>Mejora en Propiedad de Terceros</t>
  </si>
  <si>
    <t>Rodados</t>
  </si>
  <si>
    <t>DEPRECIACIONES</t>
  </si>
  <si>
    <t>h)      Cargos diferidos</t>
  </si>
  <si>
    <t xml:space="preserve"> Los cargos diferidos se deben exponer desagregados de acuerdo al siguiente modelo:</t>
  </si>
  <si>
    <t>SALDO INCIAL</t>
  </si>
  <si>
    <t>SALDO</t>
  </si>
  <si>
    <t>AUMENTOS</t>
  </si>
  <si>
    <t>AMORTIZACIONES</t>
  </si>
  <si>
    <t>NETO FINAL</t>
  </si>
  <si>
    <t>i) Intangibles</t>
  </si>
  <si>
    <t>j) Otros Activos Corrientes y No Corrientes</t>
  </si>
  <si>
    <t>Impuesto al Valor Agregado</t>
  </si>
  <si>
    <t>Seguros a Vencer</t>
  </si>
  <si>
    <t>INSTITUCIÓN</t>
  </si>
  <si>
    <t>Gratificación Especial Ley 285/93</t>
  </si>
  <si>
    <t>n)      Administración de Cartera (corto y largo plazo)</t>
  </si>
  <si>
    <t>o) Cuentas a pagar a personas y empresas relacionadas (corto y largo plazo)</t>
  </si>
  <si>
    <t>NOMBRE</t>
  </si>
  <si>
    <t>RELACION</t>
  </si>
  <si>
    <t>TIPO DE OPERACIÓN</t>
  </si>
  <si>
    <t>ANTIGÜEDAD DE LA DEUDA</t>
  </si>
  <si>
    <t>VENCIMIENTO</t>
  </si>
  <si>
    <t>p)     Obligac. por contrato de Underwriting (corto y largo plazo)</t>
  </si>
  <si>
    <t>PLAZO DE VENCIMIENTO DEL CONTRATO</t>
  </si>
  <si>
    <t>q)      Otros Pasivos Corrientes y No Corrientes</t>
  </si>
  <si>
    <t>Operaciones a Liquidar</t>
  </si>
  <si>
    <t>r)      Saldos y transacciones con personas y empresas relacionadas  (Corriente y No Corriente)</t>
  </si>
  <si>
    <t>Página 9 de 10</t>
  </si>
  <si>
    <t xml:space="preserve">NOMBRE </t>
  </si>
  <si>
    <t>SALDOS</t>
  </si>
  <si>
    <t>s)      Resultado con personas y empresas vinculadas</t>
  </si>
  <si>
    <t>PERSONA O EMPRESA RELACIONADA</t>
  </si>
  <si>
    <t>TOTAL DE INGRESOS</t>
  </si>
  <si>
    <t>t)      Patrimonio</t>
  </si>
  <si>
    <t>DISMINUCIÓN</t>
  </si>
  <si>
    <t>Capital Integrado</t>
  </si>
  <si>
    <t>Reserva de Revaluo</t>
  </si>
  <si>
    <t>Reserva Legal</t>
  </si>
  <si>
    <t>Reserva Facultativa</t>
  </si>
  <si>
    <t>Revaluo de acciones al inicio</t>
  </si>
  <si>
    <t>Resultados Acumulados</t>
  </si>
  <si>
    <t>Resultados del Ejercicio</t>
  </si>
  <si>
    <t>u)      Previsiones</t>
  </si>
  <si>
    <t>DISMINUCION</t>
  </si>
  <si>
    <t>- DEDUCIDAS DEL ACTIVO</t>
  </si>
  <si>
    <t>- INCLUIDAS EN EL PASIVO</t>
  </si>
  <si>
    <t>v)      INGRESOS OPERATIVOS</t>
  </si>
  <si>
    <t>w)  Otros Gastos Operativos, de Comercialización y de Administración</t>
  </si>
  <si>
    <t>x)  Otros Ingresos y Egresos</t>
  </si>
  <si>
    <t>y) RESULTADOS FINANCIEROS</t>
  </si>
  <si>
    <t>z)      Resultados Extraordinarios</t>
  </si>
  <si>
    <t>6) Informacion referente a contingencias y compromisos</t>
  </si>
  <si>
    <t>a)Compromisos Directos:</t>
  </si>
  <si>
    <t>b) Contingencias Legales:</t>
  </si>
  <si>
    <t>c) Garantias Constituidas:</t>
  </si>
  <si>
    <t>Garantías</t>
  </si>
  <si>
    <t>Monto Asegurado</t>
  </si>
  <si>
    <t>Forma de Constitución</t>
  </si>
  <si>
    <t>7) Hechos Posteriores al cierre del Ejercicio</t>
  </si>
  <si>
    <t>No existen hechos posteriores al cierre del ejercicio que impliquen alteraciones significativas a la estructura patrimonial y resultado del ejercicio.</t>
  </si>
  <si>
    <t>8) Limitacion a la Libre Disponibilidad de los activos o del patrimonio y cualquier restriccion al derecho de propiedad.</t>
  </si>
  <si>
    <t>La firma cuenta  con la libre disposicion  de su patrimonio.</t>
  </si>
  <si>
    <t>9) Cambios Contables</t>
  </si>
  <si>
    <t>No Aplicable</t>
  </si>
  <si>
    <t>10) Restricciones para Distribucion  de Utilidades</t>
  </si>
  <si>
    <t>11) Sanciones</t>
  </si>
  <si>
    <t>No Posee sanciones con la Comision Nacional de Valores u otras entidades fiscalizadoras.</t>
  </si>
  <si>
    <t xml:space="preserve"> PASIVO CORRIENTE</t>
  </si>
  <si>
    <t xml:space="preserve"> Provisiones</t>
  </si>
  <si>
    <t xml:space="preserve"> Impuesto a la Renta a Pagar</t>
  </si>
  <si>
    <t xml:space="preserve"> TOTAL PASIVO CORRIENTE</t>
  </si>
  <si>
    <t xml:space="preserve"> TOTAL PASIVO</t>
  </si>
  <si>
    <t xml:space="preserve"> TOTAL PATRIMONIO NETO</t>
  </si>
  <si>
    <t>RESULTADOS</t>
  </si>
  <si>
    <t>ACUMULADOS</t>
  </si>
  <si>
    <t xml:space="preserve">ESTADO DE VARIACION DE PATRIMONIO NETO                                                                                                                   </t>
  </si>
  <si>
    <t>Dieta de Directorio</t>
  </si>
  <si>
    <t>Financiera El Comercio</t>
  </si>
  <si>
    <t>Anticipo Impuesto a la Renta</t>
  </si>
  <si>
    <t>Bono Electrónico</t>
  </si>
  <si>
    <t xml:space="preserve"> Aportes y Retenciones a Pagar</t>
  </si>
  <si>
    <t>TOTAL DE EGRESOS</t>
  </si>
  <si>
    <t>Total del Periodo Actual</t>
  </si>
  <si>
    <t>Total del Periodo Anterior</t>
  </si>
  <si>
    <t>SUSCRIPTO</t>
  </si>
  <si>
    <t>Garantia de Desempeño de Profesión</t>
  </si>
  <si>
    <t>Vigencia</t>
  </si>
  <si>
    <t>Diferencia de Cambio</t>
  </si>
  <si>
    <t>NO EXISTEN</t>
  </si>
  <si>
    <t>Retencion Impuesto al Valor Agregado</t>
  </si>
  <si>
    <t>Lincencias a Vencer</t>
  </si>
  <si>
    <t>Cuentas</t>
  </si>
  <si>
    <t>Altas</t>
  </si>
  <si>
    <t>Bajas</t>
  </si>
  <si>
    <t>Revaluo del Periodo</t>
  </si>
  <si>
    <t>Muebles y Utiles</t>
  </si>
  <si>
    <t>Maquinas y Equipos de oficina</t>
  </si>
  <si>
    <t>Acumulado al Cierre</t>
  </si>
  <si>
    <t>Refrigerio</t>
  </si>
  <si>
    <t>Auditoria Externa</t>
  </si>
  <si>
    <t>Banco Continental 34068203</t>
  </si>
  <si>
    <t>Banco Continental 71629001</t>
  </si>
  <si>
    <t>PERIODO ACTUAL USD (En Guaraníes)</t>
  </si>
  <si>
    <t>Membresia Mercado Futuro</t>
  </si>
  <si>
    <t>Garantia Mercado Futuro</t>
  </si>
  <si>
    <t>₲</t>
  </si>
  <si>
    <t>Sub Total Cuentas Propias</t>
  </si>
  <si>
    <t>Cuentas Compensadoras</t>
  </si>
  <si>
    <t>Sub Total Cuentas Compensadoras</t>
  </si>
  <si>
    <t>SALDO AL 31/12/2018</t>
  </si>
  <si>
    <t>Fondo Fijo</t>
  </si>
  <si>
    <t>DOCUMENTOS Y CUENTAS POR PAGAR</t>
  </si>
  <si>
    <r>
      <t>d) DISPONIBILIDADES:</t>
    </r>
    <r>
      <rPr>
        <sz val="12"/>
        <rFont val="Arial"/>
        <family val="2"/>
      </rPr>
      <t xml:space="preserve"> El rubro se encuentra compuesto de la siguiente manera:</t>
    </r>
  </si>
  <si>
    <t>Total Caja</t>
  </si>
  <si>
    <t>Total Bancos</t>
  </si>
  <si>
    <t>Citibank 5198720013</t>
  </si>
  <si>
    <t>c) DIFERENCIA DE CAMBIO EN MONEDA EXTRANJERA</t>
  </si>
  <si>
    <t>PASIVOS EN MONEDA EXTRANJERA</t>
  </si>
  <si>
    <t xml:space="preserve">          ACTIVOS EN MONEDA EXTRANJERA</t>
  </si>
  <si>
    <r>
      <t>d.1) CAJA:</t>
    </r>
    <r>
      <rPr>
        <sz val="12"/>
        <rFont val="Calibri"/>
        <family val="2"/>
        <scheme val="minor"/>
      </rPr>
      <t xml:space="preserve"> Representa las monedas y billetes existentes en la empresa y cuya composición es:</t>
    </r>
  </si>
  <si>
    <r>
      <t xml:space="preserve">d.2) BANCOS: </t>
    </r>
    <r>
      <rPr>
        <sz val="12"/>
        <rFont val="Arial"/>
        <family val="2"/>
      </rPr>
      <t xml:space="preserve">Representa los fondos disponibles en cta, corriente y ahorros a la vista tanto de </t>
    </r>
  </si>
  <si>
    <r>
      <t xml:space="preserve">PERIODO ACTUAL </t>
    </r>
    <r>
      <rPr>
        <b/>
        <sz val="11"/>
        <rFont val="Calibri"/>
        <family val="2"/>
      </rPr>
      <t>₲</t>
    </r>
  </si>
  <si>
    <t>BANCO CONTINENTAL S.A.E.C.A.</t>
  </si>
  <si>
    <t>TRACTOPAR S.A.E.</t>
  </si>
  <si>
    <t>BOLSA DE VALORES Y PROD. ASUNCION S.A.</t>
  </si>
  <si>
    <t>Acciones</t>
  </si>
  <si>
    <t>Total al 31/12/2017</t>
  </si>
  <si>
    <t>Total al 31/12/2018</t>
  </si>
  <si>
    <r>
      <t xml:space="preserve">CORTO PLAZO      </t>
    </r>
    <r>
      <rPr>
        <b/>
        <sz val="11"/>
        <rFont val="Calibri"/>
        <family val="2"/>
      </rPr>
      <t>₲</t>
    </r>
  </si>
  <si>
    <r>
      <t xml:space="preserve">LARGO PLAZO      </t>
    </r>
    <r>
      <rPr>
        <b/>
        <sz val="11"/>
        <rFont val="Calibri"/>
        <family val="2"/>
      </rPr>
      <t>₲</t>
    </r>
  </si>
  <si>
    <t>DOCUMENTOS Y CUENTAS POR COBRAR</t>
  </si>
  <si>
    <t>N/A</t>
  </si>
  <si>
    <t>Totales al 31/12/2017</t>
  </si>
  <si>
    <t>Totales al 31/12/2018</t>
  </si>
  <si>
    <t>Anticipo a Proveedores</t>
  </si>
  <si>
    <t>Suscripciones a Devengar</t>
  </si>
  <si>
    <t>Proveedores Moneda Nacional</t>
  </si>
  <si>
    <r>
      <t xml:space="preserve">CORTO PLAZO </t>
    </r>
    <r>
      <rPr>
        <b/>
        <sz val="10"/>
        <rFont val="Calibri"/>
        <family val="2"/>
      </rPr>
      <t>₲</t>
    </r>
  </si>
  <si>
    <r>
      <t xml:space="preserve">LARGO PLAZO </t>
    </r>
    <r>
      <rPr>
        <b/>
        <sz val="10"/>
        <rFont val="Calibri"/>
        <family val="2"/>
      </rPr>
      <t>₲</t>
    </r>
  </si>
  <si>
    <t>RELACIÓN</t>
  </si>
  <si>
    <t>TIPO DE     RELACIÓN</t>
  </si>
  <si>
    <t>CORTO PLAZO ₲</t>
  </si>
  <si>
    <t>LARGO PLAZO ₲</t>
  </si>
  <si>
    <t>Ingresos a Realizar</t>
  </si>
  <si>
    <r>
      <t xml:space="preserve">CORRIENTE </t>
    </r>
    <r>
      <rPr>
        <b/>
        <sz val="10"/>
        <rFont val="Calibri"/>
        <family val="2"/>
      </rPr>
      <t>₲</t>
    </r>
  </si>
  <si>
    <r>
      <t xml:space="preserve">NO CORRIENTE  </t>
    </r>
    <r>
      <rPr>
        <b/>
        <sz val="10"/>
        <rFont val="Calibri"/>
        <family val="2"/>
      </rPr>
      <t>₲</t>
    </r>
  </si>
  <si>
    <r>
      <t xml:space="preserve">PERIODO ACTUAL </t>
    </r>
    <r>
      <rPr>
        <b/>
        <sz val="10"/>
        <rFont val="Calibri"/>
        <family val="2"/>
      </rPr>
      <t>₲</t>
    </r>
  </si>
  <si>
    <r>
      <t xml:space="preserve">PERIODO ANTERIOR </t>
    </r>
    <r>
      <rPr>
        <b/>
        <sz val="10"/>
        <rFont val="Calibri"/>
        <family val="2"/>
      </rPr>
      <t>₲</t>
    </r>
  </si>
  <si>
    <t>Prima de Acciones</t>
  </si>
  <si>
    <t>SALDO AL</t>
  </si>
  <si>
    <t>Servicio de Limpieza</t>
  </si>
  <si>
    <t>Gastos de Representación</t>
  </si>
  <si>
    <t>Seguro Medico del Personal</t>
  </si>
  <si>
    <t>Gasto por Reimpresión de Acciones</t>
  </si>
  <si>
    <t>Pérdida en Operaciones</t>
  </si>
  <si>
    <t>w.1.)  Otros Gastos Operativos</t>
  </si>
  <si>
    <t>w.2)  Otros Gastos de Comercialización</t>
  </si>
  <si>
    <t>Remuneración Personal Superior</t>
  </si>
  <si>
    <t xml:space="preserve">Otras Gratificaciones </t>
  </si>
  <si>
    <t>Pre Aviso</t>
  </si>
  <si>
    <t>Indemnizaciones</t>
  </si>
  <si>
    <t xml:space="preserve">     INTERESES COBRADOS</t>
  </si>
  <si>
    <t xml:space="preserve">     INTERESES PAGADOS</t>
  </si>
  <si>
    <t xml:space="preserve">                               INGRESOS EXTRAORDINARIOS</t>
  </si>
  <si>
    <t xml:space="preserve">                             EGRESOS EXTRAORDINARIOS</t>
  </si>
  <si>
    <t>CRÉDITOS</t>
  </si>
  <si>
    <r>
      <rPr>
        <b/>
        <sz val="12"/>
        <color theme="1"/>
        <rFont val="Calibri"/>
        <family val="2"/>
        <scheme val="minor"/>
      </rPr>
      <t>Menos:</t>
    </r>
    <r>
      <rPr>
        <sz val="12"/>
        <color theme="1"/>
        <rFont val="Calibri"/>
        <family val="2"/>
        <scheme val="minor"/>
      </rPr>
      <t xml:space="preserve"> Previsión por menor valor</t>
    </r>
  </si>
  <si>
    <t>BIENES DE USO</t>
  </si>
  <si>
    <r>
      <t xml:space="preserve">Bienes de Uso </t>
    </r>
    <r>
      <rPr>
        <b/>
        <sz val="8"/>
        <color theme="1"/>
        <rFont val="Calibri"/>
        <family val="2"/>
        <scheme val="minor"/>
      </rPr>
      <t>(Nota 5.g)</t>
    </r>
  </si>
  <si>
    <r>
      <t xml:space="preserve">Depreciación Acumulada </t>
    </r>
    <r>
      <rPr>
        <b/>
        <sz val="8"/>
        <color theme="1"/>
        <rFont val="Calibri"/>
        <family val="2"/>
        <scheme val="minor"/>
      </rPr>
      <t>(Nota 5.g)</t>
    </r>
  </si>
  <si>
    <r>
      <t xml:space="preserve">Acción de la Bolsa de Valores </t>
    </r>
    <r>
      <rPr>
        <b/>
        <sz val="8"/>
        <color theme="1"/>
        <rFont val="Calibri"/>
        <family val="2"/>
        <scheme val="minor"/>
      </rPr>
      <t>(Nota 5.e)</t>
    </r>
  </si>
  <si>
    <r>
      <rPr>
        <b/>
        <i/>
        <sz val="12"/>
        <color theme="1"/>
        <rFont val="Calibri"/>
        <family val="2"/>
        <scheme val="minor"/>
      </rPr>
      <t>Menos:</t>
    </r>
    <r>
      <rPr>
        <sz val="12"/>
        <color theme="1"/>
        <rFont val="Calibri"/>
        <family val="2"/>
        <scheme val="minor"/>
      </rPr>
      <t xml:space="preserve"> Previsión por menor valor </t>
    </r>
    <r>
      <rPr>
        <b/>
        <sz val="8"/>
        <color theme="1"/>
        <rFont val="Calibri"/>
        <family val="2"/>
        <scheme val="minor"/>
      </rPr>
      <t>(Nota 5.u)</t>
    </r>
  </si>
  <si>
    <t>OTROS ACTIVOS</t>
  </si>
  <si>
    <t>Acreedores Varios</t>
  </si>
  <si>
    <t>GASTOS DE ADMINISTRACIÓN</t>
  </si>
  <si>
    <t>GASTOS DE COMERCIALIZACIÓN</t>
  </si>
  <si>
    <t>Previsión, Amortización y Depreciaciones</t>
  </si>
  <si>
    <t>Expensas - Edificio Itacúa</t>
  </si>
  <si>
    <t>Comisiones por Operaciones Fuera de Rueda</t>
  </si>
  <si>
    <t>Comisiones por Operaciones en Rueda</t>
  </si>
  <si>
    <t>Comisiones por Contratos de Colocación Primaria</t>
  </si>
  <si>
    <t>Aranceles por Negociación Bolsa de Valores</t>
  </si>
  <si>
    <r>
      <t xml:space="preserve"> Otros Egresos </t>
    </r>
    <r>
      <rPr>
        <b/>
        <sz val="10"/>
        <color theme="1"/>
        <rFont val="Calibri"/>
        <family val="2"/>
        <scheme val="minor"/>
      </rPr>
      <t>(Nota 5.x)</t>
    </r>
  </si>
  <si>
    <t>Ingresos Extraordinarios</t>
  </si>
  <si>
    <t xml:space="preserve">PRIMA </t>
  </si>
  <si>
    <t>R. ACCIONES</t>
  </si>
  <si>
    <r>
      <rPr>
        <b/>
        <sz val="11"/>
        <color theme="1"/>
        <rFont val="Calibri"/>
        <family val="2"/>
        <scheme val="minor"/>
      </rPr>
      <t xml:space="preserve">(Expresado en Guaraníes) </t>
    </r>
    <r>
      <rPr>
        <b/>
        <sz val="13"/>
        <color theme="1"/>
        <rFont val="Calibri"/>
        <family val="2"/>
        <scheme val="minor"/>
      </rPr>
      <t xml:space="preserve">      </t>
    </r>
  </si>
  <si>
    <t>REVALÚO</t>
  </si>
  <si>
    <t xml:space="preserve">  Saldo al incio del ejercicio</t>
  </si>
  <si>
    <t xml:space="preserve">  Movimientos subsecuentes</t>
  </si>
  <si>
    <t xml:space="preserve">  Resultado del Ejercicio</t>
  </si>
  <si>
    <t>TOTAL PASIVO</t>
  </si>
  <si>
    <t>VALOR LIBRO</t>
  </si>
  <si>
    <t>VALOR ÚLTIMO REMATE</t>
  </si>
  <si>
    <t>VALORES DE ORIGEN</t>
  </si>
  <si>
    <t>CORTO PLAZO      ₲</t>
  </si>
  <si>
    <t>LARGO PLAZO      ₲</t>
  </si>
  <si>
    <t>ACTIVOS INTANGIBLES Y CARGOS DIFERIDOS</t>
  </si>
  <si>
    <t>Licencias y Marcas</t>
  </si>
  <si>
    <t>l)        Documentos y Cuentas por Pagar</t>
  </si>
  <si>
    <t>m)        Acreedores por Intermediación</t>
  </si>
  <si>
    <t>n)    Acreedores Varios</t>
  </si>
  <si>
    <r>
      <t xml:space="preserve">Otros Gastos Operativos </t>
    </r>
    <r>
      <rPr>
        <b/>
        <sz val="10"/>
        <color theme="1"/>
        <rFont val="Calibri"/>
        <family val="2"/>
        <scheme val="minor"/>
      </rPr>
      <t>(Nota 5.w.1)</t>
    </r>
  </si>
  <si>
    <r>
      <t xml:space="preserve">Intereses Cobrados </t>
    </r>
    <r>
      <rPr>
        <b/>
        <sz val="10"/>
        <color theme="1"/>
        <rFont val="Calibri"/>
        <family val="2"/>
        <scheme val="minor"/>
      </rPr>
      <t>(Nota 5.y.1)</t>
    </r>
  </si>
  <si>
    <r>
      <t xml:space="preserve">Intereses Pagados </t>
    </r>
    <r>
      <rPr>
        <b/>
        <sz val="10"/>
        <color theme="1"/>
        <rFont val="Calibri"/>
        <family val="2"/>
        <scheme val="minor"/>
      </rPr>
      <t>(Nota 5.y.2)</t>
    </r>
  </si>
  <si>
    <t>Banco Continental 17608407</t>
  </si>
  <si>
    <t>Citibank 5198720021</t>
  </si>
  <si>
    <t>TELEFONICA CELULAR DEL PARAGUAY S.A.E.</t>
  </si>
  <si>
    <t>BANCO RIO S.A.E.C.A.</t>
  </si>
  <si>
    <t xml:space="preserve">     propias y de clientes, tanto en dólares como en guaraníes:</t>
  </si>
  <si>
    <t>Banco RIO</t>
  </si>
  <si>
    <t>Bancop</t>
  </si>
  <si>
    <t>Citibank Paraguay</t>
  </si>
  <si>
    <t>Bancop 410057495</t>
  </si>
  <si>
    <t>Banco BASA 100021204</t>
  </si>
  <si>
    <t>Banco Familiar 1889576</t>
  </si>
  <si>
    <t>Banco Continental 769245</t>
  </si>
  <si>
    <t>Banco Rio 1874600</t>
  </si>
  <si>
    <t>Bancop 410063533</t>
  </si>
  <si>
    <t>Operciones de Reporto</t>
  </si>
  <si>
    <t>Descuentos obtenidos</t>
  </si>
  <si>
    <t>w.3)  Otros Gastos de Administración</t>
  </si>
  <si>
    <r>
      <t xml:space="preserve">Otros Gastos de Administración </t>
    </r>
    <r>
      <rPr>
        <b/>
        <sz val="10"/>
        <color theme="1"/>
        <rFont val="Calibri"/>
        <family val="2"/>
        <scheme val="minor"/>
      </rPr>
      <t>(Nota 5.w3)</t>
    </r>
  </si>
  <si>
    <r>
      <t xml:space="preserve">Otros Gastos de Comercialización </t>
    </r>
    <r>
      <rPr>
        <b/>
        <sz val="10"/>
        <color theme="1"/>
        <rFont val="Calibri"/>
        <family val="2"/>
        <scheme val="minor"/>
      </rPr>
      <t>(Nota 5.w.2)</t>
    </r>
  </si>
  <si>
    <t>Servicios Informaticos</t>
  </si>
  <si>
    <t xml:space="preserve">v2) Ingresos por operaciones y servicios </t>
  </si>
  <si>
    <t>- Ingresos por Operaciones y Servicios  (Nota 5.v.2)</t>
  </si>
  <si>
    <r>
      <t xml:space="preserve"> Otros Ingresos </t>
    </r>
    <r>
      <rPr>
        <b/>
        <sz val="11"/>
        <color theme="1"/>
        <rFont val="Calibri"/>
        <family val="2"/>
        <scheme val="minor"/>
      </rPr>
      <t>(Nota 5.x)</t>
    </r>
  </si>
  <si>
    <r>
      <t xml:space="preserve">Deudores Varios </t>
    </r>
    <r>
      <rPr>
        <b/>
        <i/>
        <sz val="8"/>
        <color theme="1"/>
        <rFont val="Calibri"/>
        <family val="2"/>
        <scheme val="minor"/>
      </rPr>
      <t>(Nota 5.j)</t>
    </r>
  </si>
  <si>
    <t>v1) Ingresos por Intereses y Dividendos de Cartera Propia</t>
  </si>
  <si>
    <t>- Ingresos por Intereses y Dividendos de Cartera Propia (Nota 5.v.1)</t>
  </si>
  <si>
    <t>TIPO DE CAMBIO AL 31/12/2019</t>
  </si>
  <si>
    <t>EQUIVALENTE EN ₲ AL 31/12/2019</t>
  </si>
  <si>
    <t>Banco BBVA</t>
  </si>
  <si>
    <t>CAMBIO CIERRE AL 31/12/2019</t>
  </si>
  <si>
    <t>MONTO AJUSTADO  AL 31/12/2019</t>
  </si>
  <si>
    <t>SALDO AL 31/12/2019</t>
  </si>
  <si>
    <t>Banco BBVA Gs</t>
  </si>
  <si>
    <t>Banco RIO 844460-2 Gs</t>
  </si>
  <si>
    <t>Banco RIO 01-00187460-08</t>
  </si>
  <si>
    <t>Banco BBVA 2101047322</t>
  </si>
  <si>
    <t xml:space="preserve">SOLAR AHORRO Y FINANZAS S.A.E.C.A </t>
  </si>
  <si>
    <r>
      <t>TOTAL PERIODO AL 31/12/2019 EN GUARANIES (</t>
    </r>
    <r>
      <rPr>
        <b/>
        <sz val="11"/>
        <rFont val="Calibri"/>
        <family val="2"/>
      </rPr>
      <t>₲</t>
    </r>
    <r>
      <rPr>
        <b/>
        <sz val="11"/>
        <rFont val="Calibri"/>
        <family val="2"/>
        <scheme val="minor"/>
      </rPr>
      <t xml:space="preserve"> + USD)</t>
    </r>
  </si>
  <si>
    <t>TOTAL PERIODO AL 31/12/2019</t>
  </si>
  <si>
    <t>Saldo período al 31/12/2019</t>
  </si>
  <si>
    <t>Total al 31/12/2019</t>
  </si>
  <si>
    <t>Totales al 31/12/2019</t>
  </si>
  <si>
    <t>SALDO 31/12/2019</t>
  </si>
  <si>
    <t>Saldos al 31/12/2019</t>
  </si>
  <si>
    <t>Operaciones a liquidar</t>
  </si>
  <si>
    <t xml:space="preserve">Desafectación previsiones </t>
  </si>
  <si>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</si>
  <si>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</si>
  <si>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</si>
  <si>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</si>
  <si>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</si>
  <si>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</si>
  <si>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</si>
  <si>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</si>
  <si>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</si>
  <si>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</si>
  <si>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</si>
  <si>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</si>
  <si>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</si>
  <si>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</si>
  <si>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</si>
  <si>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</si>
  <si>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</si>
  <si>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r>
      <t xml:space="preserve">Total actual </t>
    </r>
    <r>
      <rPr>
        <b/>
        <strike/>
        <sz val="11"/>
        <rFont val="Calibri"/>
        <family val="2"/>
      </rPr>
      <t>₲</t>
    </r>
  </si>
  <si>
    <r>
      <t xml:space="preserve">Total anterior </t>
    </r>
    <r>
      <rPr>
        <b/>
        <strike/>
        <sz val="11"/>
        <rFont val="Calibri"/>
        <family val="2"/>
      </rPr>
      <t>₲</t>
    </r>
  </si>
  <si>
    <t>No Registra</t>
  </si>
  <si>
    <t>Reserva de Revalúo</t>
  </si>
  <si>
    <r>
      <t xml:space="preserve">Otros Activos Corrientes </t>
    </r>
    <r>
      <rPr>
        <b/>
        <sz val="8"/>
        <color theme="1"/>
        <rFont val="Calibri"/>
        <family val="2"/>
        <scheme val="minor"/>
      </rPr>
      <t>(Nota 5.j)</t>
    </r>
  </si>
  <si>
    <r>
      <t xml:space="preserve">Membresia Mercado de Divisas </t>
    </r>
    <r>
      <rPr>
        <b/>
        <sz val="8"/>
        <color theme="1"/>
        <rFont val="Calibri"/>
        <family val="2"/>
        <scheme val="minor"/>
      </rPr>
      <t>(Nota h.)</t>
    </r>
  </si>
  <si>
    <r>
      <t>Deudores por Intermediación</t>
    </r>
    <r>
      <rPr>
        <sz val="8"/>
        <color theme="1"/>
        <rFont val="Calibri"/>
        <family val="2"/>
        <scheme val="minor"/>
      </rPr>
      <t xml:space="preserve"> </t>
    </r>
    <r>
      <rPr>
        <b/>
        <sz val="8"/>
        <color theme="1"/>
        <rFont val="Calibri"/>
        <family val="2"/>
        <scheme val="minor"/>
      </rPr>
      <t>(Nota 5.f.1.)</t>
    </r>
  </si>
  <si>
    <r>
      <rPr>
        <sz val="10"/>
        <color theme="1"/>
        <rFont val="Calibri"/>
        <family val="2"/>
        <scheme val="minor"/>
      </rPr>
      <t>CAJA</t>
    </r>
    <r>
      <rPr>
        <sz val="9"/>
        <color theme="1"/>
        <rFont val="Calibri"/>
        <family val="2"/>
        <scheme val="minor"/>
      </rPr>
      <t xml:space="preserve"> </t>
    </r>
    <r>
      <rPr>
        <b/>
        <sz val="8"/>
        <color theme="1"/>
        <rFont val="Calibri"/>
        <family val="2"/>
        <scheme val="minor"/>
      </rPr>
      <t>(Nota 5.d.1)</t>
    </r>
  </si>
  <si>
    <r>
      <rPr>
        <sz val="10"/>
        <color theme="1"/>
        <rFont val="Calibri"/>
        <family val="2"/>
        <scheme val="minor"/>
      </rPr>
      <t>BANCOS</t>
    </r>
    <r>
      <rPr>
        <sz val="12"/>
        <color theme="1"/>
        <rFont val="Calibri"/>
        <family val="2"/>
        <scheme val="minor"/>
      </rPr>
      <t xml:space="preserve"> </t>
    </r>
    <r>
      <rPr>
        <b/>
        <sz val="9"/>
        <color theme="1"/>
        <rFont val="Calibri"/>
        <family val="2"/>
        <scheme val="minor"/>
      </rPr>
      <t>(</t>
    </r>
    <r>
      <rPr>
        <b/>
        <sz val="8"/>
        <color theme="1"/>
        <rFont val="Calibri"/>
        <family val="2"/>
        <scheme val="minor"/>
      </rPr>
      <t>Nota 5.d.2)</t>
    </r>
  </si>
  <si>
    <r>
      <t>INVERSIONES TEMPORALES</t>
    </r>
    <r>
      <rPr>
        <b/>
        <sz val="9"/>
        <color theme="1"/>
        <rFont val="Calibri"/>
        <family val="2"/>
        <scheme val="minor"/>
      </rPr>
      <t xml:space="preserve"> </t>
    </r>
    <r>
      <rPr>
        <b/>
        <sz val="8"/>
        <color theme="1"/>
        <rFont val="Calibri"/>
        <family val="2"/>
        <scheme val="minor"/>
      </rPr>
      <t>(Nota 5.e)</t>
    </r>
  </si>
  <si>
    <r>
      <t xml:space="preserve"> Acreedores por Intermediación </t>
    </r>
    <r>
      <rPr>
        <b/>
        <sz val="8"/>
        <color theme="1"/>
        <rFont val="Calibri"/>
        <family val="2"/>
        <scheme val="minor"/>
      </rPr>
      <t>(Nota 5.m)</t>
    </r>
  </si>
  <si>
    <r>
      <t xml:space="preserve"> Acreedores Varios</t>
    </r>
    <r>
      <rPr>
        <i/>
        <sz val="8"/>
        <color theme="1"/>
        <rFont val="Calibri"/>
        <family val="2"/>
        <scheme val="minor"/>
      </rPr>
      <t xml:space="preserve"> </t>
    </r>
    <r>
      <rPr>
        <b/>
        <sz val="8"/>
        <color theme="1"/>
        <rFont val="Calibri"/>
        <family val="2"/>
        <scheme val="minor"/>
      </rPr>
      <t>(Nota 5.n)</t>
    </r>
  </si>
  <si>
    <r>
      <t xml:space="preserve"> Otros Pasivos Corrientes </t>
    </r>
    <r>
      <rPr>
        <b/>
        <sz val="8"/>
        <color theme="1"/>
        <rFont val="Calibri"/>
        <family val="2"/>
        <scheme val="minor"/>
      </rPr>
      <t>(Nota 5.q)</t>
    </r>
  </si>
  <si>
    <r>
      <t xml:space="preserve"> PATRIMONIO NETO</t>
    </r>
    <r>
      <rPr>
        <b/>
        <i/>
        <sz val="8"/>
        <color theme="1"/>
        <rFont val="Calibri"/>
        <family val="2"/>
        <scheme val="minor"/>
      </rPr>
      <t xml:space="preserve"> </t>
    </r>
    <r>
      <rPr>
        <b/>
        <sz val="8"/>
        <color theme="1"/>
        <rFont val="Calibri"/>
        <family val="2"/>
        <scheme val="minor"/>
      </rPr>
      <t>(Nota 5.t)</t>
    </r>
  </si>
  <si>
    <t>Las notas que se acompañan forman parte integrante de los Estados Financieros.</t>
  </si>
  <si>
    <t>Póliza emitida por Patria S.A. de Seguros y Reaseguros.</t>
  </si>
  <si>
    <t xml:space="preserve"> Otros Pasivos</t>
  </si>
  <si>
    <t>3.2.	Criterio de Valuación:</t>
  </si>
  <si>
    <t>3.1.	Base de preparación de los Estados Contables:</t>
  </si>
  <si>
    <t>AVALON CASA DE BOLSA S.A., al cierre del periodo considerado cuenta con participación en la Bolsa de Valores y Productos Asunción S.A. (BVPASA) de acuerdo a lo establecido en la Ley Nº 5.810/2017 “Mercado de Valores”.</t>
  </si>
  <si>
    <t>2.2.	Participación en Otras Empresas:</t>
  </si>
  <si>
    <t>NOTA A LOS ESTADOS CONTABLES</t>
  </si>
  <si>
    <t>1.	 CONSIDERACIONES DE LOS ESTADOS CONTABLES</t>
  </si>
  <si>
    <t>2.1.	Naturaleza Jurídica de las Actividades de la Sociedad:</t>
  </si>
  <si>
    <t>La Alta Administración de la Sociedad no ha cambiado, ni tiene previsto cambiar o modificar las políticas y/o procedimientos contables, y las mantiene en forma uniforme de un ejercicio financiero a otro.</t>
  </si>
  <si>
    <t>No cuenta con partidas que exponer en este ítem.</t>
  </si>
  <si>
    <t xml:space="preserve">3.8 Gastos de Constitución y Organización </t>
  </si>
  <si>
    <t>La Sociedad no consolida los Estados Financieros, pues no es controlante de ninguna otra sociedad.</t>
  </si>
  <si>
    <t>3.7 Normas aplicadas para la Consolidación de los Estados Financieros</t>
  </si>
  <si>
    <t xml:space="preserve">3.6 Flujo de Efectivo  </t>
  </si>
  <si>
    <t>Los Bienes del Activo Fijo son depreciados por el sistema de línea recta en función a los años de vida útil estimados en las normativas de la Subsecretaria de Estado de Tributación (SET).</t>
  </si>
  <si>
    <t xml:space="preserve">3.4. Política de Depreciación: </t>
  </si>
  <si>
    <t>La previsión por menor valor se realiza considerando el atraso en los pagos de los intereses por parte del Emisor.</t>
  </si>
  <si>
    <t>3.3. Política de Constitución de Previsiones:</t>
  </si>
  <si>
    <t xml:space="preserve">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
</t>
  </si>
  <si>
    <r>
      <t>k)  </t>
    </r>
    <r>
      <rPr>
        <b/>
        <sz val="11"/>
        <color rgb="FFFF0000"/>
        <rFont val="Calibri"/>
        <family val="2"/>
        <scheme val="minor"/>
      </rPr>
      <t>  </t>
    </r>
    <r>
      <rPr>
        <b/>
        <sz val="11"/>
        <rFont val="Calibri"/>
        <family val="2"/>
        <scheme val="minor"/>
      </rPr>
      <t>  Préstamos Financieros a corto y largo plazo</t>
    </r>
  </si>
  <si>
    <t>Licencias Informáticas</t>
  </si>
  <si>
    <t>Las cuentas en moneda extranjera se han valuado a su valor de cotización al cierre diario, de acuerdo a las disposiciones de la Subsecretaria de Estado de Tributación (SET), Ley Nº 125/1991, T.A. por Ley Nº 2.421/2004. Los Estados Financieros no reconocen en forma integral los efectos de la inflación en la situación patrimonial y financiera de la sociedad, en los resultados de sus operaciones en atención a que la corrección monetaria no constituye una práctica contable aceptada en la República Paraguay.</t>
  </si>
  <si>
    <t>2.    INFORMACION BASICA DE LA EMPRESA</t>
  </si>
  <si>
    <t>3)	PRINCIPALES POLITICAS Y PRACTICAS CONTABLES APLICADAS</t>
  </si>
  <si>
    <t>4)  CAMBIO DE POLITICAS Y PROCEDIMIENTOS DE CONTABILIDAD</t>
  </si>
  <si>
    <t>5) CRITERIOS ESPECIFICOS DE VALUACION</t>
  </si>
  <si>
    <t xml:space="preserve">      a) VALUACION EN MONEDA EXTRANJERA</t>
  </si>
  <si>
    <t xml:space="preserve">      b) POSICION EN MONEDA EXTRANJERA</t>
  </si>
  <si>
    <t>3.5 Política de Reconocimiento de Ingresos y Gastos:</t>
  </si>
  <si>
    <t>El flujo de efectivo fue elaborado por el método directo, criterio contemplados en los Principios de Contabilidad Generalmente Aceptados .</t>
  </si>
  <si>
    <t>Los ingresos son reconocidos con base en el criterio de lo devengado, de conformidad con lo propuesto por los Principios de Contabilidad Generalmente Aceptados y las normas de la Comisión Nacional de Valores y que fueron aplicados por la Alta Dirección en forma uniforme de un ejercicio financiero a otro.</t>
  </si>
  <si>
    <t>Los Estados Financieros han sido preparados de acuerdo a las normas establecidas por la Comisión Nacional de Valores y los Principios de Contabilidad generalmente Aceptados aplicables en su caso.</t>
  </si>
  <si>
    <r>
      <t xml:space="preserve">ESTADO DE SITUACIÓN PATRIMONIAL AL 31/03/2020                                                                                                                                                                                         PRESENTADO EN FORMA COMPARATIVA CON EL EJERCICIO ANTERIOR CERRADO EL 31/12/2019                                                                                                                                                                                                                                                             </t>
    </r>
    <r>
      <rPr>
        <b/>
        <i/>
        <sz val="10"/>
        <color theme="1"/>
        <rFont val="Calibri"/>
        <family val="2"/>
        <scheme val="minor"/>
      </rPr>
      <t>(Expresado en Guaraníes)</t>
    </r>
  </si>
  <si>
    <t>Los Estados Financieros  al 31 de marzo de 2020  fueron aprobados por el Directorio.</t>
  </si>
  <si>
    <t>Los Bienes del Activo Fijo se han registrados a su costo de adquisición, menos las depreciaciones acumuladas, cuyos valores se hallan revaluados al 31/12/2019 de acuerdo con lo establecido en el Art. 12 de la Ley N° 125/1991, T.A. por la Ley Nº 2421/2004 y su reglamentación.</t>
  </si>
  <si>
    <t>TIPO DE CAMBIO AL 31/03/2020</t>
  </si>
  <si>
    <t>EQUIVALENTE EN ₲ AL 31/03/2020</t>
  </si>
  <si>
    <t>CAMBIO CIERRE AL 31/03/2020</t>
  </si>
  <si>
    <r>
      <t xml:space="preserve">EQUIVALENTE EN </t>
    </r>
    <r>
      <rPr>
        <b/>
        <sz val="10"/>
        <rFont val="Calibri"/>
        <family val="2"/>
      </rPr>
      <t>₲</t>
    </r>
    <r>
      <rPr>
        <b/>
        <sz val="10"/>
        <rFont val="Calibri"/>
        <family val="2"/>
        <scheme val="minor"/>
      </rPr>
      <t xml:space="preserve"> AL 31/03/2020</t>
    </r>
  </si>
  <si>
    <t>MONTO AJUSTADO  AL 31/03/2020</t>
  </si>
  <si>
    <t>SALDO AL 31/03/2020</t>
  </si>
  <si>
    <t>Banco Continental 25642603</t>
  </si>
  <si>
    <t>BANCO REGIONAL S.A.E.C.A.</t>
  </si>
  <si>
    <t>BANCO BASA S.A.</t>
  </si>
  <si>
    <t>TU FINANCIERA S.A.E.C.A</t>
  </si>
  <si>
    <t>VISION BANCO</t>
  </si>
  <si>
    <t>BANCOP S.A.</t>
  </si>
  <si>
    <t>Saldo período al 31/03/2020</t>
  </si>
  <si>
    <t>Total al 31/03/2020</t>
  </si>
  <si>
    <t>Saldos al 31/03/2020</t>
  </si>
  <si>
    <t>Totales al 31/03/2020</t>
  </si>
  <si>
    <t>Acumuladas al 31/12/2019</t>
  </si>
  <si>
    <t>Aranceles Pagados A Devengar</t>
  </si>
  <si>
    <t>SALDO 31/03/2020</t>
  </si>
  <si>
    <t>31.12.2019 al 31.12.2020</t>
  </si>
  <si>
    <t>Impuesto al valor agregado</t>
  </si>
  <si>
    <t>Aguinaldo a Pagar</t>
  </si>
  <si>
    <t>Otras gratificaciones a pagar</t>
  </si>
  <si>
    <t xml:space="preserve">CORRESPONDIENTE AL 31 MARZO DE 2020 PRESENTADO EN FORMA COMPARATIVA CON EL 31 DE MARZO DE 2019 </t>
  </si>
  <si>
    <r>
      <t xml:space="preserve">ESTADO DE RESULTADOS AL 31 DE MARZO DE 2020                                                                            PRESENTADO EN FORMA COMPARATIVA CON EL 31 DE MARZO DE 2019                                                                                                                                </t>
    </r>
    <r>
      <rPr>
        <b/>
        <i/>
        <sz val="11"/>
        <color theme="1"/>
        <rFont val="Calibri"/>
        <family val="2"/>
        <scheme val="minor"/>
      </rPr>
      <t>(Expresado en Guaraníes)</t>
    </r>
  </si>
  <si>
    <r>
      <t xml:space="preserve">ESTADO DE RESULTADOS FLUJO DE EFECTIVO                                                                                                                                                   CORRESPONDIENTE AL 31 DE MARZO DE 2019 PRESENTADO EN FORMA COMPARATIVA CON EL 31 DE MARZO DE 2019                                                                                                                                                             </t>
    </r>
    <r>
      <rPr>
        <b/>
        <sz val="11"/>
        <color theme="1"/>
        <rFont val="Calibri"/>
        <family val="2"/>
        <scheme val="minor"/>
      </rPr>
      <t>(Expresado en Guaraníes)</t>
    </r>
  </si>
  <si>
    <r>
      <t>TOTAL PERIODO AL 31/03/2020 EN GUARANIES (</t>
    </r>
    <r>
      <rPr>
        <b/>
        <sz val="11"/>
        <rFont val="Calibri"/>
        <family val="2"/>
      </rPr>
      <t>₲</t>
    </r>
    <r>
      <rPr>
        <b/>
        <sz val="11"/>
        <rFont val="Calibri"/>
        <family val="2"/>
        <scheme val="minor"/>
      </rPr>
      <t xml:space="preserve"> + USD)</t>
    </r>
  </si>
  <si>
    <t>INFORMACIÓN SOBRE EL EMISOR AL 31/12/2019</t>
  </si>
  <si>
    <t>TOTAL PERIODO AL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</si>
</sst>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_ ;_ * \-#,##0_ ;_ * &quot;-&quot;_ ;_ @_ "/>
    <numFmt numFmtId="165" formatCode="_ * #,##0.00_ ;_ * \-#,##0.00_ ;_ * &quot;-&quot;??_ ;_ @_ "/>
    <numFmt numFmtId="166" formatCode="_(* #,##0.00_);_(* \(#,##0.00\);_(* &quot;-&quot;??_);_(@_)"/>
    <numFmt numFmtId="167" formatCode="_ * #,##0_ ;_ * \-#,##0_ ;_ * &quot;-&quot;??_ ;_ @_ "/>
    <numFmt numFmtId="168" formatCode="_ &quot;Gs&quot;\ * #,##0_ ;_ &quot;Gs&quot;\ * \-#,##0_ ;_ &quot;Gs&quot;\ * &quot;-&quot;_ ;_ @_ "/>
    <numFmt numFmtId="169" formatCode="_ &quot;Gs&quot;\ * #,##0.00_ ;_ &quot;Gs&quot;\ * \-#,##0.00_ ;_ &quot;Gs&quot;\ * &quot;-&quot;??_ ;_ @_ "/>
    <numFmt numFmtId="170" formatCode="_ * #,##0.00_ ;_ * \-#,##0.00_ ;_ * &quot;-&quot;_ ;_ @_ "/>
    <numFmt numFmtId="171" formatCode="0.0"/>
    <numFmt numFmtId="172" formatCode="#,##0_ ;[Red]\-#,##0\ "/>
    <numFmt numFmtId="173" formatCode="#,##0.00_ ;[Red]\-#,##0.00\ "/>
    <numFmt numFmtId="174" formatCode="_-* #,##0.00_-;\-* #,##0.00_-;_-* \-??_-;_-@_-"/>
    <numFmt numFmtId="175" formatCode="_(* #,##0_);_(* \(#,##0\);_(* &quot;-&quot;??_);_(@_)"/>
    <numFmt numFmtId="176" formatCode="#,##0_ ;\-#,##0\ "/>
    <numFmt numFmtId="177" formatCode="#,##0.0_ ;[Red]\-#,##0.0\ "/>
  </numFmts>
  <fonts count="78" x14ac:knownFonts="1">
    <font>
      <sz val="11"/>
      <color theme="1"/>
      <name val="Calibri"/>
      <family val="2"/>
      <scheme val="minor"/>
    </font>
    <font>
      <b/>
      <sz val="12"/>
      <color theme="1"/>
      <name val="Calibri"/>
      <family val="2"/>
      <scheme val="minor"/>
    </font>
    <font>
      <b/>
      <sz val="7"/>
      <color theme="1"/>
      <name val="Tahoma"/>
      <family val="2"/>
    </font>
    <font>
      <sz val="7"/>
      <color theme="1"/>
      <name val="Tahoma"/>
      <family val="2"/>
    </font>
    <font>
      <sz val="11"/>
      <color theme="1"/>
      <name val="Tahoma"/>
      <family val="2"/>
    </font>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13"/>
      <color theme="1"/>
      <name val="Calibri"/>
      <family val="2"/>
      <scheme val="minor"/>
    </font>
    <font>
      <b/>
      <u/>
      <sz val="11"/>
      <color theme="1"/>
      <name val="Calibri"/>
      <family val="2"/>
      <scheme val="minor"/>
    </font>
    <font>
      <sz val="10"/>
      <name val="Calibri"/>
      <family val="2"/>
      <scheme val="minor"/>
    </font>
    <font>
      <b/>
      <sz val="12"/>
      <name val="Times New Roman"/>
      <family val="1"/>
    </font>
    <font>
      <b/>
      <sz val="12"/>
      <name val="Calibri"/>
      <family val="2"/>
      <scheme val="minor"/>
    </font>
    <font>
      <sz val="10"/>
      <name val="Arial"/>
      <family val="2"/>
    </font>
    <font>
      <b/>
      <sz val="12"/>
      <name val="Arial"/>
      <family val="2"/>
    </font>
    <font>
      <b/>
      <sz val="11"/>
      <name val="Calibri"/>
      <family val="2"/>
      <scheme val="minor"/>
    </font>
    <font>
      <sz val="8"/>
      <name val="Times New Roman"/>
      <family val="1"/>
    </font>
    <font>
      <b/>
      <sz val="11"/>
      <name val="Times New Roman"/>
      <family val="1"/>
    </font>
    <font>
      <sz val="12"/>
      <name val="Arial"/>
      <family val="2"/>
    </font>
    <font>
      <sz val="11"/>
      <name val="Times New Roman"/>
      <family val="1"/>
    </font>
    <font>
      <b/>
      <sz val="8"/>
      <name val="Times New Roman"/>
      <family val="1"/>
    </font>
    <font>
      <b/>
      <sz val="9"/>
      <name val="Times New Roman"/>
      <family val="1"/>
    </font>
    <font>
      <b/>
      <sz val="10"/>
      <name val="Calibri"/>
      <family val="2"/>
      <scheme val="minor"/>
    </font>
    <font>
      <u/>
      <sz val="10"/>
      <color indexed="12"/>
      <name val="Arial"/>
      <family val="2"/>
    </font>
    <font>
      <sz val="10"/>
      <color indexed="8"/>
      <name val="Calibri"/>
      <family val="2"/>
      <scheme val="minor"/>
    </font>
    <font>
      <b/>
      <sz val="10"/>
      <color indexed="8"/>
      <name val="Calibri"/>
      <family val="2"/>
      <scheme val="minor"/>
    </font>
    <font>
      <b/>
      <sz val="8"/>
      <color theme="1"/>
      <name val="Calibri"/>
      <family val="2"/>
      <scheme val="minor"/>
    </font>
    <font>
      <b/>
      <sz val="11"/>
      <name val="Arial"/>
      <family val="2"/>
    </font>
    <font>
      <sz val="11"/>
      <name val="Arial"/>
      <family val="2"/>
    </font>
    <font>
      <b/>
      <u/>
      <sz val="11"/>
      <name val="Calibri"/>
      <family val="2"/>
      <scheme val="minor"/>
    </font>
    <font>
      <b/>
      <sz val="11"/>
      <color indexed="12"/>
      <name val="Calibri"/>
      <family val="2"/>
      <scheme val="minor"/>
    </font>
    <font>
      <sz val="9"/>
      <color theme="1"/>
      <name val="Calibri"/>
      <family val="2"/>
      <scheme val="minor"/>
    </font>
    <font>
      <b/>
      <sz val="9"/>
      <color theme="1"/>
      <name val="Calibri"/>
      <family val="2"/>
      <scheme val="minor"/>
    </font>
    <font>
      <b/>
      <sz val="9"/>
      <name val="Calibri"/>
      <family val="2"/>
      <scheme val="minor"/>
    </font>
    <font>
      <sz val="9"/>
      <name val="Arial"/>
      <family val="2"/>
    </font>
    <font>
      <b/>
      <u/>
      <sz val="12"/>
      <color theme="1"/>
      <name val="Calibri"/>
      <family val="2"/>
      <scheme val="minor"/>
    </font>
    <font>
      <b/>
      <i/>
      <sz val="11"/>
      <color theme="1"/>
      <name val="Calibri"/>
      <family val="2"/>
      <scheme val="minor"/>
    </font>
    <font>
      <sz val="10"/>
      <color theme="1"/>
      <name val="Tahoma"/>
      <family val="2"/>
    </font>
    <font>
      <b/>
      <i/>
      <sz val="10"/>
      <color theme="1"/>
      <name val="Calibri"/>
      <family val="2"/>
      <scheme val="minor"/>
    </font>
    <font>
      <sz val="11"/>
      <name val="Calibri"/>
      <family val="2"/>
    </font>
    <font>
      <sz val="12"/>
      <name val="Calibri"/>
      <family val="2"/>
    </font>
    <font>
      <b/>
      <sz val="11"/>
      <name val="Calibri"/>
      <family val="2"/>
    </font>
    <font>
      <b/>
      <i/>
      <sz val="11"/>
      <name val="Calibri"/>
      <family val="2"/>
      <scheme val="minor"/>
    </font>
    <font>
      <b/>
      <i/>
      <sz val="11"/>
      <name val="Calibri"/>
      <family val="2"/>
    </font>
    <font>
      <sz val="12"/>
      <color theme="1"/>
      <name val="Tahoma"/>
      <family val="2"/>
    </font>
    <font>
      <sz val="12"/>
      <color theme="1"/>
      <name val="Calibri"/>
      <family val="2"/>
      <scheme val="minor"/>
    </font>
    <font>
      <sz val="8"/>
      <color theme="1"/>
      <name val="Calibri"/>
      <family val="2"/>
      <scheme val="minor"/>
    </font>
    <font>
      <sz val="12"/>
      <color theme="1"/>
      <name val="Arial"/>
      <family val="2"/>
    </font>
    <font>
      <b/>
      <i/>
      <sz val="8"/>
      <color theme="1"/>
      <name val="Calibri"/>
      <family val="2"/>
      <scheme val="minor"/>
    </font>
    <font>
      <sz val="11"/>
      <color theme="1"/>
      <name val="Arial"/>
      <family val="2"/>
    </font>
    <font>
      <b/>
      <sz val="12"/>
      <color theme="1"/>
      <name val="Tahoma"/>
      <family val="2"/>
    </font>
    <font>
      <sz val="12"/>
      <name val="Calibri"/>
      <family val="2"/>
      <scheme val="minor"/>
    </font>
    <font>
      <b/>
      <sz val="10"/>
      <name val="Calibri"/>
      <family val="2"/>
    </font>
    <font>
      <b/>
      <u/>
      <sz val="10"/>
      <color theme="1"/>
      <name val="Calibri"/>
      <family val="2"/>
      <scheme val="minor"/>
    </font>
    <font>
      <b/>
      <i/>
      <sz val="12"/>
      <color theme="1"/>
      <name val="Calibri"/>
      <family val="2"/>
      <scheme val="minor"/>
    </font>
    <font>
      <i/>
      <sz val="8"/>
      <color theme="1"/>
      <name val="Calibri"/>
      <family val="2"/>
      <scheme val="minor"/>
    </font>
    <font>
      <b/>
      <u/>
      <sz val="10"/>
      <name val="Calibri"/>
      <family val="2"/>
      <scheme val="minor"/>
    </font>
    <font>
      <b/>
      <i/>
      <sz val="10"/>
      <name val="Calibri"/>
      <family val="2"/>
      <scheme val="minor"/>
    </font>
    <font>
      <sz val="9"/>
      <name val="Calibri"/>
      <family val="2"/>
      <scheme val="minor"/>
    </font>
    <font>
      <sz val="11"/>
      <color indexed="8"/>
      <name val="Calibri"/>
      <family val="2"/>
    </font>
    <font>
      <sz val="11"/>
      <color theme="0"/>
      <name val="Calibri"/>
      <family val="2"/>
      <scheme val="minor"/>
    </font>
    <font>
      <sz val="10"/>
      <color theme="0"/>
      <name val="Calibri"/>
      <family val="2"/>
      <scheme val="minor"/>
    </font>
    <font>
      <b/>
      <sz val="11"/>
      <color theme="0"/>
      <name val="Times New Roman"/>
      <family val="1"/>
    </font>
    <font>
      <b/>
      <sz val="10"/>
      <color theme="0"/>
      <name val="Arial"/>
      <family val="2"/>
    </font>
    <font>
      <sz val="12"/>
      <color theme="0"/>
      <name val="Calibri"/>
      <family val="2"/>
      <scheme val="minor"/>
    </font>
    <font>
      <sz val="11"/>
      <color rgb="FFFF0000"/>
      <name val="Calibri"/>
      <family val="2"/>
      <scheme val="minor"/>
    </font>
    <font>
      <strike/>
      <sz val="11"/>
      <color theme="1"/>
      <name val="Calibri"/>
      <family val="2"/>
      <scheme val="minor"/>
    </font>
    <font>
      <b/>
      <strike/>
      <sz val="11"/>
      <name val="Calibri"/>
      <family val="2"/>
      <scheme val="minor"/>
    </font>
    <font>
      <strike/>
      <sz val="11"/>
      <name val="Calibri"/>
      <family val="2"/>
      <scheme val="minor"/>
    </font>
    <font>
      <sz val="9"/>
      <color indexed="81"/>
      <name val="Tahoma"/>
      <family val="2"/>
    </font>
    <font>
      <b/>
      <sz val="9"/>
      <color indexed="81"/>
      <name val="Tahoma"/>
      <family val="2"/>
    </font>
    <font>
      <i/>
      <sz val="11"/>
      <color rgb="FFFF0000"/>
      <name val="Calibri"/>
      <family val="2"/>
      <scheme val="minor"/>
    </font>
    <font>
      <b/>
      <strike/>
      <sz val="11"/>
      <name val="Calibri"/>
      <family val="2"/>
    </font>
    <font>
      <b/>
      <i/>
      <sz val="16"/>
      <color theme="1"/>
      <name val="Calibri"/>
      <family val="2"/>
      <scheme val="minor"/>
    </font>
    <font>
      <b/>
      <sz val="11"/>
      <color rgb="FFFF0000"/>
      <name val="Calibri"/>
      <family val="2"/>
      <scheme val="minor"/>
    </font>
    <font>
      <b/>
      <sz val="14"/>
      <color theme="1"/>
      <name val="Arial"/>
      <family val="2"/>
    </font>
  </fonts>
  <fills count="11">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8"/>
      </bottom>
      <diagonal/>
    </border>
    <border>
      <left style="thin">
        <color indexed="64"/>
      </left>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8"/>
      </left>
      <right style="thin">
        <color indexed="64"/>
      </right>
      <top/>
      <bottom style="hair">
        <color indexed="8"/>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indexed="64"/>
      </bottom>
      <diagonal/>
    </border>
    <border>
      <left/>
      <right style="thin">
        <color indexed="64"/>
      </right>
      <top style="hair">
        <color auto="1"/>
      </top>
      <bottom style="thin">
        <color auto="1"/>
      </bottom>
      <diagonal/>
    </border>
    <border>
      <left style="thin">
        <color indexed="8"/>
      </left>
      <right/>
      <top/>
      <bottom style="hair">
        <color indexed="8"/>
      </bottom>
      <diagonal/>
    </border>
    <border>
      <left style="thin">
        <color indexed="8"/>
      </left>
      <right style="thin">
        <color indexed="64"/>
      </right>
      <top style="thin">
        <color indexed="64"/>
      </top>
      <bottom style="hair">
        <color indexed="8"/>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right style="thin">
        <color indexed="64"/>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70">
    <xf numFmtId="0" fontId="0" fillId="0" borderId="0"/>
    <xf numFmtId="166" fontId="5" fillId="0" borderId="0" applyFont="0" applyFill="0" applyBorder="0" applyAlignment="0" applyProtection="0"/>
    <xf numFmtId="0" fontId="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165" fontId="15" fillId="0" borderId="0" applyFont="0" applyFill="0" applyBorder="0" applyAlignment="0" applyProtection="0"/>
    <xf numFmtId="0" fontId="15" fillId="0" borderId="0"/>
    <xf numFmtId="0" fontId="25" fillId="0" borderId="0" applyNumberFormat="0" applyFill="0" applyBorder="0" applyAlignment="0" applyProtection="0">
      <alignment vertical="top"/>
      <protection locked="0"/>
    </xf>
    <xf numFmtId="164"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8"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 borderId="8" applyNumberFormat="0" applyFont="0" applyAlignment="0" applyProtection="0"/>
    <xf numFmtId="9" fontId="15" fillId="0" borderId="0" applyFont="0" applyFill="0" applyBorder="0" applyAlignment="0" applyProtection="0"/>
    <xf numFmtId="169" fontId="15" fillId="0" borderId="0" applyFont="0" applyFill="0" applyBorder="0" applyAlignment="0" applyProtection="0"/>
    <xf numFmtId="0" fontId="15" fillId="0" borderId="0"/>
    <xf numFmtId="0" fontId="5" fillId="0" borderId="0"/>
    <xf numFmtId="165" fontId="15" fillId="0" borderId="0" applyFont="0" applyFill="0" applyBorder="0" applyAlignment="0" applyProtection="0"/>
    <xf numFmtId="0" fontId="15" fillId="0" borderId="0"/>
    <xf numFmtId="164" fontId="5" fillId="0" borderId="0" applyFont="0" applyFill="0" applyBorder="0" applyAlignment="0" applyProtection="0"/>
    <xf numFmtId="0" fontId="61" fillId="0" borderId="0"/>
    <xf numFmtId="174" fontId="61" fillId="0" borderId="0" applyFill="0" applyBorder="0" applyAlignment="0" applyProtection="0"/>
  </cellStyleXfs>
  <cellXfs count="703">
    <xf numFmtId="0" fontId="0" fillId="0" borderId="0" xfId="0"/>
    <xf numFmtId="2" fontId="1" fillId="0" borderId="0" xfId="0" applyNumberFormat="1" applyFont="1" applyAlignment="1">
      <alignment vertical="center" wrapText="1"/>
    </xf>
    <xf numFmtId="2" fontId="2" fillId="0" borderId="0" xfId="0" applyNumberFormat="1" applyFont="1" applyAlignment="1">
      <alignment vertical="center" wrapText="1"/>
    </xf>
    <xf numFmtId="0" fontId="3" fillId="0" borderId="0" xfId="0" applyFont="1"/>
    <xf numFmtId="0" fontId="4" fillId="0" borderId="0" xfId="0" applyFont="1"/>
    <xf numFmtId="3" fontId="0" fillId="0" borderId="0" xfId="0" applyNumberFormat="1"/>
    <xf numFmtId="0" fontId="6" fillId="0" borderId="0" xfId="0" applyFont="1"/>
    <xf numFmtId="0" fontId="0" fillId="0" borderId="0" xfId="0" applyFont="1"/>
    <xf numFmtId="0" fontId="6" fillId="0" borderId="1" xfId="0" applyFont="1" applyBorder="1" applyAlignment="1">
      <alignment horizontal="center"/>
    </xf>
    <xf numFmtId="3" fontId="0" fillId="0" borderId="0" xfId="0" applyNumberFormat="1" applyFont="1"/>
    <xf numFmtId="0" fontId="6" fillId="0" borderId="1" xfId="0" applyFont="1" applyBorder="1"/>
    <xf numFmtId="3" fontId="8" fillId="0" borderId="1" xfId="0" applyNumberFormat="1" applyFont="1" applyBorder="1"/>
    <xf numFmtId="0" fontId="11" fillId="0" borderId="1" xfId="0" applyFont="1" applyBorder="1"/>
    <xf numFmtId="0" fontId="0" fillId="0" borderId="1" xfId="0" quotePrefix="1" applyFont="1" applyBorder="1"/>
    <xf numFmtId="0" fontId="0" fillId="0" borderId="1" xfId="0" applyFont="1" applyBorder="1"/>
    <xf numFmtId="0" fontId="0"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9" fillId="0" borderId="0" xfId="0" applyFont="1"/>
    <xf numFmtId="0" fontId="11" fillId="0" borderId="4" xfId="0" applyFont="1" applyBorder="1"/>
    <xf numFmtId="3" fontId="17" fillId="3" borderId="1" xfId="3" applyNumberFormat="1" applyFont="1" applyFill="1" applyBorder="1" applyAlignment="1">
      <alignment vertical="top" wrapText="1"/>
    </xf>
    <xf numFmtId="3" fontId="7" fillId="4" borderId="13" xfId="3" applyNumberFormat="1" applyFont="1" applyFill="1" applyBorder="1" applyAlignment="1">
      <alignment horizontal="center" vertical="top" wrapText="1"/>
    </xf>
    <xf numFmtId="0" fontId="17" fillId="0" borderId="13" xfId="0" applyFont="1" applyBorder="1" applyAlignment="1">
      <alignment horizontal="left" vertical="top" wrapText="1"/>
    </xf>
    <xf numFmtId="0" fontId="17" fillId="0" borderId="13" xfId="0" applyFont="1" applyBorder="1" applyAlignment="1">
      <alignment horizontal="center" vertical="top" wrapText="1"/>
    </xf>
    <xf numFmtId="167" fontId="7" fillId="4" borderId="13" xfId="3" applyNumberFormat="1" applyFont="1" applyFill="1" applyBorder="1" applyAlignment="1">
      <alignment vertical="top" wrapText="1"/>
    </xf>
    <xf numFmtId="3" fontId="7" fillId="0" borderId="13" xfId="3" applyNumberFormat="1" applyFont="1" applyFill="1" applyBorder="1" applyAlignment="1">
      <alignment horizontal="center" vertical="top" wrapText="1"/>
    </xf>
    <xf numFmtId="0" fontId="17" fillId="0" borderId="0" xfId="0" applyFont="1" applyAlignment="1">
      <alignment horizontal="left"/>
    </xf>
    <xf numFmtId="0" fontId="16" fillId="0" borderId="0" xfId="0" applyFont="1" applyAlignment="1">
      <alignment horizontal="center"/>
    </xf>
    <xf numFmtId="0" fontId="19" fillId="0" borderId="0" xfId="0" applyFont="1" applyAlignment="1">
      <alignment horizontal="justify"/>
    </xf>
    <xf numFmtId="3" fontId="20" fillId="0" borderId="0" xfId="0" applyNumberFormat="1" applyFont="1"/>
    <xf numFmtId="0" fontId="13" fillId="0" borderId="0" xfId="0" applyFont="1" applyAlignment="1">
      <alignment horizontal="left"/>
    </xf>
    <xf numFmtId="3" fontId="19" fillId="0" borderId="0" xfId="0" applyNumberFormat="1" applyFont="1" applyAlignment="1">
      <alignment horizontal="left"/>
    </xf>
    <xf numFmtId="0" fontId="18" fillId="0" borderId="0" xfId="0" applyFont="1" applyBorder="1" applyAlignment="1">
      <alignment horizontal="justify" vertical="top" wrapText="1"/>
    </xf>
    <xf numFmtId="0" fontId="21" fillId="0" borderId="0" xfId="0" applyFont="1" applyBorder="1" applyAlignment="1">
      <alignment horizontal="justify" vertical="top" wrapText="1"/>
    </xf>
    <xf numFmtId="0" fontId="21" fillId="0" borderId="0" xfId="0" applyFont="1" applyAlignment="1">
      <alignment horizontal="justify"/>
    </xf>
    <xf numFmtId="0" fontId="22" fillId="0" borderId="0" xfId="0" applyFont="1" applyBorder="1" applyAlignment="1">
      <alignment horizontal="justify" vertical="top" wrapText="1"/>
    </xf>
    <xf numFmtId="3" fontId="20" fillId="0" borderId="0" xfId="0" applyNumberFormat="1" applyFont="1" applyBorder="1" applyAlignment="1">
      <alignment horizontal="justify" vertical="top" wrapText="1"/>
    </xf>
    <xf numFmtId="3" fontId="18" fillId="0" borderId="0" xfId="0" applyNumberFormat="1" applyFont="1" applyBorder="1" applyAlignment="1">
      <alignment horizontal="justify" vertical="top" wrapText="1"/>
    </xf>
    <xf numFmtId="3" fontId="19" fillId="0" borderId="0" xfId="0" applyNumberFormat="1" applyFont="1" applyAlignment="1">
      <alignment horizontal="center"/>
    </xf>
    <xf numFmtId="2" fontId="17" fillId="3" borderId="1" xfId="0" applyNumberFormat="1" applyFont="1" applyFill="1" applyBorder="1" applyAlignment="1">
      <alignment horizontal="center" vertical="center" wrapText="1"/>
    </xf>
    <xf numFmtId="0" fontId="17" fillId="0" borderId="0" xfId="0" applyFont="1" applyAlignment="1">
      <alignment horizontal="center"/>
    </xf>
    <xf numFmtId="2" fontId="24" fillId="3" borderId="1" xfId="0" applyNumberFormat="1" applyFont="1" applyFill="1" applyBorder="1" applyAlignment="1">
      <alignment horizontal="center" vertical="center" wrapText="1"/>
    </xf>
    <xf numFmtId="0" fontId="12" fillId="0" borderId="1" xfId="0" applyFont="1" applyBorder="1" applyAlignment="1">
      <alignment horizontal="center" vertical="top" wrapText="1"/>
    </xf>
    <xf numFmtId="0" fontId="24" fillId="3" borderId="1" xfId="0" applyFont="1" applyFill="1" applyBorder="1" applyAlignment="1">
      <alignment horizontal="center" vertical="top" wrapText="1"/>
    </xf>
    <xf numFmtId="3" fontId="24" fillId="3" borderId="1" xfId="0" applyNumberFormat="1" applyFont="1" applyFill="1" applyBorder="1" applyAlignment="1">
      <alignment horizontal="right" vertical="top" wrapText="1"/>
    </xf>
    <xf numFmtId="3" fontId="0" fillId="0" borderId="0" xfId="0" applyNumberFormat="1" applyFont="1" applyFill="1"/>
    <xf numFmtId="0" fontId="7" fillId="0" borderId="0" xfId="0" applyFont="1"/>
    <xf numFmtId="0" fontId="17" fillId="0" borderId="0" xfId="0" applyFont="1"/>
    <xf numFmtId="3" fontId="17" fillId="0" borderId="0" xfId="0" applyNumberFormat="1" applyFont="1" applyFill="1" applyBorder="1" applyAlignment="1">
      <alignment horizontal="center" vertical="top" wrapText="1"/>
    </xf>
    <xf numFmtId="0" fontId="7" fillId="0" borderId="0" xfId="0" applyFont="1" applyFill="1"/>
    <xf numFmtId="0" fontId="0" fillId="0" borderId="0" xfId="0"/>
    <xf numFmtId="3" fontId="12" fillId="0" borderId="26" xfId="3" applyNumberFormat="1" applyFont="1" applyFill="1" applyBorder="1" applyAlignment="1" applyProtection="1">
      <alignment horizontal="right" wrapText="1"/>
    </xf>
    <xf numFmtId="3" fontId="12" fillId="0" borderId="27" xfId="3" applyNumberFormat="1" applyFont="1" applyFill="1" applyBorder="1" applyAlignment="1" applyProtection="1">
      <alignment horizontal="right" wrapText="1"/>
    </xf>
    <xf numFmtId="3" fontId="24" fillId="3" borderId="28" xfId="4" applyNumberFormat="1" applyFont="1" applyFill="1" applyBorder="1" applyAlignment="1">
      <alignment horizontal="right" wrapText="1"/>
    </xf>
    <xf numFmtId="0" fontId="29" fillId="0" borderId="0" xfId="0" applyFont="1" applyAlignment="1">
      <alignment horizontal="justify"/>
    </xf>
    <xf numFmtId="0" fontId="30" fillId="0" borderId="0" xfId="0" applyFont="1"/>
    <xf numFmtId="3" fontId="17" fillId="3" borderId="1" xfId="0" applyNumberFormat="1" applyFont="1" applyFill="1" applyBorder="1" applyAlignment="1">
      <alignment horizontal="right" vertical="top" wrapText="1"/>
    </xf>
    <xf numFmtId="0" fontId="30" fillId="0" borderId="0" xfId="0" applyFont="1" applyAlignment="1">
      <alignment horizontal="justify"/>
    </xf>
    <xf numFmtId="0" fontId="7" fillId="0" borderId="13" xfId="0" applyFont="1" applyBorder="1" applyAlignment="1">
      <alignment horizontal="justify" vertical="top" wrapText="1"/>
    </xf>
    <xf numFmtId="0" fontId="29" fillId="0" borderId="0" xfId="0" applyFont="1" applyBorder="1" applyAlignment="1">
      <alignment horizontal="justify" vertical="top" wrapText="1"/>
    </xf>
    <xf numFmtId="167" fontId="29" fillId="0" borderId="0" xfId="0" applyNumberFormat="1" applyFont="1" applyBorder="1" applyAlignment="1">
      <alignment horizontal="justify" vertical="top" wrapText="1"/>
    </xf>
    <xf numFmtId="0" fontId="30" fillId="0" borderId="0" xfId="0" applyFont="1" applyBorder="1" applyAlignment="1">
      <alignment horizontal="justify" vertical="top" wrapText="1"/>
    </xf>
    <xf numFmtId="0" fontId="29" fillId="0" borderId="0" xfId="0" applyFont="1" applyAlignment="1">
      <alignment horizontal="center"/>
    </xf>
    <xf numFmtId="3" fontId="7" fillId="0" borderId="14" xfId="0" applyNumberFormat="1" applyFont="1" applyBorder="1" applyAlignment="1">
      <alignment horizontal="right" vertical="center" wrapText="1"/>
    </xf>
    <xf numFmtId="0" fontId="17" fillId="3" borderId="15" xfId="0" applyFont="1" applyFill="1" applyBorder="1" applyAlignment="1">
      <alignment horizontal="center" vertical="center" wrapText="1"/>
    </xf>
    <xf numFmtId="3" fontId="0" fillId="0" borderId="0" xfId="0" applyNumberFormat="1" applyFont="1" applyBorder="1"/>
    <xf numFmtId="0" fontId="7" fillId="0" borderId="16" xfId="0" applyFont="1" applyBorder="1" applyAlignment="1">
      <alignment horizontal="left" wrapText="1"/>
    </xf>
    <xf numFmtId="0" fontId="7" fillId="0" borderId="17" xfId="0" applyFont="1" applyBorder="1" applyAlignment="1">
      <alignment horizontal="left" vertical="top" wrapText="1"/>
    </xf>
    <xf numFmtId="0" fontId="7" fillId="0" borderId="17" xfId="0" applyFont="1" applyBorder="1" applyAlignment="1">
      <alignment horizontal="justify" vertical="top" wrapText="1"/>
    </xf>
    <xf numFmtId="0" fontId="7" fillId="0" borderId="19" xfId="0" applyFont="1" applyBorder="1" applyAlignment="1">
      <alignment horizontal="left" wrapText="1"/>
    </xf>
    <xf numFmtId="0" fontId="7" fillId="0" borderId="20" xfId="0" applyFont="1" applyBorder="1" applyAlignment="1">
      <alignment horizontal="left" vertical="top" wrapText="1"/>
    </xf>
    <xf numFmtId="0" fontId="7" fillId="0" borderId="20" xfId="0" applyFont="1" applyBorder="1" applyAlignment="1">
      <alignment horizontal="justify" vertical="top" wrapText="1"/>
    </xf>
    <xf numFmtId="0" fontId="7" fillId="0" borderId="22" xfId="0" applyFont="1" applyBorder="1" applyAlignment="1">
      <alignment horizontal="left" wrapText="1"/>
    </xf>
    <xf numFmtId="0" fontId="7" fillId="0" borderId="23" xfId="0" applyFont="1" applyBorder="1" applyAlignment="1">
      <alignment horizontal="left" vertical="top" wrapText="1"/>
    </xf>
    <xf numFmtId="0" fontId="7" fillId="0" borderId="23" xfId="0" applyFont="1" applyBorder="1" applyAlignment="1">
      <alignment horizontal="justify" vertical="top" wrapText="1"/>
    </xf>
    <xf numFmtId="0" fontId="17" fillId="0" borderId="0" xfId="0" applyFont="1" applyAlignment="1">
      <alignment horizontal="justify"/>
    </xf>
    <xf numFmtId="0" fontId="17" fillId="0" borderId="0" xfId="0" applyFont="1" applyBorder="1" applyAlignment="1"/>
    <xf numFmtId="0" fontId="17" fillId="3" borderId="5" xfId="0" applyFont="1" applyFill="1" applyBorder="1" applyAlignment="1">
      <alignment vertical="top" wrapText="1"/>
    </xf>
    <xf numFmtId="0" fontId="7" fillId="0" borderId="0" xfId="0" applyFont="1" applyAlignment="1">
      <alignment horizontal="left"/>
    </xf>
    <xf numFmtId="0" fontId="7" fillId="0" borderId="0" xfId="0" applyFont="1" applyBorder="1" applyAlignment="1">
      <alignment horizontal="center" vertical="top" wrapText="1"/>
    </xf>
    <xf numFmtId="0" fontId="7" fillId="0" borderId="0" xfId="0" applyFont="1" applyBorder="1" applyAlignment="1">
      <alignment vertical="top" wrapText="1"/>
    </xf>
    <xf numFmtId="3" fontId="7" fillId="0" borderId="0" xfId="0" applyNumberFormat="1" applyFont="1" applyBorder="1" applyAlignment="1">
      <alignment vertical="top" wrapText="1"/>
    </xf>
    <xf numFmtId="0" fontId="31" fillId="0" borderId="0" xfId="0" applyFont="1" applyBorder="1" applyAlignment="1"/>
    <xf numFmtId="3" fontId="17" fillId="0" borderId="0" xfId="0" applyNumberFormat="1" applyFont="1" applyAlignment="1">
      <alignment horizontal="center"/>
    </xf>
    <xf numFmtId="3" fontId="17" fillId="0" borderId="0" xfId="0" applyNumberFormat="1" applyFont="1" applyAlignment="1">
      <alignment horizontal="left"/>
    </xf>
    <xf numFmtId="0" fontId="7" fillId="0" borderId="0" xfId="0" applyFont="1" applyAlignment="1">
      <alignment horizontal="center"/>
    </xf>
    <xf numFmtId="3" fontId="7" fillId="0" borderId="0" xfId="0" applyNumberFormat="1" applyFont="1"/>
    <xf numFmtId="3" fontId="7" fillId="0" borderId="0" xfId="0" applyNumberFormat="1" applyFont="1" applyAlignment="1">
      <alignment horizontal="left"/>
    </xf>
    <xf numFmtId="0" fontId="7" fillId="0" borderId="0" xfId="0" applyFont="1" applyAlignment="1">
      <alignment horizontal="justify"/>
    </xf>
    <xf numFmtId="0" fontId="32" fillId="0" borderId="0" xfId="0" applyFont="1"/>
    <xf numFmtId="0" fontId="7" fillId="0" borderId="0" xfId="0" applyFont="1" applyBorder="1" applyAlignment="1">
      <alignment horizontal="justify" vertical="top" wrapText="1"/>
    </xf>
    <xf numFmtId="0" fontId="17" fillId="4" borderId="0" xfId="0" applyFont="1" applyFill="1" applyBorder="1" applyAlignment="1">
      <alignment horizontal="justify" vertical="top" wrapText="1"/>
    </xf>
    <xf numFmtId="167" fontId="7" fillId="6" borderId="0" xfId="0" applyNumberFormat="1" applyFont="1" applyFill="1" applyBorder="1" applyAlignment="1">
      <alignment horizontal="justify" vertical="top" wrapText="1"/>
    </xf>
    <xf numFmtId="0" fontId="7" fillId="0" borderId="0" xfId="0" applyFont="1" applyFill="1" applyBorder="1" applyAlignment="1">
      <alignment horizontal="justify" vertical="top" wrapText="1"/>
    </xf>
    <xf numFmtId="4" fontId="7" fillId="0" borderId="39" xfId="1" applyNumberFormat="1" applyFont="1" applyBorder="1" applyAlignment="1">
      <alignment horizontal="right" vertical="top" wrapText="1"/>
    </xf>
    <xf numFmtId="0" fontId="7" fillId="0" borderId="40" xfId="0" applyFont="1" applyBorder="1" applyAlignment="1">
      <alignment horizontal="justify" vertical="top" wrapText="1"/>
    </xf>
    <xf numFmtId="3" fontId="17" fillId="3" borderId="28" xfId="0" applyNumberFormat="1" applyFont="1" applyFill="1" applyBorder="1" applyAlignment="1">
      <alignment horizontal="right" vertical="top" wrapText="1"/>
    </xf>
    <xf numFmtId="4" fontId="0" fillId="0" borderId="0" xfId="0" applyNumberFormat="1"/>
    <xf numFmtId="167" fontId="0" fillId="0" borderId="0" xfId="0" applyNumberFormat="1" applyFont="1"/>
    <xf numFmtId="0" fontId="0" fillId="0" borderId="0" xfId="0" applyAlignment="1">
      <alignment horizontal="right"/>
    </xf>
    <xf numFmtId="3" fontId="12" fillId="0" borderId="26" xfId="4" applyNumberFormat="1" applyFont="1" applyBorder="1" applyAlignment="1">
      <alignment horizontal="right" wrapText="1"/>
    </xf>
    <xf numFmtId="3" fontId="12" fillId="0" borderId="43" xfId="3" applyNumberFormat="1" applyFont="1" applyFill="1" applyBorder="1" applyAlignment="1" applyProtection="1">
      <alignment horizontal="right" wrapText="1"/>
    </xf>
    <xf numFmtId="3" fontId="24" fillId="3" borderId="30" xfId="4" applyNumberFormat="1" applyFont="1" applyFill="1" applyBorder="1" applyAlignment="1">
      <alignment horizontal="right" wrapText="1"/>
    </xf>
    <xf numFmtId="0" fontId="17" fillId="3" borderId="28" xfId="2" applyFont="1" applyFill="1" applyBorder="1" applyAlignment="1">
      <alignment vertical="top" wrapText="1"/>
    </xf>
    <xf numFmtId="0" fontId="17" fillId="0" borderId="40" xfId="2" applyFont="1" applyBorder="1" applyAlignment="1">
      <alignment horizontal="center" vertical="center" wrapText="1"/>
    </xf>
    <xf numFmtId="3" fontId="17" fillId="3" borderId="28" xfId="3" applyNumberFormat="1" applyFont="1" applyFill="1" applyBorder="1" applyAlignment="1">
      <alignment vertical="top" wrapText="1"/>
    </xf>
    <xf numFmtId="3" fontId="0" fillId="0" borderId="1" xfId="0" applyNumberFormat="1" applyFont="1" applyBorder="1"/>
    <xf numFmtId="3" fontId="6" fillId="0" borderId="1" xfId="0" applyNumberFormat="1" applyFont="1" applyBorder="1" applyAlignment="1">
      <alignment vertical="center"/>
    </xf>
    <xf numFmtId="3" fontId="36" fillId="0" borderId="0" xfId="0" applyNumberFormat="1" applyFont="1"/>
    <xf numFmtId="2" fontId="17" fillId="3" borderId="1" xfId="0" applyNumberFormat="1" applyFont="1" applyFill="1" applyBorder="1" applyAlignment="1">
      <alignment horizontal="center" vertical="center" wrapText="1"/>
    </xf>
    <xf numFmtId="0" fontId="7" fillId="0" borderId="46" xfId="0" applyFont="1" applyBorder="1" applyAlignment="1">
      <alignment horizontal="left" vertical="top" wrapText="1"/>
    </xf>
    <xf numFmtId="0" fontId="7" fillId="0" borderId="46" xfId="0" applyFont="1" applyBorder="1" applyAlignment="1">
      <alignment horizontal="center" vertical="top" wrapText="1"/>
    </xf>
    <xf numFmtId="3" fontId="7" fillId="4" borderId="46" xfId="3" applyNumberFormat="1" applyFont="1" applyFill="1" applyBorder="1" applyAlignment="1">
      <alignment horizontal="center" vertical="top" wrapText="1"/>
    </xf>
    <xf numFmtId="3" fontId="7" fillId="4" borderId="39" xfId="3" applyNumberFormat="1" applyFont="1" applyFill="1" applyBorder="1" applyAlignment="1">
      <alignment horizontal="center" vertical="top" wrapText="1"/>
    </xf>
    <xf numFmtId="2" fontId="17" fillId="3" borderId="1" xfId="0" applyNumberFormat="1" applyFont="1" applyFill="1" applyBorder="1" applyAlignment="1">
      <alignment horizontal="center" vertical="center" wrapText="1"/>
    </xf>
    <xf numFmtId="0" fontId="17" fillId="3" borderId="28" xfId="0" applyFont="1" applyFill="1" applyBorder="1" applyAlignment="1">
      <alignment horizontal="center" vertical="center" wrapText="1"/>
    </xf>
    <xf numFmtId="0" fontId="6" fillId="3" borderId="28" xfId="0" applyFont="1" applyFill="1" applyBorder="1" applyAlignment="1">
      <alignment horizontal="center" vertical="center" wrapText="1"/>
    </xf>
    <xf numFmtId="3" fontId="9" fillId="0" borderId="28" xfId="0" applyNumberFormat="1" applyFont="1" applyBorder="1" applyAlignment="1">
      <alignment horizontal="right"/>
    </xf>
    <xf numFmtId="0" fontId="6" fillId="3" borderId="28" xfId="0" applyFont="1" applyFill="1" applyBorder="1"/>
    <xf numFmtId="3" fontId="6" fillId="3" borderId="28" xfId="0" applyNumberFormat="1" applyFont="1" applyFill="1" applyBorder="1"/>
    <xf numFmtId="0" fontId="0" fillId="0" borderId="48" xfId="0" applyFont="1" applyBorder="1"/>
    <xf numFmtId="0" fontId="0" fillId="0" borderId="46" xfId="0" applyFont="1" applyBorder="1"/>
    <xf numFmtId="0" fontId="37" fillId="0" borderId="46" xfId="0" applyFont="1" applyBorder="1"/>
    <xf numFmtId="171" fontId="0" fillId="0" borderId="0" xfId="0" applyNumberFormat="1" applyFont="1"/>
    <xf numFmtId="3" fontId="33" fillId="0" borderId="0" xfId="0" applyNumberFormat="1" applyFont="1"/>
    <xf numFmtId="0" fontId="6" fillId="0" borderId="3" xfId="0" applyFont="1" applyBorder="1"/>
    <xf numFmtId="0" fontId="0" fillId="0" borderId="3" xfId="0" applyFont="1" applyBorder="1"/>
    <xf numFmtId="3" fontId="0" fillId="0" borderId="3" xfId="0" applyNumberFormat="1" applyFont="1" applyBorder="1"/>
    <xf numFmtId="3" fontId="4" fillId="0" borderId="0" xfId="0" applyNumberFormat="1" applyFont="1"/>
    <xf numFmtId="3" fontId="6" fillId="0" borderId="3" xfId="0" applyNumberFormat="1" applyFont="1" applyBorder="1"/>
    <xf numFmtId="3" fontId="6" fillId="3" borderId="1" xfId="0" applyNumberFormat="1" applyFont="1" applyFill="1" applyBorder="1"/>
    <xf numFmtId="0" fontId="39" fillId="0" borderId="0" xfId="0" applyFont="1"/>
    <xf numFmtId="14" fontId="6" fillId="3" borderId="1"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3" fontId="41" fillId="0" borderId="13" xfId="0" applyNumberFormat="1" applyFont="1" applyBorder="1" applyAlignment="1">
      <alignment horizontal="center" vertical="top" wrapText="1"/>
    </xf>
    <xf numFmtId="0" fontId="17" fillId="3" borderId="28" xfId="0" applyFont="1" applyFill="1" applyBorder="1" applyAlignment="1">
      <alignment vertical="top" wrapText="1"/>
    </xf>
    <xf numFmtId="0" fontId="0" fillId="0" borderId="0" xfId="0" applyFont="1" applyBorder="1"/>
    <xf numFmtId="0" fontId="17" fillId="3" borderId="28" xfId="0" applyFont="1" applyFill="1" applyBorder="1" applyAlignment="1">
      <alignment horizontal="center" vertical="top" wrapText="1"/>
    </xf>
    <xf numFmtId="0" fontId="7" fillId="0" borderId="39" xfId="0" applyFont="1" applyFill="1" applyBorder="1" applyAlignment="1">
      <alignment horizontal="justify" vertical="top" wrapText="1"/>
    </xf>
    <xf numFmtId="3" fontId="7" fillId="0" borderId="39" xfId="0" applyNumberFormat="1" applyFont="1" applyFill="1" applyBorder="1" applyAlignment="1">
      <alignment horizontal="center" vertical="top" wrapText="1"/>
    </xf>
    <xf numFmtId="0" fontId="0" fillId="0" borderId="0" xfId="0" applyFont="1" applyFill="1" applyAlignment="1">
      <alignment horizontal="right"/>
    </xf>
    <xf numFmtId="0" fontId="0" fillId="0" borderId="0" xfId="0" applyFont="1" applyFill="1"/>
    <xf numFmtId="3" fontId="42" fillId="0" borderId="46" xfId="0" applyNumberFormat="1" applyFont="1" applyBorder="1" applyAlignment="1">
      <alignment horizontal="center" vertical="top" wrapText="1"/>
    </xf>
    <xf numFmtId="4" fontId="17" fillId="3" borderId="28" xfId="0" applyNumberFormat="1" applyFont="1" applyFill="1" applyBorder="1" applyAlignment="1">
      <alignment horizontal="right" vertical="top" wrapText="1"/>
    </xf>
    <xf numFmtId="3" fontId="7" fillId="0" borderId="0" xfId="0" applyNumberFormat="1" applyFont="1" applyBorder="1" applyAlignment="1">
      <alignment horizontal="center" vertical="top" wrapText="1"/>
    </xf>
    <xf numFmtId="4" fontId="7" fillId="0" borderId="0" xfId="1" applyNumberFormat="1" applyFont="1" applyBorder="1" applyAlignment="1">
      <alignment horizontal="right" vertical="top" wrapText="1"/>
    </xf>
    <xf numFmtId="3" fontId="7" fillId="0" borderId="0" xfId="0" applyNumberFormat="1" applyFont="1" applyBorder="1" applyAlignment="1">
      <alignment horizontal="right" vertical="top" wrapText="1"/>
    </xf>
    <xf numFmtId="4" fontId="7" fillId="0" borderId="39" xfId="0" applyNumberFormat="1" applyFont="1" applyFill="1" applyBorder="1" applyAlignment="1">
      <alignment horizontal="right" vertical="top" wrapText="1"/>
    </xf>
    <xf numFmtId="172" fontId="7" fillId="0" borderId="39" xfId="0" applyNumberFormat="1" applyFont="1" applyBorder="1" applyAlignment="1">
      <alignment horizontal="right" vertical="top" wrapText="1"/>
    </xf>
    <xf numFmtId="172" fontId="7" fillId="0" borderId="13" xfId="0" applyNumberFormat="1" applyFont="1" applyBorder="1" applyAlignment="1">
      <alignment horizontal="right" vertical="top" wrapText="1"/>
    </xf>
    <xf numFmtId="172" fontId="0" fillId="0" borderId="0" xfId="0" applyNumberFormat="1"/>
    <xf numFmtId="172" fontId="7" fillId="0" borderId="39" xfId="1" applyNumberFormat="1" applyFont="1" applyBorder="1" applyAlignment="1">
      <alignment horizontal="right" vertical="top" wrapText="1"/>
    </xf>
    <xf numFmtId="172" fontId="17" fillId="3" borderId="28" xfId="0" applyNumberFormat="1" applyFont="1" applyFill="1" applyBorder="1" applyAlignment="1">
      <alignment horizontal="right" vertical="top" wrapText="1"/>
    </xf>
    <xf numFmtId="173" fontId="7" fillId="0" borderId="13" xfId="0" applyNumberFormat="1" applyFont="1" applyBorder="1" applyAlignment="1">
      <alignment horizontal="right" vertical="top" wrapText="1"/>
    </xf>
    <xf numFmtId="3" fontId="45" fillId="0" borderId="28" xfId="0" applyNumberFormat="1" applyFont="1" applyBorder="1" applyAlignment="1">
      <alignment horizontal="center" vertical="top" wrapText="1"/>
    </xf>
    <xf numFmtId="173" fontId="44" fillId="0" borderId="28" xfId="0" applyNumberFormat="1" applyFont="1" applyBorder="1" applyAlignment="1">
      <alignment horizontal="right" vertical="top" wrapText="1"/>
    </xf>
    <xf numFmtId="172" fontId="44" fillId="0" borderId="28" xfId="0" applyNumberFormat="1" applyFont="1" applyBorder="1" applyAlignment="1">
      <alignment horizontal="right" vertical="top" wrapText="1"/>
    </xf>
    <xf numFmtId="0" fontId="1" fillId="0" borderId="3" xfId="0" applyFont="1" applyBorder="1"/>
    <xf numFmtId="0" fontId="46" fillId="0" borderId="0" xfId="0" applyFont="1"/>
    <xf numFmtId="0" fontId="1" fillId="3" borderId="1" xfId="0" applyFont="1" applyFill="1" applyBorder="1" applyAlignment="1">
      <alignment horizontal="center" vertical="center" wrapText="1"/>
    </xf>
    <xf numFmtId="0" fontId="47" fillId="0" borderId="3" xfId="0" applyFont="1" applyBorder="1"/>
    <xf numFmtId="0" fontId="47" fillId="0" borderId="3" xfId="0" applyFont="1" applyBorder="1" applyAlignment="1">
      <alignment vertical="top"/>
    </xf>
    <xf numFmtId="0" fontId="47"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3" borderId="1" xfId="0" applyFont="1" applyFill="1" applyBorder="1" applyAlignment="1">
      <alignment horizontal="center"/>
    </xf>
    <xf numFmtId="0" fontId="47" fillId="0" borderId="0" xfId="0" applyFont="1"/>
    <xf numFmtId="0" fontId="16" fillId="0" borderId="0" xfId="0" applyFont="1" applyAlignment="1">
      <alignment horizontal="left"/>
    </xf>
    <xf numFmtId="0" fontId="49" fillId="0" borderId="0" xfId="0" applyFont="1"/>
    <xf numFmtId="3" fontId="0" fillId="0" borderId="3" xfId="0" applyNumberFormat="1" applyFont="1" applyBorder="1" applyAlignment="1">
      <alignment vertical="top" wrapText="1"/>
    </xf>
    <xf numFmtId="0" fontId="16" fillId="0" borderId="0" xfId="0" applyFont="1" applyAlignment="1">
      <alignment horizontal="left" vertical="center"/>
    </xf>
    <xf numFmtId="0" fontId="49" fillId="0" borderId="0" xfId="0" applyFont="1" applyAlignment="1">
      <alignment vertical="center"/>
    </xf>
    <xf numFmtId="3" fontId="41" fillId="0" borderId="40" xfId="0" applyNumberFormat="1" applyFont="1" applyBorder="1" applyAlignment="1">
      <alignment horizontal="center" vertical="top" wrapText="1"/>
    </xf>
    <xf numFmtId="173" fontId="7" fillId="0" borderId="40" xfId="0" applyNumberFormat="1" applyFont="1" applyBorder="1" applyAlignment="1">
      <alignment horizontal="right" vertical="top" wrapText="1"/>
    </xf>
    <xf numFmtId="172" fontId="7" fillId="0" borderId="40" xfId="0" applyNumberFormat="1" applyFont="1" applyBorder="1" applyAlignment="1">
      <alignment horizontal="right" vertical="top" wrapText="1"/>
    </xf>
    <xf numFmtId="0" fontId="7" fillId="0" borderId="0" xfId="0" applyFont="1" applyBorder="1" applyAlignment="1">
      <alignment horizontal="left" vertical="top" wrapText="1"/>
    </xf>
    <xf numFmtId="3" fontId="41" fillId="0" borderId="0" xfId="0" applyNumberFormat="1" applyFont="1" applyBorder="1" applyAlignment="1">
      <alignment horizontal="center" vertical="top" wrapText="1"/>
    </xf>
    <xf numFmtId="173" fontId="7" fillId="0" borderId="0" xfId="0" applyNumberFormat="1" applyFont="1" applyBorder="1" applyAlignment="1">
      <alignment horizontal="right" vertical="top" wrapText="1"/>
    </xf>
    <xf numFmtId="172" fontId="7" fillId="0" borderId="0" xfId="0" applyNumberFormat="1" applyFont="1" applyBorder="1" applyAlignment="1">
      <alignment horizontal="right" vertical="top" wrapText="1"/>
    </xf>
    <xf numFmtId="0" fontId="44" fillId="0" borderId="28" xfId="0" applyFont="1" applyBorder="1" applyAlignment="1">
      <alignment horizontal="justify" vertical="top" wrapText="1"/>
    </xf>
    <xf numFmtId="0" fontId="20" fillId="0" borderId="0" xfId="0" applyFont="1" applyAlignment="1">
      <alignment horizontal="left" vertical="center"/>
    </xf>
    <xf numFmtId="0" fontId="44" fillId="3" borderId="28" xfId="0" applyFont="1" applyFill="1" applyBorder="1" applyAlignment="1">
      <alignment vertical="top" wrapText="1"/>
    </xf>
    <xf numFmtId="3" fontId="44" fillId="3" borderId="28" xfId="0" applyNumberFormat="1" applyFont="1" applyFill="1" applyBorder="1" applyAlignment="1">
      <alignment horizontal="right" vertical="top" wrapText="1"/>
    </xf>
    <xf numFmtId="4" fontId="44" fillId="3" borderId="28" xfId="0" applyNumberFormat="1" applyFont="1" applyFill="1" applyBorder="1" applyAlignment="1">
      <alignment horizontal="right" vertical="top" wrapText="1"/>
    </xf>
    <xf numFmtId="0" fontId="17" fillId="0" borderId="13" xfId="0" applyFont="1" applyBorder="1" applyAlignment="1">
      <alignment horizontal="center" vertical="center" wrapText="1"/>
    </xf>
    <xf numFmtId="165" fontId="0" fillId="0" borderId="0" xfId="0" applyNumberFormat="1" applyFont="1" applyBorder="1"/>
    <xf numFmtId="0" fontId="17" fillId="0" borderId="0" xfId="0" applyFont="1" applyBorder="1" applyAlignment="1">
      <alignment vertical="top" wrapText="1"/>
    </xf>
    <xf numFmtId="0" fontId="24" fillId="3" borderId="1"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3" borderId="50" xfId="0" applyFont="1" applyFill="1" applyBorder="1" applyAlignment="1">
      <alignment horizontal="center" vertical="center" wrapText="1"/>
    </xf>
    <xf numFmtId="0" fontId="17" fillId="0" borderId="0" xfId="0" applyFont="1" applyAlignment="1"/>
    <xf numFmtId="0" fontId="51" fillId="0" borderId="0" xfId="0" applyFont="1"/>
    <xf numFmtId="0" fontId="44" fillId="0" borderId="0" xfId="0" applyFont="1" applyFill="1" applyBorder="1" applyAlignment="1">
      <alignment horizontal="justify" vertical="top" wrapText="1"/>
    </xf>
    <xf numFmtId="0" fontId="44" fillId="0" borderId="0" xfId="0" applyFont="1" applyFill="1" applyBorder="1" applyAlignment="1">
      <alignment horizontal="center" vertical="top" wrapText="1"/>
    </xf>
    <xf numFmtId="4" fontId="44" fillId="0" borderId="0" xfId="0" applyNumberFormat="1" applyFont="1" applyFill="1" applyBorder="1" applyAlignment="1">
      <alignment horizontal="right" vertical="top" wrapText="1"/>
    </xf>
    <xf numFmtId="3" fontId="44" fillId="0" borderId="0" xfId="0" applyNumberFormat="1" applyFont="1" applyFill="1" applyBorder="1" applyAlignment="1">
      <alignment vertical="top" wrapText="1"/>
    </xf>
    <xf numFmtId="0" fontId="0" fillId="0" borderId="0" xfId="0" applyFont="1" applyFill="1" applyBorder="1"/>
    <xf numFmtId="165" fontId="0" fillId="0" borderId="0" xfId="0" applyNumberFormat="1" applyFont="1" applyFill="1" applyBorder="1"/>
    <xf numFmtId="0" fontId="26" fillId="0" borderId="14" xfId="0" applyFont="1" applyBorder="1" applyAlignment="1">
      <alignment horizontal="left" vertical="center" wrapText="1"/>
    </xf>
    <xf numFmtId="0" fontId="26" fillId="0" borderId="12" xfId="0" applyFont="1" applyBorder="1" applyAlignment="1">
      <alignment horizontal="left" vertical="center" wrapText="1"/>
    </xf>
    <xf numFmtId="0" fontId="14" fillId="0" borderId="0" xfId="0" applyFont="1" applyAlignment="1">
      <alignment horizontal="left" vertical="center"/>
    </xf>
    <xf numFmtId="0" fontId="47" fillId="0" borderId="0" xfId="0" applyFont="1" applyAlignment="1">
      <alignment vertical="center"/>
    </xf>
    <xf numFmtId="0" fontId="41" fillId="0" borderId="13" xfId="2" applyFont="1" applyBorder="1" applyAlignment="1">
      <alignment horizontal="center" vertical="top" wrapText="1"/>
    </xf>
    <xf numFmtId="0" fontId="7" fillId="0" borderId="13" xfId="2" applyFont="1" applyBorder="1" applyAlignment="1">
      <alignment horizontal="left" vertical="top" wrapText="1"/>
    </xf>
    <xf numFmtId="167" fontId="7" fillId="4" borderId="40" xfId="3" applyNumberFormat="1" applyFont="1" applyFill="1" applyBorder="1" applyAlignment="1">
      <alignment horizontal="center" vertical="center" wrapText="1"/>
    </xf>
    <xf numFmtId="0" fontId="7" fillId="0" borderId="14" xfId="0" applyFont="1" applyBorder="1" applyAlignment="1">
      <alignment horizontal="center" vertical="top" wrapText="1"/>
    </xf>
    <xf numFmtId="0" fontId="17" fillId="8" borderId="0" xfId="0" applyFont="1" applyFill="1" applyBorder="1" applyAlignment="1">
      <alignment vertical="top" wrapText="1"/>
    </xf>
    <xf numFmtId="3" fontId="17" fillId="8" borderId="0" xfId="0" applyNumberFormat="1" applyFont="1" applyFill="1" applyBorder="1" applyAlignment="1">
      <alignment horizontal="right" vertical="top" wrapText="1"/>
    </xf>
    <xf numFmtId="0" fontId="0" fillId="8" borderId="0" xfId="0" applyFont="1" applyFill="1"/>
    <xf numFmtId="3" fontId="0" fillId="8" borderId="0" xfId="0" applyNumberFormat="1" applyFont="1" applyFill="1"/>
    <xf numFmtId="0" fontId="17" fillId="0" borderId="0" xfId="0" applyFont="1" applyFill="1" applyBorder="1" applyAlignment="1">
      <alignment vertical="top" wrapText="1"/>
    </xf>
    <xf numFmtId="3" fontId="17" fillId="0" borderId="0" xfId="0" applyNumberFormat="1" applyFont="1" applyFill="1" applyBorder="1" applyAlignment="1">
      <alignment horizontal="right" vertical="top" wrapText="1"/>
    </xf>
    <xf numFmtId="0" fontId="17" fillId="0" borderId="0" xfId="0" applyFont="1" applyFill="1" applyBorder="1" applyAlignment="1"/>
    <xf numFmtId="49" fontId="27" fillId="5" borderId="1" xfId="0" applyNumberFormat="1" applyFont="1" applyFill="1" applyBorder="1" applyAlignment="1">
      <alignment horizontal="center" vertical="center" wrapText="1"/>
    </xf>
    <xf numFmtId="0" fontId="6" fillId="3" borderId="28" xfId="0" applyFont="1" applyFill="1" applyBorder="1" applyAlignment="1">
      <alignment horizontal="left"/>
    </xf>
    <xf numFmtId="0" fontId="6" fillId="8" borderId="0" xfId="0" applyFont="1" applyFill="1" applyBorder="1" applyAlignment="1">
      <alignment horizontal="center"/>
    </xf>
    <xf numFmtId="3" fontId="6" fillId="8" borderId="0" xfId="0" applyNumberFormat="1" applyFont="1" applyFill="1" applyBorder="1" applyAlignment="1">
      <alignment horizontal="right"/>
    </xf>
    <xf numFmtId="0" fontId="26" fillId="0" borderId="33" xfId="0" applyFont="1" applyBorder="1" applyAlignment="1">
      <alignment horizontal="center" vertical="center" wrapText="1"/>
    </xf>
    <xf numFmtId="3" fontId="26" fillId="0" borderId="33" xfId="0" applyNumberFormat="1" applyFont="1" applyBorder="1" applyAlignment="1">
      <alignment horizontal="right" vertical="top" wrapText="1"/>
    </xf>
    <xf numFmtId="3" fontId="12" fillId="0" borderId="33" xfId="0" applyNumberFormat="1" applyFont="1" applyBorder="1" applyAlignment="1">
      <alignment horizontal="right" vertical="top" wrapText="1"/>
    </xf>
    <xf numFmtId="0" fontId="24" fillId="3" borderId="1" xfId="0" applyFont="1" applyFill="1" applyBorder="1" applyAlignment="1">
      <alignment horizontal="left" vertical="top" wrapText="1"/>
    </xf>
    <xf numFmtId="3" fontId="24" fillId="3" borderId="28" xfId="0" applyNumberFormat="1" applyFont="1" applyFill="1" applyBorder="1" applyAlignment="1">
      <alignment horizontal="right" vertical="top" wrapText="1"/>
    </xf>
    <xf numFmtId="0" fontId="26" fillId="4" borderId="11" xfId="0" applyFont="1" applyFill="1" applyBorder="1" applyAlignment="1">
      <alignment horizontal="left" vertical="top" wrapText="1"/>
    </xf>
    <xf numFmtId="3" fontId="26" fillId="4" borderId="25" xfId="0" applyNumberFormat="1" applyFont="1" applyFill="1" applyBorder="1" applyAlignment="1">
      <alignment horizontal="right" vertical="top" wrapText="1"/>
    </xf>
    <xf numFmtId="3" fontId="12" fillId="6" borderId="11" xfId="0" applyNumberFormat="1" applyFont="1" applyFill="1" applyBorder="1" applyAlignment="1">
      <alignment horizontal="right" vertical="top" wrapText="1"/>
    </xf>
    <xf numFmtId="0" fontId="26" fillId="4" borderId="38" xfId="0" applyFont="1" applyFill="1" applyBorder="1" applyAlignment="1">
      <alignment horizontal="left" vertical="top" wrapText="1"/>
    </xf>
    <xf numFmtId="3" fontId="26" fillId="4" borderId="42" xfId="0" applyNumberFormat="1" applyFont="1" applyFill="1" applyBorder="1" applyAlignment="1">
      <alignment horizontal="right" vertical="top" wrapText="1"/>
    </xf>
    <xf numFmtId="3" fontId="26" fillId="4" borderId="38" xfId="0" applyNumberFormat="1" applyFont="1" applyFill="1" applyBorder="1" applyAlignment="1">
      <alignment horizontal="right" vertical="top" wrapText="1"/>
    </xf>
    <xf numFmtId="0" fontId="26" fillId="0" borderId="33" xfId="0" applyFont="1" applyBorder="1" applyAlignment="1">
      <alignment horizontal="left" vertical="center" wrapText="1"/>
    </xf>
    <xf numFmtId="0" fontId="24" fillId="3" borderId="1" xfId="0" applyFont="1" applyFill="1" applyBorder="1" applyAlignment="1">
      <alignment horizontal="justify" vertical="top" wrapText="1"/>
    </xf>
    <xf numFmtId="0" fontId="26" fillId="0" borderId="1" xfId="0" applyFont="1" applyBorder="1" applyAlignment="1">
      <alignment horizontal="center" vertical="top" wrapText="1"/>
    </xf>
    <xf numFmtId="0" fontId="26" fillId="4" borderId="39" xfId="0" applyFont="1" applyFill="1" applyBorder="1" applyAlignment="1">
      <alignment vertical="top" wrapText="1"/>
    </xf>
    <xf numFmtId="172" fontId="26" fillId="4" borderId="28" xfId="0" applyNumberFormat="1" applyFont="1" applyFill="1" applyBorder="1" applyAlignment="1">
      <alignment horizontal="right" vertical="top" wrapText="1"/>
    </xf>
    <xf numFmtId="0" fontId="26" fillId="4" borderId="39" xfId="0" applyFont="1" applyFill="1" applyBorder="1" applyAlignment="1">
      <alignment horizontal="left" vertical="top" wrapText="1"/>
    </xf>
    <xf numFmtId="0" fontId="26" fillId="4" borderId="3" xfId="0" applyFont="1" applyFill="1" applyBorder="1" applyAlignment="1">
      <alignment vertical="top" wrapText="1"/>
    </xf>
    <xf numFmtId="172" fontId="24" fillId="3" borderId="1" xfId="0" applyNumberFormat="1" applyFont="1" applyFill="1" applyBorder="1" applyAlignment="1">
      <alignment horizontal="right" vertical="top" wrapText="1"/>
    </xf>
    <xf numFmtId="2" fontId="24" fillId="3" borderId="1" xfId="0" applyNumberFormat="1" applyFont="1" applyFill="1" applyBorder="1" applyAlignment="1">
      <alignment horizontal="center" vertical="center" wrapText="1"/>
    </xf>
    <xf numFmtId="172" fontId="12" fillId="0" borderId="39" xfId="0" applyNumberFormat="1" applyFont="1" applyBorder="1"/>
    <xf numFmtId="172" fontId="12" fillId="0" borderId="38" xfId="0" applyNumberFormat="1" applyFont="1" applyBorder="1"/>
    <xf numFmtId="172" fontId="24" fillId="3" borderId="1" xfId="3" applyNumberFormat="1" applyFont="1" applyFill="1" applyBorder="1" applyAlignment="1">
      <alignment horizontal="right" vertical="top" wrapText="1"/>
    </xf>
    <xf numFmtId="172" fontId="12" fillId="3" borderId="1" xfId="3" applyNumberFormat="1" applyFont="1" applyFill="1" applyBorder="1" applyAlignment="1">
      <alignment horizontal="right" vertical="top" wrapText="1"/>
    </xf>
    <xf numFmtId="0" fontId="12" fillId="0" borderId="11" xfId="0" applyFont="1" applyBorder="1" applyAlignment="1">
      <alignment horizontal="justify" vertical="center" wrapText="1"/>
    </xf>
    <xf numFmtId="3" fontId="12" fillId="0" borderId="11" xfId="0" applyNumberFormat="1" applyFont="1" applyBorder="1" applyAlignment="1">
      <alignment vertical="center" wrapText="1"/>
    </xf>
    <xf numFmtId="3" fontId="12" fillId="0" borderId="13" xfId="0" applyNumberFormat="1" applyFont="1" applyBorder="1" applyAlignment="1">
      <alignment vertical="center" wrapText="1"/>
    </xf>
    <xf numFmtId="0" fontId="12" fillId="0" borderId="13" xfId="0" applyFont="1" applyBorder="1" applyAlignment="1">
      <alignment horizontal="justify" vertical="top" wrapText="1"/>
    </xf>
    <xf numFmtId="0" fontId="12" fillId="0" borderId="13" xfId="0" applyFont="1" applyBorder="1" applyAlignment="1">
      <alignment horizontal="left" vertical="top" wrapText="1"/>
    </xf>
    <xf numFmtId="0" fontId="12" fillId="0" borderId="12" xfId="0" applyFont="1" applyBorder="1" applyAlignment="1">
      <alignment horizontal="justify" vertical="top" wrapText="1"/>
    </xf>
    <xf numFmtId="3" fontId="12" fillId="0" borderId="12" xfId="0" applyNumberFormat="1" applyFont="1" applyBorder="1" applyAlignment="1">
      <alignment vertical="center" wrapText="1"/>
    </xf>
    <xf numFmtId="3" fontId="24" fillId="3" borderId="1" xfId="0" applyNumberFormat="1" applyFont="1" applyFill="1" applyBorder="1" applyAlignment="1">
      <alignment vertical="center" wrapText="1"/>
    </xf>
    <xf numFmtId="0" fontId="12" fillId="0" borderId="11" xfId="0" quotePrefix="1" applyFont="1" applyBorder="1" applyAlignment="1">
      <alignment horizontal="justify" vertical="top" wrapText="1"/>
    </xf>
    <xf numFmtId="3" fontId="12" fillId="0" borderId="45" xfId="0" applyNumberFormat="1" applyFont="1" applyBorder="1" applyAlignment="1">
      <alignment horizontal="right" vertical="top" wrapText="1"/>
    </xf>
    <xf numFmtId="0" fontId="12" fillId="0" borderId="12" xfId="0" quotePrefix="1" applyFont="1" applyBorder="1" applyAlignment="1">
      <alignment horizontal="justify" vertical="top" wrapText="1"/>
    </xf>
    <xf numFmtId="3" fontId="12" fillId="0" borderId="38" xfId="0" applyNumberFormat="1" applyFont="1" applyBorder="1" applyAlignment="1">
      <alignment horizontal="right" vertical="top" wrapText="1"/>
    </xf>
    <xf numFmtId="14" fontId="24" fillId="3" borderId="28" xfId="0" applyNumberFormat="1" applyFont="1" applyFill="1" applyBorder="1" applyAlignment="1">
      <alignment horizontal="center" vertical="center" wrapText="1"/>
    </xf>
    <xf numFmtId="0" fontId="8" fillId="3" borderId="1" xfId="0" applyFont="1" applyFill="1" applyBorder="1" applyAlignment="1">
      <alignment horizontal="center"/>
    </xf>
    <xf numFmtId="3" fontId="8" fillId="3" borderId="1" xfId="0" applyNumberFormat="1" applyFont="1" applyFill="1" applyBorder="1" applyAlignment="1">
      <alignment horizontal="right"/>
    </xf>
    <xf numFmtId="3" fontId="21" fillId="0" borderId="0" xfId="0" applyNumberFormat="1" applyFont="1" applyAlignment="1">
      <alignment horizontal="center"/>
    </xf>
    <xf numFmtId="4" fontId="0" fillId="0" borderId="0" xfId="0" applyNumberFormat="1" applyFont="1"/>
    <xf numFmtId="0" fontId="8" fillId="3" borderId="1" xfId="0" applyFont="1" applyFill="1" applyBorder="1" applyAlignment="1">
      <alignment horizontal="center" vertical="center"/>
    </xf>
    <xf numFmtId="0" fontId="12" fillId="0" borderId="11" xfId="0" applyFont="1" applyBorder="1"/>
    <xf numFmtId="3" fontId="12" fillId="0" borderId="13" xfId="0" applyNumberFormat="1" applyFont="1" applyBorder="1"/>
    <xf numFmtId="0" fontId="12" fillId="0" borderId="13" xfId="0" applyFont="1" applyBorder="1"/>
    <xf numFmtId="0" fontId="14" fillId="0" borderId="0" xfId="0" applyFont="1" applyAlignment="1"/>
    <xf numFmtId="0" fontId="9" fillId="0" borderId="28" xfId="0" applyFont="1" applyBorder="1"/>
    <xf numFmtId="0" fontId="40" fillId="3" borderId="28" xfId="0" applyFont="1" applyFill="1" applyBorder="1" applyAlignment="1">
      <alignment horizontal="center" vertical="center"/>
    </xf>
    <xf numFmtId="3" fontId="40" fillId="3" borderId="28" xfId="0" applyNumberFormat="1" applyFont="1" applyFill="1" applyBorder="1" applyAlignment="1">
      <alignment horizontal="right" vertical="center"/>
    </xf>
    <xf numFmtId="0" fontId="9" fillId="0" borderId="51" xfId="0" applyFont="1" applyBorder="1"/>
    <xf numFmtId="3" fontId="9" fillId="0" borderId="39" xfId="0" applyNumberFormat="1" applyFont="1" applyBorder="1"/>
    <xf numFmtId="0" fontId="9" fillId="0" borderId="41" xfId="0" applyFont="1" applyBorder="1"/>
    <xf numFmtId="3" fontId="9" fillId="0" borderId="38" xfId="0" applyNumberFormat="1" applyFont="1" applyBorder="1"/>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3" fontId="0" fillId="0" borderId="0" xfId="0" applyNumberFormat="1" applyFill="1" applyBorder="1"/>
    <xf numFmtId="0" fontId="24" fillId="3" borderId="28" xfId="0" applyFont="1" applyFill="1" applyBorder="1" applyAlignment="1">
      <alignment horizontal="center" vertical="top" wrapText="1"/>
    </xf>
    <xf numFmtId="0" fontId="24" fillId="0" borderId="0" xfId="0" applyFont="1" applyFill="1" applyBorder="1" applyAlignment="1">
      <alignment horizontal="center" vertical="top" wrapText="1"/>
    </xf>
    <xf numFmtId="3" fontId="24" fillId="0" borderId="0" xfId="0" applyNumberFormat="1" applyFont="1" applyFill="1" applyBorder="1" applyAlignment="1">
      <alignment horizontal="right" vertical="top" wrapText="1"/>
    </xf>
    <xf numFmtId="3" fontId="12" fillId="0" borderId="28" xfId="0" applyNumberFormat="1" applyFont="1" applyBorder="1" applyAlignment="1">
      <alignment horizontal="right" vertical="top" wrapText="1"/>
    </xf>
    <xf numFmtId="0" fontId="9" fillId="0" borderId="45" xfId="0" applyFont="1" applyBorder="1"/>
    <xf numFmtId="3" fontId="9" fillId="0" borderId="45" xfId="0" applyNumberFormat="1" applyFont="1" applyBorder="1"/>
    <xf numFmtId="0" fontId="9" fillId="0" borderId="38" xfId="0" applyFont="1" applyBorder="1"/>
    <xf numFmtId="0" fontId="8" fillId="3" borderId="28" xfId="0" applyFont="1" applyFill="1" applyBorder="1" applyAlignment="1">
      <alignment horizontal="center"/>
    </xf>
    <xf numFmtId="3" fontId="8" fillId="3" borderId="28" xfId="0" applyNumberFormat="1" applyFont="1" applyFill="1" applyBorder="1" applyAlignment="1">
      <alignment horizontal="right"/>
    </xf>
    <xf numFmtId="3" fontId="0" fillId="0" borderId="0" xfId="0" applyNumberFormat="1" applyFill="1"/>
    <xf numFmtId="172" fontId="46" fillId="0" borderId="0" xfId="0" applyNumberFormat="1" applyFont="1"/>
    <xf numFmtId="172" fontId="4" fillId="0" borderId="0" xfId="0" applyNumberFormat="1" applyFont="1"/>
    <xf numFmtId="172" fontId="3" fillId="0" borderId="0" xfId="0" applyNumberFormat="1" applyFont="1"/>
    <xf numFmtId="172" fontId="52" fillId="0" borderId="0" xfId="0" applyNumberFormat="1" applyFont="1" applyAlignment="1">
      <alignment horizontal="center"/>
    </xf>
    <xf numFmtId="172" fontId="46" fillId="0" borderId="0" xfId="0" applyNumberFormat="1" applyFont="1" applyAlignment="1">
      <alignment horizontal="center"/>
    </xf>
    <xf numFmtId="172" fontId="19" fillId="0" borderId="0" xfId="0" applyNumberFormat="1" applyFont="1" applyAlignment="1">
      <alignment horizontal="left"/>
    </xf>
    <xf numFmtId="0" fontId="0" fillId="0" borderId="1" xfId="0" applyFont="1" applyFill="1" applyBorder="1"/>
    <xf numFmtId="3" fontId="9" fillId="0" borderId="1" xfId="0" applyNumberFormat="1" applyFont="1" applyFill="1" applyBorder="1"/>
    <xf numFmtId="0" fontId="0" fillId="0" borderId="1" xfId="0" applyFill="1" applyBorder="1"/>
    <xf numFmtId="3" fontId="9" fillId="0" borderId="4" xfId="0" applyNumberFormat="1" applyFont="1" applyFill="1" applyBorder="1"/>
    <xf numFmtId="172" fontId="0" fillId="0" borderId="0" xfId="0" applyNumberFormat="1" applyFill="1"/>
    <xf numFmtId="172" fontId="51" fillId="0" borderId="0" xfId="0" applyNumberFormat="1" applyFont="1"/>
    <xf numFmtId="172" fontId="0" fillId="0" borderId="0" xfId="0" applyNumberFormat="1" applyFont="1"/>
    <xf numFmtId="172" fontId="44" fillId="3" borderId="28" xfId="0" applyNumberFormat="1" applyFont="1" applyFill="1" applyBorder="1" applyAlignment="1">
      <alignment horizontal="right" vertical="top" wrapText="1"/>
    </xf>
    <xf numFmtId="172" fontId="44" fillId="0" borderId="0" xfId="0" applyNumberFormat="1" applyFont="1" applyFill="1" applyBorder="1" applyAlignment="1">
      <alignment horizontal="right" vertical="top" wrapText="1"/>
    </xf>
    <xf numFmtId="172" fontId="44" fillId="0" borderId="0" xfId="0" applyNumberFormat="1" applyFont="1" applyFill="1" applyBorder="1" applyAlignment="1">
      <alignment vertical="top" wrapText="1"/>
    </xf>
    <xf numFmtId="172" fontId="7" fillId="0" borderId="0" xfId="0" applyNumberFormat="1" applyFont="1" applyBorder="1" applyAlignment="1">
      <alignment vertical="top" wrapText="1"/>
    </xf>
    <xf numFmtId="172" fontId="24" fillId="3" borderId="1" xfId="0" applyNumberFormat="1" applyFont="1" applyFill="1" applyBorder="1" applyAlignment="1">
      <alignment horizontal="center" vertical="center" wrapText="1"/>
    </xf>
    <xf numFmtId="172" fontId="49" fillId="0" borderId="0" xfId="0" applyNumberFormat="1" applyFont="1"/>
    <xf numFmtId="172" fontId="47" fillId="0" borderId="0" xfId="0" applyNumberFormat="1" applyFont="1" applyAlignment="1">
      <alignment vertical="center"/>
    </xf>
    <xf numFmtId="172" fontId="24" fillId="3" borderId="49" xfId="0" applyNumberFormat="1" applyFont="1" applyFill="1" applyBorder="1" applyAlignment="1">
      <alignment horizontal="center" vertical="center" wrapText="1"/>
    </xf>
    <xf numFmtId="172" fontId="49" fillId="0" borderId="0" xfId="0" applyNumberFormat="1" applyFont="1" applyAlignment="1">
      <alignment vertical="center"/>
    </xf>
    <xf numFmtId="172" fontId="17" fillId="3" borderId="28" xfId="0" applyNumberFormat="1" applyFont="1" applyFill="1" applyBorder="1" applyAlignment="1">
      <alignment horizontal="center" vertical="center" wrapText="1"/>
    </xf>
    <xf numFmtId="172" fontId="0" fillId="0" borderId="0" xfId="0" applyNumberFormat="1" applyFont="1" applyBorder="1"/>
    <xf numFmtId="172" fontId="7" fillId="0" borderId="39" xfId="0" applyNumberFormat="1" applyFont="1" applyFill="1" applyBorder="1" applyAlignment="1">
      <alignment horizontal="right" vertical="top" wrapText="1"/>
    </xf>
    <xf numFmtId="172" fontId="7" fillId="0" borderId="0" xfId="1" applyNumberFormat="1" applyFont="1" applyBorder="1" applyAlignment="1">
      <alignment horizontal="right" vertical="top" wrapText="1"/>
    </xf>
    <xf numFmtId="172" fontId="0" fillId="0" borderId="46" xfId="0" applyNumberFormat="1" applyFont="1" applyBorder="1"/>
    <xf numFmtId="172" fontId="17" fillId="3" borderId="28" xfId="3" applyNumberFormat="1" applyFont="1" applyFill="1" applyBorder="1" applyAlignment="1">
      <alignment vertical="top" wrapText="1"/>
    </xf>
    <xf numFmtId="172" fontId="7" fillId="4" borderId="13" xfId="3" applyNumberFormat="1" applyFont="1" applyFill="1" applyBorder="1" applyAlignment="1">
      <alignment vertical="top" wrapText="1"/>
    </xf>
    <xf numFmtId="172" fontId="17" fillId="3" borderId="1" xfId="3" applyNumberFormat="1" applyFont="1" applyFill="1" applyBorder="1" applyAlignment="1">
      <alignment vertical="top" wrapText="1"/>
    </xf>
    <xf numFmtId="172" fontId="7" fillId="4" borderId="46" xfId="3" applyNumberFormat="1" applyFont="1" applyFill="1" applyBorder="1" applyAlignment="1">
      <alignment horizontal="center" vertical="top" wrapText="1"/>
    </xf>
    <xf numFmtId="172" fontId="7" fillId="0" borderId="40" xfId="2" applyNumberFormat="1" applyFont="1" applyBorder="1" applyAlignment="1">
      <alignment horizontal="center" vertical="center" wrapText="1"/>
    </xf>
    <xf numFmtId="172" fontId="7" fillId="4" borderId="40" xfId="3" applyNumberFormat="1" applyFont="1" applyFill="1" applyBorder="1" applyAlignment="1">
      <alignment horizontal="center" vertical="center" wrapText="1"/>
    </xf>
    <xf numFmtId="172" fontId="7" fillId="3" borderId="28" xfId="2" applyNumberFormat="1" applyFont="1" applyFill="1" applyBorder="1" applyAlignment="1">
      <alignment horizontal="center" vertical="top" wrapText="1"/>
    </xf>
    <xf numFmtId="172" fontId="17" fillId="3" borderId="6" xfId="2" applyNumberFormat="1" applyFont="1" applyFill="1" applyBorder="1" applyAlignment="1">
      <alignment vertical="top" wrapText="1"/>
    </xf>
    <xf numFmtId="172" fontId="17" fillId="3" borderId="15" xfId="0" applyNumberFormat="1" applyFont="1" applyFill="1" applyBorder="1" applyAlignment="1">
      <alignment horizontal="center" vertical="center" wrapText="1"/>
    </xf>
    <xf numFmtId="172" fontId="17" fillId="3" borderId="1" xfId="0" applyNumberFormat="1" applyFont="1" applyFill="1" applyBorder="1" applyAlignment="1">
      <alignment horizontal="center" vertical="center" wrapText="1"/>
    </xf>
    <xf numFmtId="172" fontId="7" fillId="0" borderId="17" xfId="0" applyNumberFormat="1" applyFont="1" applyBorder="1" applyAlignment="1">
      <alignment horizontal="justify" vertical="top" wrapText="1"/>
    </xf>
    <xf numFmtId="172" fontId="7" fillId="0" borderId="18" xfId="0" applyNumberFormat="1" applyFont="1" applyBorder="1" applyAlignment="1">
      <alignment horizontal="justify" vertical="top" wrapText="1"/>
    </xf>
    <xf numFmtId="172" fontId="7" fillId="0" borderId="20" xfId="0" applyNumberFormat="1" applyFont="1" applyBorder="1" applyAlignment="1">
      <alignment horizontal="justify" vertical="top" wrapText="1"/>
    </xf>
    <xf numFmtId="172" fontId="7" fillId="0" borderId="21" xfId="0" applyNumberFormat="1" applyFont="1" applyBorder="1" applyAlignment="1">
      <alignment horizontal="justify" vertical="top" wrapText="1"/>
    </xf>
    <xf numFmtId="172" fontId="7" fillId="0" borderId="23" xfId="0" applyNumberFormat="1" applyFont="1" applyBorder="1" applyAlignment="1">
      <alignment horizontal="justify" vertical="top" wrapText="1"/>
    </xf>
    <xf numFmtId="172" fontId="7" fillId="0" borderId="24" xfId="0" applyNumberFormat="1" applyFont="1" applyBorder="1" applyAlignment="1">
      <alignment horizontal="justify" vertical="top" wrapText="1"/>
    </xf>
    <xf numFmtId="172" fontId="0" fillId="0" borderId="0" xfId="0" applyNumberFormat="1" applyFont="1" applyFill="1"/>
    <xf numFmtId="172" fontId="17" fillId="0" borderId="0" xfId="0" applyNumberFormat="1" applyFont="1" applyAlignment="1">
      <alignment horizontal="center"/>
    </xf>
    <xf numFmtId="172" fontId="0" fillId="8" borderId="0" xfId="0" applyNumberFormat="1" applyFont="1" applyFill="1"/>
    <xf numFmtId="172" fontId="17" fillId="0" borderId="0" xfId="0" applyNumberFormat="1" applyFont="1" applyAlignment="1">
      <alignment horizontal="left"/>
    </xf>
    <xf numFmtId="172" fontId="7" fillId="0" borderId="0" xfId="0" applyNumberFormat="1" applyFont="1"/>
    <xf numFmtId="172" fontId="7" fillId="0" borderId="0" xfId="0" applyNumberFormat="1" applyFont="1" applyAlignment="1">
      <alignment horizontal="left"/>
    </xf>
    <xf numFmtId="172" fontId="27" fillId="5" borderId="1" xfId="0" applyNumberFormat="1" applyFont="1" applyFill="1" applyBorder="1" applyAlignment="1">
      <alignment horizontal="center" vertical="center" wrapText="1"/>
    </xf>
    <xf numFmtId="172" fontId="7" fillId="0" borderId="0" xfId="3" applyNumberFormat="1" applyFont="1" applyBorder="1" applyAlignment="1">
      <alignment horizontal="justify" vertical="top" wrapText="1"/>
    </xf>
    <xf numFmtId="172" fontId="17" fillId="0" borderId="0" xfId="3" applyNumberFormat="1" applyFont="1" applyBorder="1" applyAlignment="1">
      <alignment horizontal="right" vertical="top" wrapText="1"/>
    </xf>
    <xf numFmtId="172" fontId="7" fillId="8" borderId="0" xfId="3" applyNumberFormat="1" applyFont="1" applyFill="1" applyBorder="1" applyAlignment="1">
      <alignment horizontal="justify" vertical="top" wrapText="1"/>
    </xf>
    <xf numFmtId="172" fontId="17" fillId="8" borderId="0" xfId="3" applyNumberFormat="1" applyFont="1" applyFill="1" applyBorder="1" applyAlignment="1">
      <alignment horizontal="right" vertical="top" wrapText="1"/>
    </xf>
    <xf numFmtId="172" fontId="29" fillId="0" borderId="0" xfId="0" applyNumberFormat="1" applyFont="1" applyAlignment="1">
      <alignment horizontal="left"/>
    </xf>
    <xf numFmtId="172" fontId="30" fillId="0" borderId="0" xfId="0" applyNumberFormat="1" applyFont="1"/>
    <xf numFmtId="172" fontId="12" fillId="4" borderId="1" xfId="0" applyNumberFormat="1" applyFont="1" applyFill="1" applyBorder="1" applyAlignment="1">
      <alignment horizontal="right" vertical="top" wrapText="1"/>
    </xf>
    <xf numFmtId="172" fontId="21" fillId="4" borderId="0" xfId="0" applyNumberFormat="1" applyFont="1" applyFill="1" applyBorder="1" applyAlignment="1">
      <alignment horizontal="justify" vertical="top" wrapText="1"/>
    </xf>
    <xf numFmtId="172" fontId="23" fillId="0" borderId="0" xfId="0" applyNumberFormat="1" applyFont="1" applyBorder="1" applyAlignment="1">
      <alignment horizontal="right" vertical="top" wrapText="1"/>
    </xf>
    <xf numFmtId="172" fontId="12" fillId="0" borderId="13" xfId="0" applyNumberFormat="1" applyFont="1" applyBorder="1" applyAlignment="1">
      <alignment vertical="center" wrapText="1"/>
    </xf>
    <xf numFmtId="172" fontId="29" fillId="0" borderId="0" xfId="0" applyNumberFormat="1" applyFont="1" applyBorder="1" applyAlignment="1">
      <alignment horizontal="justify" vertical="top" wrapText="1"/>
    </xf>
    <xf numFmtId="172" fontId="12" fillId="0" borderId="45" xfId="0" applyNumberFormat="1" applyFont="1" applyBorder="1" applyAlignment="1">
      <alignment horizontal="right" vertical="top" wrapText="1"/>
    </xf>
    <xf numFmtId="172" fontId="12" fillId="0" borderId="38" xfId="0" applyNumberFormat="1" applyFont="1" applyBorder="1" applyAlignment="1">
      <alignment horizontal="right" vertical="top" wrapText="1"/>
    </xf>
    <xf numFmtId="172" fontId="30" fillId="0" borderId="0" xfId="0" applyNumberFormat="1" applyFont="1" applyBorder="1" applyAlignment="1">
      <alignment horizontal="justify" vertical="top" wrapText="1"/>
    </xf>
    <xf numFmtId="172" fontId="21" fillId="0" borderId="0" xfId="0" applyNumberFormat="1" applyFont="1" applyBorder="1" applyAlignment="1">
      <alignment horizontal="justify" vertical="top" wrapText="1"/>
    </xf>
    <xf numFmtId="172" fontId="19" fillId="0" borderId="0" xfId="0" applyNumberFormat="1" applyFont="1" applyAlignment="1">
      <alignment horizontal="center"/>
    </xf>
    <xf numFmtId="172" fontId="0" fillId="0" borderId="0" xfId="0" applyNumberFormat="1" applyFont="1" applyFill="1" applyBorder="1"/>
    <xf numFmtId="172" fontId="0" fillId="0" borderId="0" xfId="0" applyNumberFormat="1" applyFill="1" applyBorder="1"/>
    <xf numFmtId="0" fontId="6" fillId="0" borderId="4" xfId="0" applyFont="1" applyFill="1" applyBorder="1"/>
    <xf numFmtId="3" fontId="8" fillId="0" borderId="4" xfId="0" applyNumberFormat="1" applyFont="1" applyFill="1" applyBorder="1"/>
    <xf numFmtId="0" fontId="6" fillId="0" borderId="1" xfId="0" applyFont="1" applyFill="1" applyBorder="1"/>
    <xf numFmtId="3" fontId="8" fillId="0" borderId="1" xfId="0" applyNumberFormat="1" applyFont="1" applyFill="1" applyBorder="1"/>
    <xf numFmtId="0" fontId="0" fillId="0" borderId="1" xfId="0" applyFont="1" applyFill="1" applyBorder="1" applyAlignment="1">
      <alignment horizontal="left" vertical="center" wrapText="1"/>
    </xf>
    <xf numFmtId="3" fontId="8" fillId="0" borderId="28" xfId="0" applyNumberFormat="1" applyFont="1" applyFill="1" applyBorder="1"/>
    <xf numFmtId="3" fontId="0" fillId="0" borderId="1" xfId="0" applyNumberFormat="1" applyFont="1" applyBorder="1" applyAlignment="1">
      <alignment horizontal="right"/>
    </xf>
    <xf numFmtId="3" fontId="6" fillId="3" borderId="28" xfId="0" applyNumberFormat="1" applyFont="1" applyFill="1" applyBorder="1" applyAlignment="1">
      <alignment horizontal="right" vertical="center"/>
    </xf>
    <xf numFmtId="3" fontId="0" fillId="0" borderId="1" xfId="0" quotePrefix="1" applyNumberFormat="1" applyFont="1" applyBorder="1" applyAlignment="1">
      <alignment horizontal="right"/>
    </xf>
    <xf numFmtId="0" fontId="7" fillId="0" borderId="35" xfId="4" applyFont="1" applyBorder="1" applyAlignment="1">
      <alignment horizontal="left" vertical="center" wrapText="1"/>
    </xf>
    <xf numFmtId="14" fontId="17" fillId="7" borderId="28" xfId="4" applyNumberFormat="1" applyFont="1" applyFill="1" applyBorder="1" applyAlignment="1">
      <alignment horizontal="center" vertical="center" wrapText="1"/>
    </xf>
    <xf numFmtId="0" fontId="17" fillId="3" borderId="28" xfId="4" applyFont="1" applyFill="1" applyBorder="1" applyAlignment="1">
      <alignment horizontal="center" vertical="center" wrapText="1"/>
    </xf>
    <xf numFmtId="0" fontId="7" fillId="0" borderId="36" xfId="4" applyFont="1" applyBorder="1" applyAlignment="1">
      <alignment horizontal="left" vertical="center" wrapText="1"/>
    </xf>
    <xf numFmtId="0" fontId="59" fillId="3" borderId="28" xfId="0" applyFont="1" applyFill="1" applyBorder="1" applyAlignment="1">
      <alignment horizontal="center" vertical="top" wrapText="1"/>
    </xf>
    <xf numFmtId="4" fontId="59" fillId="3" borderId="28" xfId="0" applyNumberFormat="1" applyFont="1" applyFill="1" applyBorder="1" applyAlignment="1">
      <alignment horizontal="right" vertical="top" wrapText="1"/>
    </xf>
    <xf numFmtId="173" fontId="59" fillId="3" borderId="28" xfId="0" applyNumberFormat="1" applyFont="1" applyFill="1" applyBorder="1" applyAlignment="1">
      <alignment horizontal="right" vertical="top" wrapText="1"/>
    </xf>
    <xf numFmtId="0" fontId="58" fillId="0" borderId="11" xfId="0" applyFont="1" applyBorder="1" applyAlignment="1">
      <alignment horizontal="justify" vertical="top" wrapText="1"/>
    </xf>
    <xf numFmtId="0" fontId="24" fillId="0" borderId="11" xfId="0" applyFont="1" applyBorder="1" applyAlignment="1">
      <alignment horizontal="center" vertical="top" wrapText="1"/>
    </xf>
    <xf numFmtId="0" fontId="12" fillId="0" borderId="11" xfId="0" applyFont="1" applyBorder="1" applyAlignment="1">
      <alignment horizontal="right" vertical="top" wrapText="1"/>
    </xf>
    <xf numFmtId="172" fontId="12" fillId="0" borderId="11" xfId="0" applyNumberFormat="1" applyFont="1" applyBorder="1" applyAlignment="1">
      <alignment horizontal="right" vertical="top" wrapText="1"/>
    </xf>
    <xf numFmtId="172" fontId="12" fillId="0" borderId="11" xfId="0" applyNumberFormat="1" applyFont="1" applyBorder="1" applyAlignment="1">
      <alignment vertical="top" wrapText="1"/>
    </xf>
    <xf numFmtId="0" fontId="12" fillId="0" borderId="39" xfId="0" applyFont="1" applyBorder="1" applyAlignment="1">
      <alignment horizontal="justify" vertical="top" wrapText="1"/>
    </xf>
    <xf numFmtId="0" fontId="12" fillId="0" borderId="39" xfId="0" applyFont="1" applyBorder="1" applyAlignment="1">
      <alignment horizontal="center" vertical="top" wrapText="1"/>
    </xf>
    <xf numFmtId="4" fontId="12" fillId="0" borderId="39" xfId="1" applyNumberFormat="1" applyFont="1" applyBorder="1" applyAlignment="1">
      <alignment horizontal="right" vertical="top" wrapText="1"/>
    </xf>
    <xf numFmtId="173" fontId="12" fillId="0" borderId="39" xfId="0" applyNumberFormat="1" applyFont="1" applyBorder="1" applyAlignment="1">
      <alignment horizontal="right" vertical="top" wrapText="1"/>
    </xf>
    <xf numFmtId="0" fontId="59" fillId="3" borderId="47" xfId="0" applyFont="1" applyFill="1" applyBorder="1" applyAlignment="1">
      <alignment horizontal="center" vertical="top" wrapText="1"/>
    </xf>
    <xf numFmtId="4" fontId="26" fillId="0" borderId="14" xfId="0" applyNumberFormat="1" applyFont="1" applyBorder="1" applyAlignment="1">
      <alignment horizontal="right" vertical="center" wrapText="1"/>
    </xf>
    <xf numFmtId="3" fontId="26" fillId="0" borderId="14" xfId="0" applyNumberFormat="1" applyFont="1" applyBorder="1" applyAlignment="1">
      <alignment horizontal="right" vertical="center" wrapText="1"/>
    </xf>
    <xf numFmtId="4" fontId="26" fillId="0" borderId="12" xfId="0" applyNumberFormat="1" applyFont="1" applyBorder="1" applyAlignment="1">
      <alignment horizontal="right" vertical="center" wrapText="1"/>
    </xf>
    <xf numFmtId="3" fontId="26" fillId="0" borderId="12" xfId="0" applyNumberFormat="1" applyFont="1" applyBorder="1" applyAlignment="1">
      <alignment horizontal="right" vertical="center" wrapText="1"/>
    </xf>
    <xf numFmtId="0" fontId="35" fillId="3" borderId="28" xfId="0" applyFont="1" applyFill="1" applyBorder="1" applyAlignment="1">
      <alignment horizontal="center" vertical="center" wrapText="1"/>
    </xf>
    <xf numFmtId="172" fontId="35" fillId="3" borderId="28" xfId="0" applyNumberFormat="1" applyFont="1" applyFill="1" applyBorder="1" applyAlignment="1">
      <alignment horizontal="center" vertical="center" wrapText="1"/>
    </xf>
    <xf numFmtId="0" fontId="60" fillId="0" borderId="2" xfId="0" applyFont="1" applyBorder="1" applyAlignment="1">
      <alignment horizontal="left" vertical="top" wrapText="1"/>
    </xf>
    <xf numFmtId="167" fontId="60" fillId="4" borderId="2" xfId="3" applyNumberFormat="1" applyFont="1" applyFill="1" applyBorder="1" applyAlignment="1">
      <alignment horizontal="center" vertical="top" wrapText="1"/>
    </xf>
    <xf numFmtId="172" fontId="60" fillId="4" borderId="2" xfId="3" applyNumberFormat="1" applyFont="1" applyFill="1" applyBorder="1" applyAlignment="1">
      <alignment horizontal="center" vertical="top" wrapText="1"/>
    </xf>
    <xf numFmtId="0" fontId="35" fillId="3" borderId="28" xfId="0" applyFont="1" applyFill="1" applyBorder="1" applyAlignment="1">
      <alignment horizontal="left" vertical="top" wrapText="1"/>
    </xf>
    <xf numFmtId="167" fontId="35" fillId="3" borderId="28" xfId="3" applyNumberFormat="1" applyFont="1" applyFill="1" applyBorder="1" applyAlignment="1">
      <alignment horizontal="center" vertical="top" wrapText="1"/>
    </xf>
    <xf numFmtId="172" fontId="35" fillId="3" borderId="28" xfId="3" applyNumberFormat="1" applyFont="1" applyFill="1" applyBorder="1" applyAlignment="1">
      <alignment horizontal="center" vertical="top" wrapText="1"/>
    </xf>
    <xf numFmtId="0" fontId="8" fillId="3" borderId="28" xfId="0" applyFont="1" applyFill="1" applyBorder="1" applyAlignment="1">
      <alignment horizontal="center" vertical="center" wrapText="1"/>
    </xf>
    <xf numFmtId="172" fontId="8" fillId="3" borderId="28" xfId="0" applyNumberFormat="1" applyFont="1" applyFill="1" applyBorder="1" applyAlignment="1">
      <alignment horizontal="center" vertical="center" wrapText="1"/>
    </xf>
    <xf numFmtId="172" fontId="8" fillId="3" borderId="28" xfId="0" applyNumberFormat="1" applyFont="1" applyFill="1" applyBorder="1" applyAlignment="1">
      <alignment horizontal="right"/>
    </xf>
    <xf numFmtId="3" fontId="24" fillId="3" borderId="1" xfId="0" applyNumberFormat="1" applyFont="1" applyFill="1" applyBorder="1" applyAlignment="1">
      <alignment horizontal="right" vertical="center" wrapText="1"/>
    </xf>
    <xf numFmtId="3" fontId="12" fillId="3" borderId="1" xfId="0" applyNumberFormat="1" applyFont="1" applyFill="1" applyBorder="1" applyAlignment="1">
      <alignment horizontal="right" vertical="center" wrapText="1"/>
    </xf>
    <xf numFmtId="172" fontId="12" fillId="3" borderId="1" xfId="3" applyNumberFormat="1" applyFont="1" applyFill="1" applyBorder="1" applyAlignment="1">
      <alignment horizontal="right" vertical="center" wrapText="1"/>
    </xf>
    <xf numFmtId="172" fontId="24" fillId="3" borderId="1" xfId="0" applyNumberFormat="1" applyFont="1" applyFill="1" applyBorder="1" applyAlignment="1">
      <alignment horizontal="right" vertical="center" wrapText="1"/>
    </xf>
    <xf numFmtId="14" fontId="8" fillId="9" borderId="28"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3" fontId="12" fillId="0" borderId="14" xfId="0" applyNumberFormat="1" applyFont="1" applyBorder="1" applyAlignment="1">
      <alignment horizontal="right" vertical="center" wrapText="1"/>
    </xf>
    <xf numFmtId="0" fontId="24" fillId="3" borderId="5" xfId="0" applyFont="1" applyFill="1" applyBorder="1" applyAlignment="1">
      <alignment vertical="top" wrapText="1"/>
    </xf>
    <xf numFmtId="0" fontId="26" fillId="4" borderId="11" xfId="0" applyFont="1" applyFill="1" applyBorder="1" applyAlignment="1">
      <alignment horizontal="center" vertical="top" wrapText="1"/>
    </xf>
    <xf numFmtId="0" fontId="24" fillId="0" borderId="0" xfId="0" applyFont="1" applyFill="1" applyBorder="1" applyAlignment="1">
      <alignment horizontal="left" vertical="top" wrapText="1"/>
    </xf>
    <xf numFmtId="172" fontId="17" fillId="0" borderId="0" xfId="0" applyNumberFormat="1" applyFont="1" applyFill="1" applyAlignment="1">
      <alignment horizontal="left"/>
    </xf>
    <xf numFmtId="3" fontId="17" fillId="0" borderId="0" xfId="0" applyNumberFormat="1" applyFont="1" applyFill="1" applyAlignment="1">
      <alignment horizontal="left"/>
    </xf>
    <xf numFmtId="172" fontId="24" fillId="3" borderId="28" xfId="4" applyNumberFormat="1" applyFont="1" applyFill="1" applyBorder="1" applyAlignment="1">
      <alignment horizontal="right" vertical="center" wrapText="1"/>
    </xf>
    <xf numFmtId="3" fontId="6" fillId="0" borderId="3" xfId="0" applyNumberFormat="1" applyFont="1" applyFill="1" applyBorder="1"/>
    <xf numFmtId="0" fontId="17" fillId="7" borderId="28" xfId="4" applyFont="1" applyFill="1" applyBorder="1" applyAlignment="1">
      <alignment horizontal="center" vertical="center" wrapText="1"/>
    </xf>
    <xf numFmtId="3" fontId="9" fillId="8" borderId="1" xfId="0" applyNumberFormat="1" applyFont="1" applyFill="1" applyBorder="1"/>
    <xf numFmtId="173" fontId="17" fillId="3" borderId="28" xfId="0" applyNumberFormat="1" applyFont="1" applyFill="1" applyBorder="1" applyAlignment="1">
      <alignment horizontal="right" vertical="top" wrapText="1"/>
    </xf>
    <xf numFmtId="3" fontId="0" fillId="8" borderId="3" xfId="0" applyNumberFormat="1" applyFont="1" applyFill="1" applyBorder="1"/>
    <xf numFmtId="3" fontId="8" fillId="8" borderId="4" xfId="0" applyNumberFormat="1" applyFont="1" applyFill="1" applyBorder="1"/>
    <xf numFmtId="3" fontId="8" fillId="8" borderId="1" xfId="0" applyNumberFormat="1" applyFont="1" applyFill="1" applyBorder="1"/>
    <xf numFmtId="3" fontId="62" fillId="0" borderId="0" xfId="0" applyNumberFormat="1" applyFont="1" applyBorder="1"/>
    <xf numFmtId="0" fontId="62" fillId="0" borderId="0" xfId="0" applyFont="1" applyBorder="1"/>
    <xf numFmtId="3" fontId="63" fillId="0" borderId="0" xfId="0" applyNumberFormat="1" applyFont="1" applyBorder="1" applyAlignment="1">
      <alignment horizontal="right"/>
    </xf>
    <xf numFmtId="3" fontId="62" fillId="8" borderId="0" xfId="0" applyNumberFormat="1" applyFont="1" applyFill="1"/>
    <xf numFmtId="0" fontId="62" fillId="8" borderId="0" xfId="0" applyFont="1" applyFill="1"/>
    <xf numFmtId="3" fontId="64" fillId="8" borderId="0" xfId="0" applyNumberFormat="1" applyFont="1" applyFill="1" applyAlignment="1">
      <alignment horizontal="left"/>
    </xf>
    <xf numFmtId="3" fontId="65" fillId="8" borderId="0" xfId="0" applyNumberFormat="1" applyFont="1" applyFill="1" applyAlignment="1">
      <alignment horizontal="center"/>
    </xf>
    <xf numFmtId="0" fontId="66" fillId="8" borderId="0" xfId="0" applyFont="1" applyFill="1"/>
    <xf numFmtId="175" fontId="62" fillId="8" borderId="0" xfId="1" applyNumberFormat="1" applyFont="1" applyFill="1"/>
    <xf numFmtId="3" fontId="0" fillId="8" borderId="1" xfId="0" applyNumberFormat="1" applyFont="1" applyFill="1" applyBorder="1"/>
    <xf numFmtId="3" fontId="0" fillId="8" borderId="1" xfId="0" applyNumberFormat="1" applyFont="1" applyFill="1" applyBorder="1" applyAlignment="1">
      <alignment horizontal="right"/>
    </xf>
    <xf numFmtId="0" fontId="24" fillId="0" borderId="28" xfId="0" applyFont="1" applyBorder="1" applyAlignment="1">
      <alignment vertical="top" wrapText="1"/>
    </xf>
    <xf numFmtId="172" fontId="24" fillId="0" borderId="28" xfId="0" applyNumberFormat="1" applyFont="1" applyBorder="1" applyAlignment="1">
      <alignment vertical="top" wrapText="1"/>
    </xf>
    <xf numFmtId="173" fontId="12" fillId="0" borderId="28" xfId="0" applyNumberFormat="1" applyFont="1" applyBorder="1" applyAlignment="1">
      <alignment horizontal="right" vertical="top" wrapText="1"/>
    </xf>
    <xf numFmtId="0" fontId="12" fillId="0" borderId="28" xfId="0" applyFont="1" applyBorder="1" applyAlignment="1">
      <alignment horizontal="center" vertical="center" wrapText="1"/>
    </xf>
    <xf numFmtId="172" fontId="12" fillId="0" borderId="28" xfId="0" applyNumberFormat="1" applyFont="1" applyBorder="1" applyAlignment="1">
      <alignment vertical="top" wrapText="1"/>
    </xf>
    <xf numFmtId="173" fontId="12" fillId="0" borderId="28" xfId="0" applyNumberFormat="1" applyFont="1" applyBorder="1" applyAlignment="1">
      <alignment vertical="top" wrapText="1"/>
    </xf>
    <xf numFmtId="172" fontId="12" fillId="0" borderId="28" xfId="0" applyNumberFormat="1" applyFont="1" applyBorder="1" applyAlignment="1">
      <alignment horizontal="right" vertical="top" wrapText="1"/>
    </xf>
    <xf numFmtId="173" fontId="24" fillId="0" borderId="28" xfId="0" applyNumberFormat="1" applyFont="1" applyBorder="1" applyAlignment="1">
      <alignment vertical="top" wrapText="1"/>
    </xf>
    <xf numFmtId="0" fontId="24" fillId="3" borderId="52" xfId="0" applyFont="1" applyFill="1" applyBorder="1" applyAlignment="1">
      <alignment horizontal="center" vertical="center" wrapText="1"/>
    </xf>
    <xf numFmtId="0" fontId="24" fillId="3" borderId="53" xfId="0" applyFont="1" applyFill="1" applyBorder="1" applyAlignment="1">
      <alignment horizontal="center" vertical="center" wrapText="1"/>
    </xf>
    <xf numFmtId="172" fontId="24" fillId="3" borderId="53" xfId="0" applyNumberFormat="1" applyFont="1" applyFill="1" applyBorder="1" applyAlignment="1">
      <alignment horizontal="center" vertical="center" wrapText="1"/>
    </xf>
    <xf numFmtId="0" fontId="24" fillId="3" borderId="54" xfId="0" applyFont="1" applyFill="1" applyBorder="1" applyAlignment="1">
      <alignment horizontal="center" vertical="center" wrapText="1"/>
    </xf>
    <xf numFmtId="0" fontId="24" fillId="0" borderId="55" xfId="0" applyFont="1" applyBorder="1" applyAlignment="1">
      <alignment horizontal="justify" vertical="top" wrapText="1"/>
    </xf>
    <xf numFmtId="0" fontId="24" fillId="0" borderId="56" xfId="0" applyFont="1" applyBorder="1" applyAlignment="1">
      <alignment vertical="top" wrapText="1"/>
    </xf>
    <xf numFmtId="0" fontId="24" fillId="0" borderId="55" xfId="0" applyFont="1" applyBorder="1" applyAlignment="1">
      <alignment horizontal="left" vertical="top" wrapText="1"/>
    </xf>
    <xf numFmtId="0" fontId="58" fillId="0" borderId="55" xfId="0" applyFont="1" applyBorder="1" applyAlignment="1">
      <alignment horizontal="left" vertical="top" wrapText="1"/>
    </xf>
    <xf numFmtId="0" fontId="12" fillId="0" borderId="55" xfId="0" applyFont="1" applyBorder="1" applyAlignment="1">
      <alignment horizontal="justify" vertical="top" wrapText="1"/>
    </xf>
    <xf numFmtId="0" fontId="58" fillId="0" borderId="55" xfId="0" applyFont="1" applyBorder="1" applyAlignment="1">
      <alignment horizontal="justify" vertical="top" wrapText="1"/>
    </xf>
    <xf numFmtId="172" fontId="12" fillId="0" borderId="56" xfId="0" applyNumberFormat="1" applyFont="1" applyBorder="1" applyAlignment="1">
      <alignment vertical="top" wrapText="1"/>
    </xf>
    <xf numFmtId="0" fontId="59" fillId="3" borderId="57" xfId="0" applyFont="1" applyFill="1" applyBorder="1" applyAlignment="1">
      <alignment horizontal="center" vertical="top" wrapText="1"/>
    </xf>
    <xf numFmtId="0" fontId="59" fillId="3" borderId="58" xfId="0" applyFont="1" applyFill="1" applyBorder="1" applyAlignment="1">
      <alignment horizontal="center" vertical="top" wrapText="1"/>
    </xf>
    <xf numFmtId="4" fontId="59" fillId="3" borderId="58" xfId="0" applyNumberFormat="1" applyFont="1" applyFill="1" applyBorder="1" applyAlignment="1">
      <alignment horizontal="right" vertical="top" wrapText="1"/>
    </xf>
    <xf numFmtId="173" fontId="59" fillId="3" borderId="58" xfId="0" applyNumberFormat="1" applyFont="1" applyFill="1" applyBorder="1" applyAlignment="1">
      <alignment horizontal="right" vertical="top" wrapText="1"/>
    </xf>
    <xf numFmtId="172" fontId="7" fillId="8" borderId="13" xfId="2" applyNumberFormat="1" applyFont="1" applyFill="1" applyBorder="1" applyAlignment="1">
      <alignment horizontal="center" vertical="top" wrapText="1"/>
    </xf>
    <xf numFmtId="172" fontId="7" fillId="8" borderId="13" xfId="3" applyNumberFormat="1" applyFont="1" applyFill="1" applyBorder="1" applyAlignment="1">
      <alignment horizontal="right" vertical="top" wrapText="1"/>
    </xf>
    <xf numFmtId="3" fontId="7" fillId="8" borderId="13" xfId="3" applyNumberFormat="1" applyFont="1" applyFill="1" applyBorder="1" applyAlignment="1">
      <alignment horizontal="right" vertical="top" wrapText="1"/>
    </xf>
    <xf numFmtId="172" fontId="7" fillId="8" borderId="39" xfId="2" applyNumberFormat="1" applyFont="1" applyFill="1" applyBorder="1" applyAlignment="1">
      <alignment horizontal="center" vertical="top" wrapText="1"/>
    </xf>
    <xf numFmtId="172" fontId="7" fillId="8" borderId="39" xfId="3" applyNumberFormat="1" applyFont="1" applyFill="1" applyBorder="1" applyAlignment="1">
      <alignment horizontal="right" vertical="top" wrapText="1"/>
    </xf>
    <xf numFmtId="3" fontId="7" fillId="8" borderId="39" xfId="3" applyNumberFormat="1" applyFont="1" applyFill="1" applyBorder="1" applyAlignment="1">
      <alignment horizontal="right" vertical="top" wrapText="1"/>
    </xf>
    <xf numFmtId="0" fontId="7" fillId="0" borderId="9" xfId="0" applyFont="1" applyBorder="1" applyAlignment="1">
      <alignment horizontal="left" vertical="top" wrapText="1"/>
    </xf>
    <xf numFmtId="3" fontId="7" fillId="0" borderId="3" xfId="0" applyNumberFormat="1" applyFont="1" applyBorder="1" applyAlignment="1">
      <alignment horizontal="right" vertical="center" wrapText="1"/>
    </xf>
    <xf numFmtId="0" fontId="12" fillId="0" borderId="39" xfId="0" applyFont="1" applyBorder="1"/>
    <xf numFmtId="3" fontId="12" fillId="0" borderId="39" xfId="0" applyNumberFormat="1" applyFont="1" applyBorder="1"/>
    <xf numFmtId="0" fontId="12" fillId="0" borderId="13" xfId="2" applyFont="1" applyBorder="1" applyAlignment="1">
      <alignment horizontal="center" vertical="top" wrapText="1"/>
    </xf>
    <xf numFmtId="49" fontId="27" fillId="5" borderId="28" xfId="0" applyNumberFormat="1" applyFont="1" applyFill="1" applyBorder="1" applyAlignment="1">
      <alignment horizontal="center" vertical="center" wrapText="1"/>
    </xf>
    <xf numFmtId="172" fontId="27" fillId="5" borderId="28" xfId="0" applyNumberFormat="1" applyFont="1" applyFill="1" applyBorder="1" applyAlignment="1">
      <alignment horizontal="center" vertical="center" wrapText="1"/>
    </xf>
    <xf numFmtId="0" fontId="7" fillId="0" borderId="28" xfId="0" applyFont="1" applyBorder="1" applyAlignment="1">
      <alignment horizontal="center" vertical="top" wrapText="1"/>
    </xf>
    <xf numFmtId="3" fontId="7" fillId="0" borderId="28" xfId="3" applyNumberFormat="1" applyFont="1" applyBorder="1" applyAlignment="1">
      <alignment horizontal="right" vertical="center" wrapText="1"/>
    </xf>
    <xf numFmtId="172" fontId="7" fillId="0" borderId="28" xfId="3" applyNumberFormat="1" applyFont="1" applyBorder="1" applyAlignment="1">
      <alignment horizontal="right" vertical="center" wrapText="1"/>
    </xf>
    <xf numFmtId="3" fontId="17" fillId="3" borderId="28" xfId="0" applyNumberFormat="1" applyFont="1" applyFill="1" applyBorder="1" applyAlignment="1">
      <alignment horizontal="right" vertical="center" wrapText="1"/>
    </xf>
    <xf numFmtId="3" fontId="7" fillId="3" borderId="28" xfId="0" applyNumberFormat="1" applyFont="1" applyFill="1" applyBorder="1" applyAlignment="1">
      <alignment horizontal="right" vertical="center" wrapText="1"/>
    </xf>
    <xf numFmtId="172" fontId="7" fillId="3" borderId="28" xfId="3" applyNumberFormat="1" applyFont="1" applyFill="1" applyBorder="1" applyAlignment="1">
      <alignment horizontal="right" vertical="center" wrapText="1"/>
    </xf>
    <xf numFmtId="172" fontId="17" fillId="3" borderId="28" xfId="0" applyNumberFormat="1" applyFont="1" applyFill="1" applyBorder="1" applyAlignment="1">
      <alignment horizontal="right" vertical="center" wrapText="1"/>
    </xf>
    <xf numFmtId="4" fontId="7" fillId="0" borderId="28" xfId="0" applyNumberFormat="1" applyFont="1" applyBorder="1" applyAlignment="1">
      <alignment horizontal="center" vertical="top" wrapText="1"/>
    </xf>
    <xf numFmtId="0" fontId="17" fillId="3" borderId="52" xfId="0" applyFont="1" applyFill="1" applyBorder="1" applyAlignment="1">
      <alignment horizontal="center" vertical="center" wrapText="1"/>
    </xf>
    <xf numFmtId="14" fontId="17" fillId="3" borderId="53" xfId="0" applyNumberFormat="1" applyFont="1" applyFill="1" applyBorder="1" applyAlignment="1">
      <alignment horizontal="center" vertical="center" wrapText="1"/>
    </xf>
    <xf numFmtId="0" fontId="7" fillId="0" borderId="55" xfId="0" applyFont="1" applyBorder="1" applyAlignment="1">
      <alignment horizontal="justify" vertical="center" wrapText="1"/>
    </xf>
    <xf numFmtId="0" fontId="7" fillId="0" borderId="57" xfId="0" applyFont="1" applyBorder="1" applyAlignment="1">
      <alignment horizontal="justify" vertical="center" wrapText="1"/>
    </xf>
    <xf numFmtId="4" fontId="7" fillId="0" borderId="58" xfId="0" applyNumberFormat="1" applyFont="1" applyBorder="1" applyAlignment="1">
      <alignment horizontal="center" vertical="top" wrapText="1"/>
    </xf>
    <xf numFmtId="0" fontId="8" fillId="3" borderId="28" xfId="0" applyFont="1" applyFill="1" applyBorder="1" applyAlignment="1">
      <alignment horizontal="center"/>
    </xf>
    <xf numFmtId="175" fontId="12" fillId="0" borderId="39" xfId="1" applyNumberFormat="1" applyFont="1" applyBorder="1" applyAlignment="1">
      <alignment horizontal="right" vertical="top" wrapText="1"/>
    </xf>
    <xf numFmtId="175" fontId="59" fillId="3" borderId="28" xfId="1" applyNumberFormat="1" applyFont="1" applyFill="1" applyBorder="1" applyAlignment="1">
      <alignment horizontal="right" vertical="top" wrapText="1"/>
    </xf>
    <xf numFmtId="0" fontId="7" fillId="8" borderId="39" xfId="2" applyFont="1" applyFill="1" applyBorder="1" applyAlignment="1">
      <alignment horizontal="left" vertical="top" wrapText="1"/>
    </xf>
    <xf numFmtId="0" fontId="7" fillId="8" borderId="13" xfId="2" applyFont="1" applyFill="1" applyBorder="1" applyAlignment="1">
      <alignment horizontal="left" vertical="top" wrapText="1"/>
    </xf>
    <xf numFmtId="0" fontId="41" fillId="8" borderId="13" xfId="2" applyFont="1" applyFill="1" applyBorder="1" applyAlignment="1">
      <alignment horizontal="center" vertical="top" wrapText="1"/>
    </xf>
    <xf numFmtId="0" fontId="12" fillId="8" borderId="13" xfId="2" applyFont="1" applyFill="1" applyBorder="1" applyAlignment="1">
      <alignment horizontal="center" vertical="top" wrapText="1"/>
    </xf>
    <xf numFmtId="3" fontId="7" fillId="8" borderId="13" xfId="2" applyNumberFormat="1" applyFont="1" applyFill="1" applyBorder="1" applyAlignment="1">
      <alignment horizontal="right" vertical="top" wrapText="1"/>
    </xf>
    <xf numFmtId="175" fontId="7" fillId="8" borderId="13" xfId="1" applyNumberFormat="1" applyFont="1" applyFill="1" applyBorder="1" applyAlignment="1">
      <alignment horizontal="right" vertical="top" wrapText="1"/>
    </xf>
    <xf numFmtId="0" fontId="24" fillId="8" borderId="13" xfId="2" applyFont="1" applyFill="1" applyBorder="1" applyAlignment="1">
      <alignment horizontal="center" vertical="top" wrapText="1"/>
    </xf>
    <xf numFmtId="172" fontId="7" fillId="8" borderId="13" xfId="2" applyNumberFormat="1" applyFont="1" applyFill="1" applyBorder="1" applyAlignment="1">
      <alignment horizontal="center" vertical="center" wrapText="1"/>
    </xf>
    <xf numFmtId="172" fontId="7" fillId="8" borderId="13" xfId="3" applyNumberFormat="1" applyFont="1" applyFill="1" applyBorder="1" applyAlignment="1">
      <alignment vertical="top" wrapText="1"/>
    </xf>
    <xf numFmtId="4" fontId="7" fillId="8" borderId="13" xfId="0" applyNumberFormat="1" applyFont="1" applyFill="1" applyBorder="1" applyAlignment="1">
      <alignment horizontal="right" vertical="top" wrapText="1"/>
    </xf>
    <xf numFmtId="3" fontId="9" fillId="8" borderId="0" xfId="0" applyNumberFormat="1" applyFont="1" applyFill="1" applyBorder="1" applyAlignment="1">
      <alignment horizontal="right"/>
    </xf>
    <xf numFmtId="171" fontId="0" fillId="8" borderId="0" xfId="0" applyNumberFormat="1" applyFont="1" applyFill="1"/>
    <xf numFmtId="3" fontId="9" fillId="8" borderId="9" xfId="0" applyNumberFormat="1" applyFont="1" applyFill="1" applyBorder="1" applyAlignment="1">
      <alignment horizontal="right"/>
    </xf>
    <xf numFmtId="3" fontId="0" fillId="8" borderId="0" xfId="0" applyNumberFormat="1" applyFont="1" applyFill="1" applyBorder="1"/>
    <xf numFmtId="175" fontId="0" fillId="0" borderId="0" xfId="1" applyNumberFormat="1" applyFont="1"/>
    <xf numFmtId="0" fontId="68" fillId="10" borderId="0" xfId="0" applyFont="1" applyFill="1"/>
    <xf numFmtId="172" fontId="67" fillId="0" borderId="0" xfId="0" applyNumberFormat="1" applyFont="1"/>
    <xf numFmtId="0" fontId="69" fillId="10" borderId="13" xfId="0" applyFont="1" applyFill="1" applyBorder="1" applyAlignment="1">
      <alignment horizontal="left" vertical="top" wrapText="1"/>
    </xf>
    <xf numFmtId="0" fontId="69" fillId="10" borderId="13" xfId="0" applyFont="1" applyFill="1" applyBorder="1" applyAlignment="1">
      <alignment horizontal="center" vertical="top" wrapText="1"/>
    </xf>
    <xf numFmtId="172" fontId="70" fillId="10" borderId="13" xfId="3" applyNumberFormat="1" applyFont="1" applyFill="1" applyBorder="1" applyAlignment="1">
      <alignment vertical="top" wrapText="1"/>
    </xf>
    <xf numFmtId="167" fontId="70" fillId="10" borderId="13" xfId="3" applyNumberFormat="1" applyFont="1" applyFill="1" applyBorder="1" applyAlignment="1">
      <alignment vertical="top" wrapText="1"/>
    </xf>
    <xf numFmtId="3" fontId="70" fillId="10" borderId="13" xfId="3" applyNumberFormat="1" applyFont="1" applyFill="1" applyBorder="1" applyAlignment="1">
      <alignment vertical="top" wrapText="1"/>
    </xf>
    <xf numFmtId="3" fontId="68" fillId="10" borderId="0" xfId="0" applyNumberFormat="1" applyFont="1" applyFill="1"/>
    <xf numFmtId="0" fontId="70" fillId="10" borderId="13" xfId="0" applyFont="1" applyFill="1" applyBorder="1" applyAlignment="1">
      <alignment horizontal="left" vertical="top" wrapText="1"/>
    </xf>
    <xf numFmtId="0" fontId="70" fillId="10" borderId="13" xfId="0" applyFont="1" applyFill="1" applyBorder="1" applyAlignment="1">
      <alignment horizontal="center" vertical="top" wrapText="1"/>
    </xf>
    <xf numFmtId="172" fontId="70" fillId="10" borderId="13" xfId="0" applyNumberFormat="1" applyFont="1" applyFill="1" applyBorder="1" applyAlignment="1">
      <alignment horizontal="center" vertical="top" wrapText="1"/>
    </xf>
    <xf numFmtId="3" fontId="70" fillId="10" borderId="13" xfId="3" applyNumberFormat="1" applyFont="1" applyFill="1" applyBorder="1" applyAlignment="1">
      <alignment horizontal="center" vertical="top" wrapText="1"/>
    </xf>
    <xf numFmtId="172" fontId="73" fillId="0" borderId="0" xfId="0" applyNumberFormat="1" applyFont="1"/>
    <xf numFmtId="0" fontId="69" fillId="10" borderId="5" xfId="0" applyFont="1" applyFill="1" applyBorder="1" applyAlignment="1">
      <alignment horizontal="justify" vertical="top" wrapText="1"/>
    </xf>
    <xf numFmtId="0" fontId="70" fillId="10" borderId="1" xfId="0" applyFont="1" applyFill="1" applyBorder="1" applyAlignment="1">
      <alignment horizontal="center" vertical="top" wrapText="1"/>
    </xf>
    <xf numFmtId="172" fontId="70" fillId="10" borderId="1" xfId="0" applyNumberFormat="1" applyFont="1" applyFill="1" applyBorder="1" applyAlignment="1">
      <alignment horizontal="center" vertical="top" wrapText="1"/>
    </xf>
    <xf numFmtId="3" fontId="70" fillId="10" borderId="1" xfId="0" applyNumberFormat="1" applyFont="1" applyFill="1" applyBorder="1" applyAlignment="1">
      <alignment horizontal="center" vertical="top" wrapText="1"/>
    </xf>
    <xf numFmtId="0" fontId="69" fillId="10" borderId="1" xfId="0" applyFont="1" applyFill="1" applyBorder="1" applyAlignment="1">
      <alignment horizontal="center" vertical="top" wrapText="1"/>
    </xf>
    <xf numFmtId="172" fontId="69" fillId="10" borderId="1" xfId="0" applyNumberFormat="1" applyFont="1" applyFill="1" applyBorder="1" applyAlignment="1">
      <alignment horizontal="center" vertical="top" wrapText="1"/>
    </xf>
    <xf numFmtId="3" fontId="69" fillId="10" borderId="1" xfId="0" applyNumberFormat="1" applyFont="1" applyFill="1" applyBorder="1" applyAlignment="1">
      <alignment horizontal="center" vertical="top" wrapText="1"/>
    </xf>
    <xf numFmtId="0" fontId="68" fillId="10" borderId="1" xfId="0" applyFont="1" applyFill="1" applyBorder="1"/>
    <xf numFmtId="3" fontId="68" fillId="10" borderId="1" xfId="0" applyNumberFormat="1" applyFont="1" applyFill="1" applyBorder="1"/>
    <xf numFmtId="3" fontId="7" fillId="0" borderId="28" xfId="0" applyNumberFormat="1" applyFont="1" applyBorder="1" applyAlignment="1">
      <alignment horizontal="right" vertical="center" wrapText="1"/>
    </xf>
    <xf numFmtId="3" fontId="12" fillId="8" borderId="26" xfId="3" applyNumberFormat="1" applyFont="1" applyFill="1" applyBorder="1" applyAlignment="1" applyProtection="1">
      <alignment horizontal="right" wrapText="1"/>
    </xf>
    <xf numFmtId="172" fontId="12" fillId="8" borderId="44" xfId="3" applyNumberFormat="1" applyFont="1" applyFill="1" applyBorder="1" applyAlignment="1" applyProtection="1">
      <alignment horizontal="right" vertical="center" wrapText="1"/>
    </xf>
    <xf numFmtId="172" fontId="12" fillId="8" borderId="37" xfId="3" applyNumberFormat="1" applyFont="1" applyFill="1" applyBorder="1" applyAlignment="1" applyProtection="1">
      <alignment horizontal="right" vertical="center" wrapText="1"/>
    </xf>
    <xf numFmtId="3" fontId="12" fillId="8" borderId="27" xfId="3" applyNumberFormat="1" applyFont="1" applyFill="1" applyBorder="1" applyAlignment="1" applyProtection="1">
      <alignment horizontal="right" wrapText="1"/>
    </xf>
    <xf numFmtId="3" fontId="12" fillId="8" borderId="44" xfId="3" applyNumberFormat="1" applyFont="1" applyFill="1" applyBorder="1" applyAlignment="1" applyProtection="1">
      <alignment horizontal="right" vertical="center" wrapText="1"/>
    </xf>
    <xf numFmtId="0" fontId="75" fillId="8" borderId="0" xfId="0" applyFont="1" applyFill="1" applyAlignment="1">
      <alignment horizontal="left" indent="1"/>
    </xf>
    <xf numFmtId="0" fontId="0" fillId="8" borderId="0" xfId="0" applyFill="1"/>
    <xf numFmtId="175" fontId="0" fillId="8" borderId="0" xfId="1" applyNumberFormat="1" applyFont="1" applyFill="1"/>
    <xf numFmtId="3" fontId="0" fillId="3" borderId="1" xfId="0" applyNumberFormat="1" applyFont="1" applyFill="1" applyBorder="1"/>
    <xf numFmtId="0" fontId="6" fillId="3" borderId="1" xfId="0" applyFont="1" applyFill="1" applyBorder="1"/>
    <xf numFmtId="172" fontId="7" fillId="8" borderId="13" xfId="0" applyNumberFormat="1" applyFont="1" applyFill="1" applyBorder="1" applyAlignment="1">
      <alignment horizontal="right" vertical="top" wrapText="1"/>
    </xf>
    <xf numFmtId="3" fontId="62" fillId="0" borderId="0" xfId="0" applyNumberFormat="1" applyFont="1"/>
    <xf numFmtId="172" fontId="12" fillId="8" borderId="38" xfId="0" applyNumberFormat="1" applyFont="1" applyFill="1" applyBorder="1" applyAlignment="1">
      <alignment horizontal="right" vertical="top" wrapText="1"/>
    </xf>
    <xf numFmtId="0" fontId="12" fillId="8" borderId="11" xfId="0" applyFont="1" applyFill="1" applyBorder="1" applyAlignment="1">
      <alignment horizontal="center" vertical="center"/>
    </xf>
    <xf numFmtId="3" fontId="12" fillId="8" borderId="11" xfId="0" applyNumberFormat="1" applyFont="1" applyFill="1" applyBorder="1"/>
    <xf numFmtId="0" fontId="9" fillId="8" borderId="11" xfId="0" applyFont="1" applyFill="1" applyBorder="1"/>
    <xf numFmtId="3" fontId="9" fillId="8" borderId="39" xfId="0" applyNumberFormat="1" applyFont="1" applyFill="1" applyBorder="1"/>
    <xf numFmtId="0" fontId="7" fillId="8" borderId="0" xfId="0" applyFont="1" applyFill="1"/>
    <xf numFmtId="0" fontId="0" fillId="0" borderId="0" xfId="0" applyFont="1" applyAlignment="1"/>
    <xf numFmtId="0" fontId="14" fillId="0" borderId="3" xfId="0" applyFont="1" applyBorder="1" applyAlignment="1">
      <alignment horizontal="left" vertical="center" wrapText="1"/>
    </xf>
    <xf numFmtId="0" fontId="0" fillId="0" borderId="0" xfId="0" applyFont="1" applyAlignment="1">
      <alignment horizontal="left"/>
    </xf>
    <xf numFmtId="172" fontId="0" fillId="0" borderId="0" xfId="0" applyNumberFormat="1" applyFont="1" applyAlignment="1">
      <alignment horizontal="left"/>
    </xf>
    <xf numFmtId="0" fontId="0" fillId="0" borderId="0" xfId="0" applyFont="1" applyAlignment="1">
      <alignment vertical="center"/>
    </xf>
    <xf numFmtId="0" fontId="0" fillId="0" borderId="0" xfId="0" applyFont="1" applyAlignment="1">
      <alignment horizontal="left" vertical="center" wrapText="1"/>
    </xf>
    <xf numFmtId="0" fontId="6" fillId="0" borderId="0" xfId="0" applyFont="1" applyAlignment="1">
      <alignment vertical="center"/>
    </xf>
    <xf numFmtId="172" fontId="6" fillId="0" borderId="0" xfId="0" applyNumberFormat="1" applyFont="1" applyAlignment="1">
      <alignment vertical="center"/>
    </xf>
    <xf numFmtId="172" fontId="7" fillId="0" borderId="28" xfId="0" applyNumberFormat="1" applyFont="1" applyBorder="1" applyAlignment="1">
      <alignment horizontal="center" vertical="top" wrapText="1"/>
    </xf>
    <xf numFmtId="0" fontId="26" fillId="0" borderId="28" xfId="0" applyFont="1" applyBorder="1" applyAlignment="1">
      <alignment horizontal="center" vertical="center" wrapText="1"/>
    </xf>
    <xf numFmtId="3" fontId="26" fillId="0" borderId="28" xfId="0" applyNumberFormat="1" applyFont="1" applyBorder="1" applyAlignment="1">
      <alignment horizontal="right" vertical="top" wrapText="1"/>
    </xf>
    <xf numFmtId="3" fontId="7" fillId="0" borderId="28" xfId="3" applyNumberFormat="1" applyFont="1" applyBorder="1" applyAlignment="1">
      <alignment vertical="top" wrapText="1"/>
    </xf>
    <xf numFmtId="3" fontId="7" fillId="0" borderId="28" xfId="0" applyNumberFormat="1" applyFont="1" applyBorder="1" applyAlignment="1">
      <alignment vertical="top" wrapText="1"/>
    </xf>
    <xf numFmtId="172" fontId="26" fillId="4" borderId="45" xfId="0" applyNumberFormat="1" applyFont="1" applyFill="1" applyBorder="1" applyAlignment="1">
      <alignment horizontal="right" vertical="top" wrapText="1"/>
    </xf>
    <xf numFmtId="172" fontId="26" fillId="4" borderId="13" xfId="0" applyNumberFormat="1" applyFont="1" applyFill="1" applyBorder="1" applyAlignment="1">
      <alignment horizontal="right" vertical="top" wrapText="1"/>
    </xf>
    <xf numFmtId="172" fontId="26" fillId="4" borderId="59" xfId="0" applyNumberFormat="1" applyFont="1" applyFill="1" applyBorder="1" applyAlignment="1">
      <alignment horizontal="right" vertical="top" wrapText="1"/>
    </xf>
    <xf numFmtId="3" fontId="12" fillId="0" borderId="45" xfId="0" applyNumberFormat="1" applyFont="1" applyBorder="1" applyAlignment="1">
      <alignment vertical="center" wrapText="1"/>
    </xf>
    <xf numFmtId="3" fontId="12" fillId="0" borderId="59" xfId="0" applyNumberFormat="1" applyFont="1" applyBorder="1" applyAlignment="1">
      <alignment vertical="center" wrapText="1"/>
    </xf>
    <xf numFmtId="0" fontId="9" fillId="0" borderId="13" xfId="0" applyFont="1" applyBorder="1"/>
    <xf numFmtId="3" fontId="9" fillId="0" borderId="13" xfId="0" applyNumberFormat="1" applyFont="1" applyBorder="1"/>
    <xf numFmtId="0" fontId="9" fillId="0" borderId="59" xfId="0" applyFont="1" applyBorder="1"/>
    <xf numFmtId="3" fontId="9" fillId="0" borderId="59" xfId="0" applyNumberFormat="1" applyFont="1" applyBorder="1"/>
    <xf numFmtId="0" fontId="55" fillId="0" borderId="60" xfId="0" applyFont="1" applyBorder="1"/>
    <xf numFmtId="3" fontId="8" fillId="0" borderId="45" xfId="0" applyNumberFormat="1" applyFont="1" applyBorder="1"/>
    <xf numFmtId="0" fontId="9" fillId="0" borderId="62" xfId="0" applyFont="1" applyBorder="1"/>
    <xf numFmtId="0" fontId="55" fillId="0" borderId="62" xfId="0" applyFont="1" applyBorder="1"/>
    <xf numFmtId="3" fontId="8" fillId="0" borderId="13" xfId="0" applyNumberFormat="1" applyFont="1" applyBorder="1"/>
    <xf numFmtId="0" fontId="9" fillId="0" borderId="64" xfId="0" applyFont="1" applyBorder="1"/>
    <xf numFmtId="3" fontId="9" fillId="0" borderId="65" xfId="0" applyNumberFormat="1" applyFont="1" applyBorder="1"/>
    <xf numFmtId="0" fontId="12" fillId="0" borderId="28" xfId="0" applyFont="1" applyBorder="1" applyAlignment="1">
      <alignment horizontal="left" vertical="top" wrapText="1"/>
    </xf>
    <xf numFmtId="0" fontId="12" fillId="0" borderId="1" xfId="0" applyFont="1" applyBorder="1" applyAlignment="1">
      <alignment horizontal="left" vertical="top" wrapText="1"/>
    </xf>
    <xf numFmtId="0" fontId="12" fillId="8" borderId="1" xfId="0" applyFont="1" applyFill="1" applyBorder="1" applyAlignment="1">
      <alignment horizontal="left" vertical="center" wrapText="1"/>
    </xf>
    <xf numFmtId="3" fontId="12" fillId="8" borderId="1" xfId="0" applyNumberFormat="1" applyFont="1" applyFill="1" applyBorder="1" applyAlignment="1">
      <alignment horizontal="center" vertical="center" wrapText="1"/>
    </xf>
    <xf numFmtId="172" fontId="12" fillId="8" borderId="1" xfId="0" applyNumberFormat="1" applyFont="1" applyFill="1" applyBorder="1" applyAlignment="1">
      <alignment horizontal="left" vertical="center" wrapText="1"/>
    </xf>
    <xf numFmtId="3" fontId="12" fillId="8" borderId="1" xfId="0" applyNumberFormat="1" applyFont="1" applyFill="1" applyBorder="1" applyAlignment="1">
      <alignment horizontal="right" vertical="center" wrapText="1"/>
    </xf>
    <xf numFmtId="172" fontId="0" fillId="0" borderId="0" xfId="0" applyNumberFormat="1" applyFont="1" applyAlignment="1">
      <alignment vertical="center"/>
    </xf>
    <xf numFmtId="3" fontId="0" fillId="0" borderId="0" xfId="0" applyNumberFormat="1" applyFont="1" applyAlignment="1">
      <alignment vertical="center"/>
    </xf>
    <xf numFmtId="0" fontId="0" fillId="0" borderId="0" xfId="0" applyAlignment="1">
      <alignment vertical="center"/>
    </xf>
    <xf numFmtId="0" fontId="9" fillId="0" borderId="11" xfId="0" applyFont="1" applyBorder="1"/>
    <xf numFmtId="3" fontId="9" fillId="0" borderId="11" xfId="0" applyNumberFormat="1" applyFont="1" applyBorder="1" applyAlignment="1">
      <alignment horizontal="right"/>
    </xf>
    <xf numFmtId="3" fontId="9" fillId="8" borderId="11" xfId="0" applyNumberFormat="1" applyFont="1" applyFill="1" applyBorder="1" applyAlignment="1">
      <alignment horizontal="right"/>
    </xf>
    <xf numFmtId="3" fontId="9" fillId="0" borderId="13" xfId="0" applyNumberFormat="1" applyFont="1" applyBorder="1" applyAlignment="1">
      <alignment horizontal="right"/>
    </xf>
    <xf numFmtId="3" fontId="9" fillId="8" borderId="13" xfId="0" applyNumberFormat="1" applyFont="1" applyFill="1" applyBorder="1" applyAlignment="1">
      <alignment horizontal="right"/>
    </xf>
    <xf numFmtId="3" fontId="9" fillId="8" borderId="59" xfId="0" applyNumberFormat="1" applyFont="1" applyFill="1" applyBorder="1" applyAlignment="1">
      <alignment horizontal="right"/>
    </xf>
    <xf numFmtId="3" fontId="9" fillId="0" borderId="59" xfId="0" applyNumberFormat="1" applyFont="1" applyBorder="1" applyAlignment="1">
      <alignment horizontal="right"/>
    </xf>
    <xf numFmtId="0" fontId="0" fillId="0" borderId="11" xfId="0" applyBorder="1"/>
    <xf numFmtId="172" fontId="12" fillId="8" borderId="11" xfId="0" applyNumberFormat="1" applyFont="1" applyFill="1" applyBorder="1" applyAlignment="1">
      <alignment horizontal="right" vertical="center" wrapText="1"/>
    </xf>
    <xf numFmtId="172" fontId="26" fillId="8" borderId="11" xfId="0" applyNumberFormat="1" applyFont="1" applyFill="1" applyBorder="1" applyAlignment="1">
      <alignment horizontal="right" vertical="center" wrapText="1"/>
    </xf>
    <xf numFmtId="0" fontId="0" fillId="0" borderId="59" xfId="0" applyBorder="1"/>
    <xf numFmtId="172" fontId="12" fillId="0" borderId="59" xfId="0" applyNumberFormat="1" applyFont="1" applyBorder="1" applyAlignment="1">
      <alignment horizontal="right" vertical="center" wrapText="1"/>
    </xf>
    <xf numFmtId="172" fontId="12" fillId="0" borderId="59" xfId="3" applyNumberFormat="1" applyFont="1" applyBorder="1" applyAlignment="1">
      <alignment horizontal="right" vertical="center" wrapText="1"/>
    </xf>
    <xf numFmtId="172" fontId="9" fillId="8" borderId="11" xfId="0" applyNumberFormat="1" applyFont="1" applyFill="1" applyBorder="1" applyAlignment="1">
      <alignment horizontal="right"/>
    </xf>
    <xf numFmtId="0" fontId="9" fillId="8" borderId="13" xfId="0" applyFont="1" applyFill="1" applyBorder="1"/>
    <xf numFmtId="172" fontId="9" fillId="8" borderId="13" xfId="0" applyNumberFormat="1" applyFont="1" applyFill="1" applyBorder="1" applyAlignment="1">
      <alignment horizontal="right"/>
    </xf>
    <xf numFmtId="0" fontId="9" fillId="8" borderId="59" xfId="0" applyFont="1" applyFill="1" applyBorder="1"/>
    <xf numFmtId="172" fontId="9" fillId="8" borderId="59" xfId="0" applyNumberFormat="1" applyFont="1" applyFill="1" applyBorder="1" applyAlignment="1">
      <alignment horizontal="right"/>
    </xf>
    <xf numFmtId="0" fontId="12" fillId="0" borderId="60" xfId="0" applyFont="1" applyBorder="1" applyAlignment="1">
      <alignment horizontal="justify" vertical="top" wrapText="1"/>
    </xf>
    <xf numFmtId="0" fontId="12" fillId="0" borderId="11" xfId="0" applyFont="1" applyBorder="1" applyAlignment="1">
      <alignment horizontal="center" vertical="top" wrapText="1"/>
    </xf>
    <xf numFmtId="4" fontId="12" fillId="0" borderId="11" xfId="1" applyNumberFormat="1" applyFont="1" applyBorder="1" applyAlignment="1">
      <alignment horizontal="right" vertical="top" wrapText="1"/>
    </xf>
    <xf numFmtId="4" fontId="12" fillId="0" borderId="11" xfId="0" applyNumberFormat="1" applyFont="1" applyBorder="1" applyAlignment="1">
      <alignment horizontal="right" vertical="top" wrapText="1"/>
    </xf>
    <xf numFmtId="172" fontId="12" fillId="0" borderId="61" xfId="1" applyNumberFormat="1" applyFont="1" applyBorder="1" applyAlignment="1">
      <alignment vertical="top" wrapText="1"/>
    </xf>
    <xf numFmtId="0" fontId="12" fillId="0" borderId="62" xfId="0" applyFont="1" applyBorder="1" applyAlignment="1">
      <alignment horizontal="justify" vertical="top" wrapText="1"/>
    </xf>
    <xf numFmtId="0" fontId="12" fillId="0" borderId="13" xfId="0" applyFont="1" applyBorder="1" applyAlignment="1">
      <alignment horizontal="center" vertical="top" wrapText="1"/>
    </xf>
    <xf numFmtId="4" fontId="12" fillId="0" borderId="13" xfId="1" applyNumberFormat="1" applyFont="1" applyBorder="1" applyAlignment="1">
      <alignment horizontal="right" vertical="top" wrapText="1"/>
    </xf>
    <xf numFmtId="4" fontId="12" fillId="0" borderId="13" xfId="0" applyNumberFormat="1" applyFont="1" applyBorder="1" applyAlignment="1">
      <alignment horizontal="right" vertical="top" wrapText="1"/>
    </xf>
    <xf numFmtId="172" fontId="12" fillId="0" borderId="63" xfId="1" applyNumberFormat="1" applyFont="1" applyBorder="1" applyAlignment="1">
      <alignment vertical="top" wrapText="1"/>
    </xf>
    <xf numFmtId="0" fontId="12" fillId="0" borderId="66" xfId="0" applyFont="1" applyBorder="1" applyAlignment="1">
      <alignment horizontal="justify" vertical="top" wrapText="1"/>
    </xf>
    <xf numFmtId="0" fontId="12" fillId="0" borderId="59" xfId="0" applyFont="1" applyBorder="1" applyAlignment="1">
      <alignment horizontal="center" vertical="top" wrapText="1"/>
    </xf>
    <xf numFmtId="4" fontId="12" fillId="0" borderId="59" xfId="1" applyNumberFormat="1" applyFont="1" applyBorder="1" applyAlignment="1">
      <alignment horizontal="right" vertical="top" wrapText="1"/>
    </xf>
    <xf numFmtId="4" fontId="12" fillId="0" borderId="59" xfId="0" applyNumberFormat="1" applyFont="1" applyBorder="1" applyAlignment="1">
      <alignment horizontal="right" vertical="top" wrapText="1"/>
    </xf>
    <xf numFmtId="172" fontId="12" fillId="0" borderId="67" xfId="0" applyNumberFormat="1" applyFont="1" applyFill="1" applyBorder="1" applyAlignment="1">
      <alignment vertical="top" wrapText="1"/>
    </xf>
    <xf numFmtId="172" fontId="12" fillId="0" borderId="56" xfId="0" applyNumberFormat="1" applyFont="1" applyFill="1" applyBorder="1" applyAlignment="1">
      <alignment vertical="top" wrapText="1"/>
    </xf>
    <xf numFmtId="167" fontId="12" fillId="0" borderId="11" xfId="3" applyNumberFormat="1" applyFont="1" applyFill="1" applyBorder="1" applyAlignment="1">
      <alignment horizontal="center" vertical="center" wrapText="1"/>
    </xf>
    <xf numFmtId="172" fontId="12" fillId="0" borderId="11" xfId="3" applyNumberFormat="1" applyFont="1" applyFill="1" applyBorder="1" applyAlignment="1">
      <alignment vertical="top" wrapText="1"/>
    </xf>
    <xf numFmtId="172" fontId="12" fillId="0" borderId="11" xfId="3" applyNumberFormat="1" applyFont="1" applyBorder="1" applyAlignment="1">
      <alignment horizontal="right" vertical="top" wrapText="1"/>
    </xf>
    <xf numFmtId="167" fontId="12" fillId="0" borderId="38" xfId="3" applyNumberFormat="1" applyFont="1" applyFill="1" applyBorder="1" applyAlignment="1">
      <alignment horizontal="center" vertical="center" wrapText="1"/>
    </xf>
    <xf numFmtId="167" fontId="60" fillId="8" borderId="2" xfId="3" applyNumberFormat="1" applyFont="1" applyFill="1" applyBorder="1" applyAlignment="1">
      <alignment horizontal="center" vertical="top" wrapText="1"/>
    </xf>
    <xf numFmtId="0" fontId="7" fillId="8" borderId="28" xfId="0" applyFont="1" applyFill="1" applyBorder="1" applyAlignment="1">
      <alignment horizontal="center" vertical="top" wrapText="1"/>
    </xf>
    <xf numFmtId="172" fontId="26" fillId="8" borderId="45" xfId="0" applyNumberFormat="1" applyFont="1" applyFill="1" applyBorder="1" applyAlignment="1">
      <alignment horizontal="right" vertical="top" wrapText="1"/>
    </xf>
    <xf numFmtId="172" fontId="26" fillId="8" borderId="13" xfId="0" applyNumberFormat="1" applyFont="1" applyFill="1" applyBorder="1" applyAlignment="1">
      <alignment horizontal="right" vertical="top" wrapText="1"/>
    </xf>
    <xf numFmtId="172" fontId="26" fillId="8" borderId="59" xfId="0" applyNumberFormat="1" applyFont="1" applyFill="1" applyBorder="1" applyAlignment="1">
      <alignment horizontal="right" vertical="top" wrapText="1"/>
    </xf>
    <xf numFmtId="172" fontId="12" fillId="8" borderId="11" xfId="0" applyNumberFormat="1" applyFont="1" applyFill="1" applyBorder="1" applyAlignment="1">
      <alignment vertical="center" wrapText="1"/>
    </xf>
    <xf numFmtId="172" fontId="12" fillId="8" borderId="13" xfId="0" applyNumberFormat="1" applyFont="1" applyFill="1" applyBorder="1" applyAlignment="1">
      <alignment vertical="center" wrapText="1"/>
    </xf>
    <xf numFmtId="3" fontId="12" fillId="8" borderId="39" xfId="0" applyNumberFormat="1" applyFont="1" applyFill="1" applyBorder="1"/>
    <xf numFmtId="3" fontId="9" fillId="8" borderId="11" xfId="0" applyNumberFormat="1" applyFont="1" applyFill="1" applyBorder="1"/>
    <xf numFmtId="0" fontId="17" fillId="3" borderId="28" xfId="0" applyFont="1" applyFill="1" applyBorder="1" applyAlignment="1">
      <alignment horizontal="center" vertical="center" wrapText="1"/>
    </xf>
    <xf numFmtId="0" fontId="8" fillId="3" borderId="28" xfId="0" applyFont="1" applyFill="1" applyBorder="1" applyAlignment="1">
      <alignment horizontal="center"/>
    </xf>
    <xf numFmtId="177" fontId="24" fillId="0" borderId="28" xfId="0" applyNumberFormat="1" applyFont="1" applyBorder="1" applyAlignment="1">
      <alignment vertical="top" wrapText="1"/>
    </xf>
    <xf numFmtId="173" fontId="0" fillId="0" borderId="0" xfId="0" applyNumberFormat="1" applyFont="1"/>
    <xf numFmtId="172" fontId="12" fillId="0" borderId="39" xfId="0" applyNumberFormat="1" applyFont="1" applyBorder="1" applyAlignment="1">
      <alignment horizontal="right" vertical="top" wrapText="1"/>
    </xf>
    <xf numFmtId="14" fontId="6" fillId="3" borderId="28" xfId="0" applyNumberFormat="1" applyFont="1" applyFill="1" applyBorder="1" applyAlignment="1">
      <alignment horizontal="center" vertical="center" wrapText="1"/>
    </xf>
    <xf numFmtId="0" fontId="7" fillId="0" borderId="28" xfId="0" applyFont="1" applyBorder="1" applyAlignment="1">
      <alignment horizontal="justify" vertical="top" wrapText="1"/>
    </xf>
    <xf numFmtId="3" fontId="41" fillId="0" borderId="28" xfId="0" applyNumberFormat="1" applyFont="1" applyBorder="1" applyAlignment="1">
      <alignment horizontal="center" vertical="top" wrapText="1"/>
    </xf>
    <xf numFmtId="173" fontId="7" fillId="0" borderId="28" xfId="0" applyNumberFormat="1" applyFont="1" applyBorder="1" applyAlignment="1">
      <alignment horizontal="right" vertical="top" wrapText="1"/>
    </xf>
    <xf numFmtId="172" fontId="7" fillId="0" borderId="28" xfId="0" applyNumberFormat="1" applyFont="1" applyBorder="1" applyAlignment="1">
      <alignment horizontal="right" vertical="top" wrapText="1"/>
    </xf>
    <xf numFmtId="176" fontId="0" fillId="0" borderId="28" xfId="0" applyNumberFormat="1" applyFont="1" applyBorder="1" applyAlignment="1">
      <alignment horizontal="right" vertical="top" wrapText="1"/>
    </xf>
    <xf numFmtId="3" fontId="42" fillId="0" borderId="28" xfId="0" applyNumberFormat="1" applyFont="1" applyBorder="1" applyAlignment="1">
      <alignment horizontal="center" vertical="top" wrapText="1"/>
    </xf>
    <xf numFmtId="172" fontId="7" fillId="8" borderId="28" xfId="0" applyNumberFormat="1" applyFont="1" applyFill="1" applyBorder="1" applyAlignment="1">
      <alignment horizontal="right" vertical="top" wrapText="1"/>
    </xf>
    <xf numFmtId="172" fontId="0" fillId="0" borderId="28" xfId="0" applyNumberFormat="1" applyBorder="1"/>
    <xf numFmtId="173" fontId="7" fillId="8" borderId="28" xfId="0" applyNumberFormat="1" applyFont="1" applyFill="1" applyBorder="1" applyAlignment="1">
      <alignment horizontal="right" vertical="top" wrapText="1"/>
    </xf>
    <xf numFmtId="173" fontId="7" fillId="8" borderId="28" xfId="1" applyNumberFormat="1" applyFont="1" applyFill="1" applyBorder="1" applyAlignment="1">
      <alignment horizontal="right" vertical="top" wrapText="1"/>
    </xf>
    <xf numFmtId="173" fontId="7" fillId="0" borderId="28" xfId="1" applyNumberFormat="1" applyFont="1" applyBorder="1" applyAlignment="1">
      <alignment horizontal="right" vertical="top" wrapText="1"/>
    </xf>
    <xf numFmtId="3" fontId="42" fillId="8" borderId="28" xfId="0" applyNumberFormat="1" applyFont="1" applyFill="1" applyBorder="1" applyAlignment="1">
      <alignment horizontal="center" vertical="top" wrapText="1"/>
    </xf>
    <xf numFmtId="0" fontId="0" fillId="8" borderId="0" xfId="0" applyFont="1" applyFill="1" applyBorder="1"/>
    <xf numFmtId="2" fontId="10" fillId="0" borderId="0" xfId="0" applyNumberFormat="1" applyFont="1" applyAlignment="1">
      <alignment horizontal="center" vertical="center" wrapText="1"/>
    </xf>
    <xf numFmtId="2" fontId="24" fillId="3" borderId="28" xfId="0" applyNumberFormat="1" applyFont="1" applyFill="1" applyBorder="1" applyAlignment="1">
      <alignment horizontal="center" vertical="center" wrapText="1"/>
    </xf>
    <xf numFmtId="0" fontId="24" fillId="3" borderId="28" xfId="0" applyFont="1" applyFill="1" applyBorder="1" applyAlignment="1">
      <alignment horizontal="center"/>
    </xf>
    <xf numFmtId="0" fontId="17" fillId="3" borderId="28" xfId="0" applyFont="1" applyFill="1" applyBorder="1" applyAlignment="1">
      <alignment horizontal="center" vertical="center" wrapText="1"/>
    </xf>
    <xf numFmtId="0" fontId="27" fillId="5" borderId="28" xfId="0" applyFont="1" applyFill="1" applyBorder="1" applyAlignment="1">
      <alignment horizontal="center" vertical="top" wrapText="1"/>
    </xf>
    <xf numFmtId="0" fontId="24" fillId="9" borderId="28" xfId="0" applyFont="1" applyFill="1" applyBorder="1" applyAlignment="1">
      <alignment horizontal="center"/>
    </xf>
    <xf numFmtId="0" fontId="8" fillId="9" borderId="28" xfId="0" applyFont="1" applyFill="1" applyBorder="1" applyAlignment="1">
      <alignment horizontal="center" vertical="center" wrapText="1"/>
    </xf>
    <xf numFmtId="0" fontId="17" fillId="3" borderId="28" xfId="2" applyFont="1" applyFill="1" applyBorder="1" applyAlignment="1">
      <alignment horizontal="center" vertical="top" wrapText="1"/>
    </xf>
    <xf numFmtId="0" fontId="17" fillId="0" borderId="0" xfId="0" applyFont="1" applyBorder="1" applyAlignment="1">
      <alignment horizontal="center"/>
    </xf>
    <xf numFmtId="0" fontId="17" fillId="0" borderId="0" xfId="0" applyFont="1" applyAlignment="1">
      <alignment horizontal="left"/>
    </xf>
    <xf numFmtId="0" fontId="17" fillId="0" borderId="0" xfId="0" applyFont="1" applyFill="1" applyAlignment="1">
      <alignment horizontal="left"/>
    </xf>
    <xf numFmtId="0" fontId="8" fillId="3" borderId="28" xfId="0" applyFont="1" applyFill="1" applyBorder="1" applyAlignment="1">
      <alignment horizontal="center" vertical="center"/>
    </xf>
    <xf numFmtId="0" fontId="8" fillId="3" borderId="28" xfId="0" applyFont="1" applyFill="1" applyBorder="1" applyAlignment="1">
      <alignment horizontal="center"/>
    </xf>
    <xf numFmtId="172" fontId="24" fillId="3" borderId="1" xfId="0" applyNumberFormat="1" applyFont="1" applyFill="1" applyBorder="1" applyAlignment="1">
      <alignment horizontal="center" vertical="center" wrapText="1"/>
    </xf>
    <xf numFmtId="0" fontId="14" fillId="0" borderId="0" xfId="0" applyFont="1" applyAlignment="1">
      <alignment horizontal="left"/>
    </xf>
    <xf numFmtId="0" fontId="6" fillId="0" borderId="0" xfId="0" applyFont="1" applyAlignment="1">
      <alignment horizontal="left" vertical="center" wrapText="1"/>
    </xf>
    <xf numFmtId="0" fontId="0" fillId="0" borderId="0" xfId="0" applyFont="1" applyAlignment="1">
      <alignment horizontal="justify" vertical="center" wrapText="1"/>
    </xf>
    <xf numFmtId="3" fontId="17" fillId="3" borderId="28" xfId="0" applyNumberFormat="1" applyFont="1" applyFill="1" applyBorder="1" applyAlignment="1">
      <alignment horizontal="center" vertical="center" wrapText="1"/>
    </xf>
    <xf numFmtId="0" fontId="17" fillId="3" borderId="5" xfId="2" applyFont="1" applyFill="1" applyBorder="1" applyAlignment="1">
      <alignment horizontal="center" vertical="top" wrapText="1"/>
    </xf>
    <xf numFmtId="0" fontId="17" fillId="3" borderId="7" xfId="2" applyFont="1" applyFill="1" applyBorder="1" applyAlignment="1">
      <alignment horizontal="center" vertical="top" wrapText="1"/>
    </xf>
    <xf numFmtId="0" fontId="17" fillId="3" borderId="6" xfId="2" applyFont="1" applyFill="1" applyBorder="1" applyAlignment="1">
      <alignment horizontal="center" vertical="top" wrapText="1"/>
    </xf>
    <xf numFmtId="0" fontId="17" fillId="3" borderId="30" xfId="2" applyFont="1" applyFill="1" applyBorder="1" applyAlignment="1">
      <alignment horizontal="center" vertical="top" wrapText="1"/>
    </xf>
    <xf numFmtId="0" fontId="17" fillId="3" borderId="31" xfId="2" applyFont="1" applyFill="1" applyBorder="1" applyAlignment="1">
      <alignment horizontal="center" vertical="top" wrapText="1"/>
    </xf>
    <xf numFmtId="0" fontId="17" fillId="3" borderId="32" xfId="2" applyFont="1" applyFill="1" applyBorder="1" applyAlignment="1">
      <alignment horizontal="center" vertical="top" wrapText="1"/>
    </xf>
    <xf numFmtId="2" fontId="24" fillId="3" borderId="2" xfId="0" applyNumberFormat="1" applyFont="1" applyFill="1" applyBorder="1" applyAlignment="1">
      <alignment horizontal="center" vertical="center" wrapText="1"/>
    </xf>
    <xf numFmtId="2" fontId="24" fillId="3" borderId="4" xfId="0" applyNumberFormat="1" applyFont="1" applyFill="1" applyBorder="1" applyAlignment="1">
      <alignment horizontal="center" vertical="center" wrapText="1"/>
    </xf>
    <xf numFmtId="0" fontId="17" fillId="8" borderId="0" xfId="0" applyFont="1" applyFill="1" applyAlignment="1">
      <alignment horizontal="left"/>
    </xf>
    <xf numFmtId="0" fontId="0" fillId="0" borderId="0" xfId="0" applyFont="1" applyAlignment="1">
      <alignment horizontal="left" vertical="center" wrapText="1"/>
    </xf>
    <xf numFmtId="0" fontId="27" fillId="5" borderId="1" xfId="0" applyFont="1" applyFill="1" applyBorder="1" applyAlignment="1">
      <alignment horizontal="center" vertical="top" wrapText="1"/>
    </xf>
    <xf numFmtId="0" fontId="16" fillId="0" borderId="0" xfId="0" applyFont="1" applyAlignment="1">
      <alignment horizontal="left"/>
    </xf>
    <xf numFmtId="0" fontId="77" fillId="0" borderId="0" xfId="0" applyFont="1" applyAlignment="1">
      <alignment horizontal="center" vertical="center" wrapText="1"/>
    </xf>
    <xf numFmtId="0" fontId="6" fillId="0" borderId="0" xfId="0" applyFont="1" applyAlignment="1">
      <alignment horizontal="left" wrapText="1"/>
    </xf>
    <xf numFmtId="0" fontId="7" fillId="0" borderId="0" xfId="0" applyFont="1" applyAlignment="1">
      <alignment horizontal="justify"/>
    </xf>
    <xf numFmtId="0" fontId="0" fillId="0" borderId="0" xfId="0" applyFont="1" applyAlignment="1">
      <alignment horizontal="left" wrapText="1"/>
    </xf>
    <xf numFmtId="2" fontId="24" fillId="3" borderId="52" xfId="0" applyNumberFormat="1" applyFont="1" applyFill="1" applyBorder="1" applyAlignment="1">
      <alignment horizontal="center" vertical="center" wrapText="1"/>
    </xf>
    <xf numFmtId="2" fontId="24" fillId="3" borderId="55" xfId="0" applyNumberFormat="1" applyFont="1" applyFill="1" applyBorder="1" applyAlignment="1">
      <alignment horizontal="center" vertical="center" wrapText="1"/>
    </xf>
    <xf numFmtId="0" fontId="24" fillId="3" borderId="53" xfId="0" applyFont="1" applyFill="1" applyBorder="1" applyAlignment="1">
      <alignment horizontal="center"/>
    </xf>
    <xf numFmtId="0" fontId="24" fillId="3" borderId="54" xfId="0" applyFont="1" applyFill="1" applyBorder="1" applyAlignment="1">
      <alignment horizontal="center"/>
    </xf>
    <xf numFmtId="0" fontId="29" fillId="0" borderId="0" xfId="0" applyFont="1" applyFill="1" applyAlignment="1">
      <alignment horizontal="left" vertical="center"/>
    </xf>
    <xf numFmtId="0" fontId="29" fillId="0" borderId="0" xfId="0" applyFont="1" applyBorder="1" applyAlignment="1">
      <alignment horizontal="left"/>
    </xf>
    <xf numFmtId="0" fontId="29" fillId="0" borderId="0" xfId="0" applyFont="1" applyFill="1" applyAlignment="1">
      <alignment horizontal="left"/>
    </xf>
    <xf numFmtId="2" fontId="10" fillId="0" borderId="10" xfId="0" applyNumberFormat="1" applyFont="1" applyBorder="1" applyAlignment="1">
      <alignment horizontal="center" vertical="center" wrapText="1"/>
    </xf>
    <xf numFmtId="0" fontId="17" fillId="7" borderId="29" xfId="4" applyFont="1" applyFill="1" applyBorder="1" applyAlignment="1">
      <alignment horizontal="center" vertical="center" wrapText="1"/>
    </xf>
    <xf numFmtId="0" fontId="17" fillId="7" borderId="34" xfId="4" applyFont="1" applyFill="1" applyBorder="1" applyAlignment="1">
      <alignment horizontal="center" vertical="center" wrapText="1"/>
    </xf>
    <xf numFmtId="0" fontId="17" fillId="7" borderId="30" xfId="4" applyFont="1" applyFill="1" applyBorder="1" applyAlignment="1">
      <alignment horizontal="center" vertical="center" wrapText="1"/>
    </xf>
    <xf numFmtId="0" fontId="17" fillId="7" borderId="31" xfId="4" applyFont="1" applyFill="1" applyBorder="1" applyAlignment="1">
      <alignment horizontal="center" vertical="center" wrapText="1"/>
    </xf>
    <xf numFmtId="0" fontId="17" fillId="7" borderId="32" xfId="4" applyFont="1" applyFill="1" applyBorder="1" applyAlignment="1">
      <alignment horizontal="center" vertical="center" wrapText="1"/>
    </xf>
    <xf numFmtId="0" fontId="17" fillId="7" borderId="28" xfId="4" applyFont="1" applyFill="1" applyBorder="1" applyAlignment="1">
      <alignment horizontal="center" vertical="center" wrapText="1"/>
    </xf>
    <xf numFmtId="4" fontId="7" fillId="8" borderId="13" xfId="3" applyNumberFormat="1" applyFont="1" applyFill="1" applyBorder="1" applyAlignment="1">
      <alignment horizontal="right" vertical="top" wrapText="1"/>
    </xf>
    <xf numFmtId="0" fontId="26" fillId="4" borderId="13" xfId="0" applyFont="1" applyFill="1" applyBorder="1" applyAlignment="1">
      <alignment horizontal="left" vertical="top" wrapText="1"/>
    </xf>
    <xf numFmtId="3" fontId="9" fillId="0" borderId="28" xfId="0" applyNumberFormat="1" applyFont="1" applyBorder="1"/>
    <xf numFmtId="0" fontId="0" fillId="0" borderId="0" xfId="0" applyNumberFormat="1"/>
    <xf numFmtId="173" fontId="7" fillId="8" borderId="39" xfId="3" applyNumberFormat="1" applyFont="1" applyFill="1" applyBorder="1" applyAlignment="1">
      <alignment horizontal="right" vertical="top" wrapText="1"/>
    </xf>
    <xf numFmtId="3" fontId="7" fillId="8" borderId="39" xfId="2" applyNumberFormat="1" applyFont="1" applyFill="1" applyBorder="1" applyAlignment="1">
      <alignment horizontal="right" vertical="top" wrapText="1"/>
    </xf>
    <xf numFmtId="0" fontId="12" fillId="8" borderId="60" xfId="0" applyFont="1" applyFill="1" applyBorder="1" applyAlignment="1">
      <alignment horizontal="justify" vertical="top" wrapText="1"/>
    </xf>
    <xf numFmtId="0" fontId="12" fillId="8" borderId="11" xfId="0" applyFont="1" applyFill="1" applyBorder="1" applyAlignment="1">
      <alignment horizontal="center" vertical="top" wrapText="1"/>
    </xf>
    <xf numFmtId="173" fontId="12" fillId="8" borderId="11" xfId="0" applyNumberFormat="1" applyFont="1" applyFill="1" applyBorder="1" applyAlignment="1">
      <alignment vertical="top" wrapText="1"/>
    </xf>
    <xf numFmtId="172" fontId="12" fillId="8" borderId="11" xfId="0" applyNumberFormat="1" applyFont="1" applyFill="1" applyBorder="1" applyAlignment="1">
      <alignment horizontal="right" vertical="top" wrapText="1"/>
    </xf>
    <xf numFmtId="172" fontId="12" fillId="8" borderId="11" xfId="1" applyNumberFormat="1" applyFont="1" applyFill="1" applyBorder="1" applyAlignment="1">
      <alignment vertical="top" wrapText="1"/>
    </xf>
    <xf numFmtId="0" fontId="12" fillId="8" borderId="66" xfId="0" applyFont="1" applyFill="1" applyBorder="1" applyAlignment="1">
      <alignment horizontal="justify" vertical="top" wrapText="1"/>
    </xf>
    <xf numFmtId="0" fontId="12" fillId="8" borderId="59" xfId="0" applyFont="1" applyFill="1" applyBorder="1" applyAlignment="1">
      <alignment horizontal="center" vertical="top" wrapText="1"/>
    </xf>
    <xf numFmtId="173" fontId="12" fillId="8" borderId="59" xfId="1" applyNumberFormat="1" applyFont="1" applyFill="1" applyBorder="1" applyAlignment="1">
      <alignment horizontal="right" vertical="top" wrapText="1"/>
    </xf>
    <xf numFmtId="173" fontId="12" fillId="8" borderId="11" xfId="0" applyNumberFormat="1" applyFont="1" applyFill="1" applyBorder="1" applyAlignment="1">
      <alignment horizontal="right" vertical="top" wrapText="1"/>
    </xf>
    <xf numFmtId="172" fontId="12" fillId="8" borderId="61" xfId="0" applyNumberFormat="1" applyFont="1" applyFill="1" applyBorder="1" applyAlignment="1">
      <alignment vertical="top" wrapText="1"/>
    </xf>
    <xf numFmtId="173" fontId="12" fillId="8" borderId="59" xfId="0" applyNumberFormat="1" applyFont="1" applyFill="1" applyBorder="1" applyAlignment="1">
      <alignment horizontal="right" vertical="top" wrapText="1"/>
    </xf>
    <xf numFmtId="172" fontId="12" fillId="8" borderId="67" xfId="1" applyNumberFormat="1" applyFont="1" applyFill="1" applyBorder="1" applyAlignment="1">
      <alignment vertical="top" wrapText="1"/>
    </xf>
    <xf numFmtId="164" fontId="0" fillId="8" borderId="0" xfId="67" applyFont="1" applyFill="1"/>
    <xf numFmtId="170" fontId="0" fillId="8" borderId="0" xfId="67" applyNumberFormat="1" applyFont="1" applyFill="1"/>
    <xf numFmtId="172" fontId="59" fillId="3" borderId="58" xfId="0" applyNumberFormat="1" applyFont="1" applyFill="1" applyBorder="1" applyAlignment="1">
      <alignment horizontal="right" vertical="top" wrapText="1"/>
    </xf>
  </cellXfs>
  <cellStyles count="70">
    <cellStyle name="Excel Built-in Comma" xfId="19" xr:uid="{00000000-0005-0000-0000-000000000000}"/>
    <cellStyle name="Excel Built-in Normal" xfId="18" xr:uid="{00000000-0005-0000-0000-000001000000}"/>
    <cellStyle name="Hipervínculo 2" xfId="22" xr:uid="{00000000-0005-0000-0000-000002000000}"/>
    <cellStyle name="Millares" xfId="1" builtinId="3"/>
    <cellStyle name="Millares [0]" xfId="67" builtinId="6"/>
    <cellStyle name="Millares [0] 2" xfId="23" xr:uid="{00000000-0005-0000-0000-000005000000}"/>
    <cellStyle name="Millares 10" xfId="5" xr:uid="{00000000-0005-0000-0000-000006000000}"/>
    <cellStyle name="Millares 10 2" xfId="24" xr:uid="{00000000-0005-0000-0000-000007000000}"/>
    <cellStyle name="Millares 11" xfId="25" xr:uid="{00000000-0005-0000-0000-000008000000}"/>
    <cellStyle name="Millares 12" xfId="26" xr:uid="{00000000-0005-0000-0000-000009000000}"/>
    <cellStyle name="Millares 13" xfId="27" xr:uid="{00000000-0005-0000-0000-00000A000000}"/>
    <cellStyle name="Millares 14" xfId="28" xr:uid="{00000000-0005-0000-0000-00000B000000}"/>
    <cellStyle name="Millares 15" xfId="29" xr:uid="{00000000-0005-0000-0000-00000C000000}"/>
    <cellStyle name="Millares 16" xfId="30" xr:uid="{00000000-0005-0000-0000-00000D000000}"/>
    <cellStyle name="Millares 17" xfId="31" xr:uid="{00000000-0005-0000-0000-00000E000000}"/>
    <cellStyle name="Millares 18" xfId="32" xr:uid="{00000000-0005-0000-0000-00000F000000}"/>
    <cellStyle name="Millares 19" xfId="33" xr:uid="{00000000-0005-0000-0000-000010000000}"/>
    <cellStyle name="Millares 2" xfId="3" xr:uid="{00000000-0005-0000-0000-000011000000}"/>
    <cellStyle name="Millares 2 2" xfId="20" xr:uid="{00000000-0005-0000-0000-000012000000}"/>
    <cellStyle name="Millares 2 3" xfId="65" xr:uid="{00000000-0005-0000-0000-000013000000}"/>
    <cellStyle name="Millares 20" xfId="69" xr:uid="{84CA1892-5EA7-41BF-ACEE-11677BDD9B9C}"/>
    <cellStyle name="Millares 3" xfId="34" xr:uid="{00000000-0005-0000-0000-000014000000}"/>
    <cellStyle name="Millares 4" xfId="35" xr:uid="{00000000-0005-0000-0000-000015000000}"/>
    <cellStyle name="Millares 5" xfId="36" xr:uid="{00000000-0005-0000-0000-000016000000}"/>
    <cellStyle name="Millares 6" xfId="6" xr:uid="{00000000-0005-0000-0000-000017000000}"/>
    <cellStyle name="Millares 6 2" xfId="37" xr:uid="{00000000-0005-0000-0000-000018000000}"/>
    <cellStyle name="Millares 7" xfId="38" xr:uid="{00000000-0005-0000-0000-000019000000}"/>
    <cellStyle name="Millares 8" xfId="39" xr:uid="{00000000-0005-0000-0000-00001A000000}"/>
    <cellStyle name="Millares 9" xfId="40" xr:uid="{00000000-0005-0000-0000-00001B000000}"/>
    <cellStyle name="Moneda [0] 2" xfId="42" xr:uid="{00000000-0005-0000-0000-00001C000000}"/>
    <cellStyle name="Moneda 2" xfId="41" xr:uid="{00000000-0005-0000-0000-00001D000000}"/>
    <cellStyle name="Moneda 3" xfId="62" xr:uid="{00000000-0005-0000-0000-00001E000000}"/>
    <cellStyle name="Normal" xfId="0" builtinId="0"/>
    <cellStyle name="Normal 10" xfId="7" xr:uid="{00000000-0005-0000-0000-000020000000}"/>
    <cellStyle name="Normal 10 2" xfId="43" xr:uid="{00000000-0005-0000-0000-000021000000}"/>
    <cellStyle name="Normal 11" xfId="8" xr:uid="{00000000-0005-0000-0000-000022000000}"/>
    <cellStyle name="Normal 11 2" xfId="44" xr:uid="{00000000-0005-0000-0000-000023000000}"/>
    <cellStyle name="Normal 12" xfId="9" xr:uid="{00000000-0005-0000-0000-000024000000}"/>
    <cellStyle name="Normal 12 2" xfId="45" xr:uid="{00000000-0005-0000-0000-00002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9" xfId="21" xr:uid="{00000000-0005-0000-0000-000030000000}"/>
    <cellStyle name="Normal 2" xfId="2" xr:uid="{00000000-0005-0000-0000-000031000000}"/>
    <cellStyle name="Normal 2 2" xfId="4" xr:uid="{00000000-0005-0000-0000-000032000000}"/>
    <cellStyle name="Normal 2 2 2" xfId="17" xr:uid="{00000000-0005-0000-0000-000033000000}"/>
    <cellStyle name="Normal 2 2 2 2" xfId="52" xr:uid="{00000000-0005-0000-0000-000034000000}"/>
    <cellStyle name="Normal 2 2 3" xfId="66" xr:uid="{00000000-0005-0000-0000-000035000000}"/>
    <cellStyle name="Normal 2 3" xfId="64" xr:uid="{00000000-0005-0000-0000-000036000000}"/>
    <cellStyle name="Normal 20" xfId="63" xr:uid="{00000000-0005-0000-0000-000037000000}"/>
    <cellStyle name="Normal 21" xfId="68" xr:uid="{4DFC0050-B368-40A6-A853-A07F092FC44A}"/>
    <cellStyle name="Normal 3" xfId="53" xr:uid="{00000000-0005-0000-0000-000038000000}"/>
    <cellStyle name="Normal 4" xfId="54" xr:uid="{00000000-0005-0000-0000-000039000000}"/>
    <cellStyle name="Normal 5" xfId="55" xr:uid="{00000000-0005-0000-0000-00003A000000}"/>
    <cellStyle name="Normal 6" xfId="14" xr:uid="{00000000-0005-0000-0000-00003B000000}"/>
    <cellStyle name="Normal 6 2" xfId="56" xr:uid="{00000000-0005-0000-0000-00003C000000}"/>
    <cellStyle name="Normal 7" xfId="57" xr:uid="{00000000-0005-0000-0000-00003D000000}"/>
    <cellStyle name="Normal 8" xfId="15" xr:uid="{00000000-0005-0000-0000-00003E000000}"/>
    <cellStyle name="Normal 8 2" xfId="58" xr:uid="{00000000-0005-0000-0000-00003F000000}"/>
    <cellStyle name="Normal 9" xfId="16" xr:uid="{00000000-0005-0000-0000-000040000000}"/>
    <cellStyle name="Normal 9 2" xfId="59" xr:uid="{00000000-0005-0000-0000-000041000000}"/>
    <cellStyle name="Notas 2" xfId="60" xr:uid="{00000000-0005-0000-0000-000042000000}"/>
    <cellStyle name="Porcentaje 2" xfId="61" xr:uid="{00000000-0005-0000-0000-000043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1720117</xdr:colOff>
      <xdr:row>355</xdr:row>
      <xdr:rowOff>107644</xdr:rowOff>
    </xdr:from>
    <xdr:to>
      <xdr:col>3</xdr:col>
      <xdr:colOff>709247</xdr:colOff>
      <xdr:row>356</xdr:row>
      <xdr:rowOff>47671</xdr:rowOff>
    </xdr:to>
    <xdr:sp macro="" textlink="">
      <xdr:nvSpPr>
        <xdr:cNvPr id="3" name="WordArt 19">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2072542" y="82632244"/>
          <a:ext cx="2246680" cy="178152"/>
        </a:xfrm>
        <a:prstGeom prst="rect">
          <a:avLst/>
        </a:prstGeom>
      </xdr:spPr>
      <xdr:txBody>
        <a:bodyPr wrap="none" fromWordArt="1">
          <a:prstTxWarp prst="textPlain">
            <a:avLst>
              <a:gd name="adj" fmla="val 50000"/>
            </a:avLst>
          </a:prstTxWarp>
        </a:bodyPr>
        <a:lstStyle/>
        <a:p>
          <a:pPr algn="ctr" rtl="0"/>
          <a:endParaRPr lang="es-ES" sz="36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a:p>
          <a:pPr algn="ctr" rtl="0"/>
          <a:endParaRPr lang="es-ES" sz="36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pageSetUpPr fitToPage="1"/>
  </sheetPr>
  <dimension ref="A2:J72"/>
  <sheetViews>
    <sheetView showGridLines="0" tabSelected="1" zoomScale="80" zoomScaleNormal="80" workbookViewId="0">
      <selection activeCell="A24" sqref="A24"/>
    </sheetView>
  </sheetViews>
  <sheetFormatPr baseColWidth="10" defaultRowHeight="15.75" x14ac:dyDescent="0.25"/>
  <cols>
    <col min="1" max="1" width="49.28515625" style="158" customWidth="1"/>
    <col min="2" max="3" width="16.7109375" style="4" customWidth="1"/>
    <col min="4" max="4" width="45.7109375" style="158" customWidth="1"/>
    <col min="5" max="6" width="16.7109375" style="4" customWidth="1"/>
    <col min="7" max="7" width="2.42578125" customWidth="1"/>
    <col min="8" max="10" width="14.5703125" bestFit="1" customWidth="1"/>
  </cols>
  <sheetData>
    <row r="2" spans="1:10" ht="53.25" customHeight="1" x14ac:dyDescent="0.25">
      <c r="A2" s="634" t="s">
        <v>500</v>
      </c>
      <c r="B2" s="634"/>
      <c r="C2" s="634"/>
      <c r="D2" s="634"/>
      <c r="E2" s="634"/>
      <c r="F2" s="634"/>
      <c r="G2" s="2"/>
      <c r="H2" s="1"/>
      <c r="I2" s="1"/>
    </row>
    <row r="3" spans="1:10" ht="6.75" customHeight="1" x14ac:dyDescent="0.25">
      <c r="G3" s="3"/>
    </row>
    <row r="4" spans="1:10" s="7" customFormat="1" ht="32.25" customHeight="1" x14ac:dyDescent="0.25">
      <c r="A4" s="159" t="s">
        <v>0</v>
      </c>
      <c r="B4" s="131">
        <v>43921</v>
      </c>
      <c r="C4" s="131">
        <v>43830</v>
      </c>
      <c r="D4" s="159" t="s">
        <v>8</v>
      </c>
      <c r="E4" s="131">
        <v>43921</v>
      </c>
      <c r="F4" s="620">
        <v>43830</v>
      </c>
      <c r="G4" s="4"/>
    </row>
    <row r="5" spans="1:10" s="165" customFormat="1" x14ac:dyDescent="0.25">
      <c r="A5" s="157" t="s">
        <v>1</v>
      </c>
      <c r="B5" s="125"/>
      <c r="C5" s="125"/>
      <c r="D5" s="157" t="s">
        <v>251</v>
      </c>
      <c r="E5" s="125"/>
      <c r="F5" s="125"/>
      <c r="G5" s="158"/>
    </row>
    <row r="6" spans="1:10" s="7" customFormat="1" ht="15" x14ac:dyDescent="0.25">
      <c r="A6" s="124" t="s">
        <v>133</v>
      </c>
      <c r="B6" s="9">
        <f>+B7+B8</f>
        <v>10292046881</v>
      </c>
      <c r="C6" s="404">
        <v>9216119470</v>
      </c>
      <c r="D6" s="124" t="s">
        <v>295</v>
      </c>
      <c r="E6" s="128">
        <f>+E7</f>
        <v>63610619</v>
      </c>
      <c r="F6" s="128">
        <v>29209612</v>
      </c>
      <c r="G6" s="4"/>
      <c r="H6" s="9"/>
    </row>
    <row r="7" spans="1:10" s="7" customFormat="1" x14ac:dyDescent="0.25">
      <c r="A7" s="160" t="s">
        <v>459</v>
      </c>
      <c r="B7" s="126">
        <f>+Notas!E83</f>
        <v>1000000</v>
      </c>
      <c r="C7" s="126">
        <v>1000000</v>
      </c>
      <c r="D7" s="162" t="s">
        <v>462</v>
      </c>
      <c r="E7" s="126">
        <f>+Notas!C287</f>
        <v>63610619</v>
      </c>
      <c r="F7" s="126">
        <v>29209612</v>
      </c>
      <c r="G7" s="4"/>
    </row>
    <row r="8" spans="1:10" s="7" customFormat="1" x14ac:dyDescent="0.25">
      <c r="A8" s="161" t="s">
        <v>460</v>
      </c>
      <c r="B8" s="168">
        <f>+Notas!E123</f>
        <v>10291046881</v>
      </c>
      <c r="C8" s="168">
        <v>9215119470</v>
      </c>
      <c r="D8" s="160" t="s">
        <v>463</v>
      </c>
      <c r="E8" s="408">
        <v>0</v>
      </c>
      <c r="F8" s="408">
        <v>0</v>
      </c>
      <c r="G8" s="4"/>
      <c r="I8" s="9"/>
      <c r="J8" s="9"/>
    </row>
    <row r="9" spans="1:10" s="17" customFormat="1" x14ac:dyDescent="0.25">
      <c r="A9" s="160"/>
      <c r="B9" s="126"/>
      <c r="C9" s="126"/>
      <c r="D9" s="160"/>
      <c r="E9" s="126"/>
      <c r="F9" s="126"/>
      <c r="G9" s="130"/>
    </row>
    <row r="10" spans="1:10" s="7" customFormat="1" x14ac:dyDescent="0.25">
      <c r="A10" s="124" t="s">
        <v>461</v>
      </c>
      <c r="B10" s="404">
        <f>+B11+B12+B13</f>
        <v>31115509441</v>
      </c>
      <c r="C10" s="404">
        <v>35152392636.539803</v>
      </c>
      <c r="D10" s="163" t="s">
        <v>252</v>
      </c>
      <c r="E10" s="128">
        <f>+E11+E12+E13</f>
        <v>1035761021</v>
      </c>
      <c r="F10" s="128">
        <v>882562672</v>
      </c>
      <c r="G10" s="4"/>
    </row>
    <row r="11" spans="1:10" s="7" customFormat="1" x14ac:dyDescent="0.25">
      <c r="A11" s="162" t="s">
        <v>4</v>
      </c>
      <c r="B11" s="126">
        <v>16462545723</v>
      </c>
      <c r="C11" s="126">
        <v>19560799449</v>
      </c>
      <c r="D11" s="162" t="s">
        <v>253</v>
      </c>
      <c r="E11" s="126">
        <v>978511870</v>
      </c>
      <c r="F11" s="126">
        <v>853165781</v>
      </c>
      <c r="G11" s="4"/>
    </row>
    <row r="12" spans="1:10" s="7" customFormat="1" x14ac:dyDescent="0.25">
      <c r="A12" s="162" t="s">
        <v>3</v>
      </c>
      <c r="B12" s="126">
        <v>14789284978</v>
      </c>
      <c r="C12" s="126">
        <v>15727914447.539803</v>
      </c>
      <c r="D12" s="162" t="s">
        <v>264</v>
      </c>
      <c r="E12" s="126">
        <v>39293656</v>
      </c>
      <c r="F12" s="126">
        <v>29396891</v>
      </c>
      <c r="G12" s="4"/>
    </row>
    <row r="13" spans="1:10" s="7" customFormat="1" x14ac:dyDescent="0.25">
      <c r="A13" s="162" t="s">
        <v>355</v>
      </c>
      <c r="B13" s="126">
        <f>-Notas!F360</f>
        <v>-136321260</v>
      </c>
      <c r="C13" s="126">
        <v>-136321260</v>
      </c>
      <c r="D13" s="160" t="s">
        <v>523</v>
      </c>
      <c r="E13" s="126">
        <v>17955495</v>
      </c>
      <c r="F13" s="126"/>
      <c r="G13" s="4"/>
    </row>
    <row r="14" spans="1:10" s="7" customFormat="1" x14ac:dyDescent="0.25">
      <c r="A14" s="160"/>
      <c r="B14" s="126"/>
      <c r="C14" s="126"/>
      <c r="D14" s="160"/>
      <c r="E14" s="126"/>
      <c r="F14" s="126"/>
      <c r="G14" s="4"/>
    </row>
    <row r="15" spans="1:10" s="7" customFormat="1" ht="15.75" customHeight="1" x14ac:dyDescent="0.25">
      <c r="A15" s="157" t="s">
        <v>349</v>
      </c>
      <c r="B15" s="404">
        <f>+B16</f>
        <v>2689575452</v>
      </c>
      <c r="C15" s="404">
        <v>195717985</v>
      </c>
      <c r="D15" s="531" t="s">
        <v>468</v>
      </c>
      <c r="E15" s="128">
        <f>+E16</f>
        <v>268550279</v>
      </c>
      <c r="F15" s="128">
        <v>1732453771</v>
      </c>
      <c r="G15" s="4"/>
      <c r="H15" s="9"/>
    </row>
    <row r="16" spans="1:10" s="7" customFormat="1" x14ac:dyDescent="0.25">
      <c r="A16" s="162" t="s">
        <v>458</v>
      </c>
      <c r="B16" s="126">
        <f>+Notas!C197</f>
        <v>2689575452</v>
      </c>
      <c r="C16" s="126">
        <v>195717985</v>
      </c>
      <c r="D16" s="160" t="s">
        <v>464</v>
      </c>
      <c r="E16" s="126">
        <f>+Notas!C323</f>
        <v>268550279</v>
      </c>
      <c r="F16" s="126">
        <v>1732453771</v>
      </c>
      <c r="G16" s="4"/>
    </row>
    <row r="17" spans="1:10" s="7" customFormat="1" x14ac:dyDescent="0.25">
      <c r="A17" s="160"/>
      <c r="B17" s="126"/>
      <c r="C17" s="126"/>
      <c r="D17" s="157" t="s">
        <v>254</v>
      </c>
      <c r="E17" s="128">
        <f>+E6+E10+E15</f>
        <v>1367921919</v>
      </c>
      <c r="F17" s="128">
        <v>2644226055</v>
      </c>
      <c r="G17" s="4"/>
    </row>
    <row r="18" spans="1:10" s="7" customFormat="1" x14ac:dyDescent="0.25">
      <c r="A18" s="162" t="s">
        <v>412</v>
      </c>
      <c r="B18" s="126">
        <v>0</v>
      </c>
      <c r="C18" s="126">
        <v>0</v>
      </c>
      <c r="D18" s="162"/>
      <c r="E18" s="125"/>
      <c r="F18" s="125"/>
      <c r="G18" s="4"/>
      <c r="H18" s="9"/>
    </row>
    <row r="19" spans="1:10" s="7" customFormat="1" x14ac:dyDescent="0.25">
      <c r="A19" s="160"/>
      <c r="B19" s="126"/>
      <c r="C19" s="126"/>
      <c r="D19" s="157" t="s">
        <v>255</v>
      </c>
      <c r="E19" s="128">
        <f>+E17</f>
        <v>1367921919</v>
      </c>
      <c r="F19" s="128">
        <f>+F6+F10+F15</f>
        <v>2644226055</v>
      </c>
      <c r="G19" s="4"/>
      <c r="H19" s="9"/>
    </row>
    <row r="20" spans="1:10" s="7" customFormat="1" x14ac:dyDescent="0.25">
      <c r="A20" s="157" t="s">
        <v>356</v>
      </c>
      <c r="B20" s="128">
        <f>+B21</f>
        <v>800193677</v>
      </c>
      <c r="C20" s="128">
        <v>919392010</v>
      </c>
      <c r="D20" s="160"/>
      <c r="E20" s="160"/>
      <c r="F20" s="160"/>
      <c r="G20" s="4"/>
    </row>
    <row r="21" spans="1:10" s="7" customFormat="1" x14ac:dyDescent="0.25">
      <c r="A21" s="162" t="s">
        <v>456</v>
      </c>
      <c r="B21" s="126">
        <f>+Notas!C270</f>
        <v>800193677</v>
      </c>
      <c r="C21" s="126">
        <v>919392010</v>
      </c>
      <c r="D21" s="157" t="s">
        <v>465</v>
      </c>
      <c r="E21" s="126">
        <f>+E22</f>
        <v>45177583914</v>
      </c>
      <c r="F21" s="126">
        <v>44120034019</v>
      </c>
      <c r="G21" s="4"/>
      <c r="H21" s="9"/>
      <c r="I21" s="9"/>
    </row>
    <row r="22" spans="1:10" s="7" customFormat="1" x14ac:dyDescent="0.25">
      <c r="A22" s="160"/>
      <c r="B22" s="126"/>
      <c r="C22" s="126"/>
      <c r="D22" s="157" t="s">
        <v>256</v>
      </c>
      <c r="E22" s="128">
        <f>+Notas!F354</f>
        <v>45177583914</v>
      </c>
      <c r="F22" s="128">
        <v>44120034019</v>
      </c>
      <c r="G22" s="4"/>
    </row>
    <row r="23" spans="1:10" s="7" customFormat="1" x14ac:dyDescent="0.25">
      <c r="A23" s="157" t="s">
        <v>5</v>
      </c>
      <c r="B23" s="128">
        <f>+B20+B15+B10+B6</f>
        <v>44897325451</v>
      </c>
      <c r="C23" s="128">
        <f>+C20+C15+C10+C6</f>
        <v>45483622101.539803</v>
      </c>
      <c r="E23" s="160"/>
      <c r="F23" s="160"/>
      <c r="G23" s="4"/>
      <c r="H23" s="9"/>
    </row>
    <row r="24" spans="1:10" s="7" customFormat="1" x14ac:dyDescent="0.25">
      <c r="A24" s="160"/>
      <c r="B24" s="126"/>
      <c r="C24" s="126"/>
      <c r="D24" s="162"/>
      <c r="E24" s="160"/>
      <c r="F24" s="160"/>
      <c r="G24" s="4"/>
      <c r="H24" s="208"/>
      <c r="I24" s="208"/>
      <c r="J24" s="9"/>
    </row>
    <row r="25" spans="1:10" s="7" customFormat="1" x14ac:dyDescent="0.25">
      <c r="A25" s="157" t="s">
        <v>6</v>
      </c>
      <c r="B25" s="126"/>
      <c r="C25" s="126"/>
      <c r="D25" s="157"/>
      <c r="E25" s="160"/>
      <c r="F25" s="160"/>
      <c r="G25" s="4"/>
      <c r="H25" s="207"/>
      <c r="I25" s="207"/>
    </row>
    <row r="26" spans="1:10" s="7" customFormat="1" x14ac:dyDescent="0.25">
      <c r="A26" s="163" t="s">
        <v>157</v>
      </c>
      <c r="B26" s="128">
        <v>369547169</v>
      </c>
      <c r="C26" s="128">
        <v>369547169</v>
      </c>
      <c r="D26" s="160"/>
      <c r="E26" s="160"/>
      <c r="F26" s="160"/>
      <c r="G26" s="4"/>
      <c r="H26" s="207"/>
      <c r="I26" s="207"/>
    </row>
    <row r="27" spans="1:10" s="7" customFormat="1" x14ac:dyDescent="0.25">
      <c r="A27" s="160"/>
      <c r="B27" s="126"/>
      <c r="C27" s="126"/>
      <c r="D27" s="160"/>
      <c r="E27" s="160"/>
      <c r="F27" s="160"/>
      <c r="G27" s="4"/>
      <c r="H27" s="207"/>
      <c r="I27" s="207"/>
    </row>
    <row r="28" spans="1:10" s="7" customFormat="1" x14ac:dyDescent="0.25">
      <c r="A28" s="162" t="s">
        <v>354</v>
      </c>
      <c r="B28" s="408">
        <f>+Notas!D186</f>
        <v>369547169</v>
      </c>
      <c r="C28" s="126">
        <v>369547169</v>
      </c>
      <c r="D28" s="160"/>
      <c r="E28" s="160"/>
      <c r="F28" s="160"/>
      <c r="G28" s="4"/>
    </row>
    <row r="29" spans="1:10" s="7" customFormat="1" x14ac:dyDescent="0.25">
      <c r="A29" s="162" t="s">
        <v>350</v>
      </c>
      <c r="B29" s="126">
        <v>0</v>
      </c>
      <c r="C29" s="126">
        <v>0</v>
      </c>
      <c r="D29" s="160"/>
      <c r="E29" s="160"/>
      <c r="F29" s="160"/>
      <c r="G29" s="4"/>
      <c r="H29" s="9"/>
      <c r="I29" s="9"/>
    </row>
    <row r="30" spans="1:10" s="7" customFormat="1" x14ac:dyDescent="0.25">
      <c r="A30" s="160"/>
      <c r="B30" s="126"/>
      <c r="C30" s="126"/>
      <c r="D30" s="160"/>
      <c r="E30" s="160"/>
      <c r="F30" s="160"/>
      <c r="G30" s="4"/>
    </row>
    <row r="31" spans="1:10" s="7" customFormat="1" x14ac:dyDescent="0.25">
      <c r="A31" s="157" t="s">
        <v>351</v>
      </c>
      <c r="B31" s="128">
        <f>+B32+B33</f>
        <v>812654300.3419435</v>
      </c>
      <c r="C31" s="128">
        <v>552500035.81187725</v>
      </c>
      <c r="D31" s="160"/>
      <c r="E31" s="126"/>
      <c r="F31" s="126"/>
      <c r="G31" s="4"/>
    </row>
    <row r="32" spans="1:10" s="7" customFormat="1" x14ac:dyDescent="0.25">
      <c r="A32" s="160" t="s">
        <v>352</v>
      </c>
      <c r="B32" s="126">
        <f>+Notas!G229</f>
        <v>1064596180</v>
      </c>
      <c r="C32" s="126">
        <v>788758772.46993375</v>
      </c>
      <c r="D32" s="157"/>
      <c r="E32" s="126"/>
      <c r="F32" s="126"/>
      <c r="G32" s="4"/>
    </row>
    <row r="33" spans="1:9" s="7" customFormat="1" x14ac:dyDescent="0.25">
      <c r="A33" s="160" t="s">
        <v>353</v>
      </c>
      <c r="B33" s="126">
        <f>-Notas!G238</f>
        <v>-251941879.65805647</v>
      </c>
      <c r="C33" s="126">
        <v>-236258736.65805647</v>
      </c>
      <c r="D33" s="160"/>
      <c r="E33" s="126"/>
      <c r="F33" s="126"/>
      <c r="G33" s="127"/>
    </row>
    <row r="34" spans="1:9" s="7" customFormat="1" x14ac:dyDescent="0.25">
      <c r="A34" s="160"/>
      <c r="B34" s="126"/>
      <c r="C34" s="126"/>
      <c r="D34" s="160"/>
      <c r="E34" s="126"/>
      <c r="F34" s="126"/>
      <c r="G34" s="127"/>
      <c r="H34" s="9"/>
    </row>
    <row r="35" spans="1:9" s="7" customFormat="1" x14ac:dyDescent="0.25">
      <c r="A35" s="157" t="s">
        <v>381</v>
      </c>
      <c r="B35" s="128">
        <f>+B36+B37</f>
        <v>465978913</v>
      </c>
      <c r="C35" s="128">
        <v>358590768</v>
      </c>
      <c r="D35" s="160"/>
      <c r="E35" s="126"/>
      <c r="F35" s="126"/>
      <c r="G35" s="127"/>
      <c r="H35" s="9"/>
    </row>
    <row r="36" spans="1:9" s="7" customFormat="1" x14ac:dyDescent="0.25">
      <c r="A36" s="160" t="s">
        <v>382</v>
      </c>
      <c r="B36" s="126">
        <f>+Notas!F254</f>
        <v>376311328</v>
      </c>
      <c r="C36" s="126">
        <v>327517773</v>
      </c>
      <c r="D36" s="160"/>
      <c r="E36" s="126"/>
      <c r="F36" s="126"/>
      <c r="G36" s="127"/>
    </row>
    <row r="37" spans="1:9" s="7" customFormat="1" x14ac:dyDescent="0.25">
      <c r="A37" s="160" t="s">
        <v>457</v>
      </c>
      <c r="B37" s="126">
        <f>+Notas!F248</f>
        <v>89667585</v>
      </c>
      <c r="C37" s="126">
        <v>31072995</v>
      </c>
      <c r="D37" s="160"/>
      <c r="E37" s="126"/>
      <c r="F37" s="126"/>
      <c r="G37" s="127"/>
    </row>
    <row r="38" spans="1:9" s="7" customFormat="1" x14ac:dyDescent="0.25">
      <c r="A38" s="157" t="s">
        <v>7</v>
      </c>
      <c r="B38" s="128">
        <f>+B35+B31+B26</f>
        <v>1648180382.3419435</v>
      </c>
      <c r="C38" s="128">
        <f>+C26+C31+C35</f>
        <v>1280637972.8118773</v>
      </c>
      <c r="D38" s="157"/>
      <c r="E38" s="126"/>
      <c r="F38" s="126"/>
      <c r="G38" s="4"/>
      <c r="I38" s="9"/>
    </row>
    <row r="39" spans="1:9" s="7" customFormat="1" x14ac:dyDescent="0.25">
      <c r="A39" s="157"/>
      <c r="B39" s="128"/>
      <c r="C39" s="128"/>
      <c r="D39" s="157"/>
      <c r="E39" s="126"/>
      <c r="F39" s="126"/>
      <c r="G39" s="4"/>
      <c r="I39" s="9"/>
    </row>
    <row r="40" spans="1:9" s="7" customFormat="1" x14ac:dyDescent="0.25">
      <c r="A40" s="157"/>
      <c r="B40" s="128"/>
      <c r="C40" s="128"/>
      <c r="D40" s="157"/>
      <c r="E40" s="126"/>
      <c r="F40" s="126"/>
      <c r="G40" s="4"/>
      <c r="I40" s="9"/>
    </row>
    <row r="41" spans="1:9" s="7" customFormat="1" x14ac:dyDescent="0.25">
      <c r="A41" s="164" t="s">
        <v>71</v>
      </c>
      <c r="B41" s="129">
        <f>+B38+B23</f>
        <v>46545505833.341942</v>
      </c>
      <c r="C41" s="129">
        <f>+C23+C38</f>
        <v>46764260074.351677</v>
      </c>
      <c r="D41" s="164" t="s">
        <v>10</v>
      </c>
      <c r="E41" s="129">
        <f>+E22+E19</f>
        <v>46545505833</v>
      </c>
      <c r="F41" s="118">
        <f>+F22+F19</f>
        <v>46764260074</v>
      </c>
      <c r="G41" s="4"/>
      <c r="H41" s="9"/>
      <c r="I41" s="9"/>
    </row>
    <row r="42" spans="1:9" x14ac:dyDescent="0.25">
      <c r="A42" s="165" t="s">
        <v>466</v>
      </c>
      <c r="B42" s="7"/>
      <c r="C42" s="7"/>
      <c r="D42" s="165"/>
      <c r="E42" s="9"/>
      <c r="F42" s="9"/>
      <c r="G42" s="3"/>
    </row>
    <row r="43" spans="1:9" x14ac:dyDescent="0.25">
      <c r="A43" s="165"/>
      <c r="B43" s="294"/>
      <c r="C43" s="294"/>
      <c r="D43" s="165"/>
      <c r="E43" s="7"/>
      <c r="F43" s="9"/>
      <c r="G43" s="3"/>
    </row>
    <row r="44" spans="1:9" s="150" customFormat="1" x14ac:dyDescent="0.25">
      <c r="A44" s="282"/>
      <c r="B44" s="283"/>
      <c r="C44" s="283"/>
      <c r="D44" s="282"/>
      <c r="E44" s="283"/>
      <c r="F44" s="283"/>
      <c r="G44" s="284"/>
    </row>
    <row r="45" spans="1:9" s="150" customFormat="1" x14ac:dyDescent="0.25">
      <c r="A45" s="282"/>
      <c r="B45" s="283"/>
      <c r="C45" s="283"/>
      <c r="D45" s="282"/>
      <c r="E45" s="283"/>
      <c r="F45" s="283"/>
      <c r="G45" s="284"/>
    </row>
    <row r="46" spans="1:9" s="150" customFormat="1" x14ac:dyDescent="0.25">
      <c r="A46" s="285"/>
      <c r="B46" s="283"/>
      <c r="C46" s="283"/>
      <c r="D46" s="285"/>
      <c r="E46" s="283"/>
      <c r="F46" s="283"/>
      <c r="G46" s="284"/>
    </row>
    <row r="47" spans="1:9" s="150" customFormat="1" x14ac:dyDescent="0.25">
      <c r="A47" s="286"/>
      <c r="B47" s="283"/>
      <c r="C47" s="283"/>
      <c r="D47" s="286"/>
      <c r="E47" s="283"/>
      <c r="F47" s="283"/>
      <c r="G47" s="284"/>
    </row>
    <row r="48" spans="1:9" s="150" customFormat="1" x14ac:dyDescent="0.25">
      <c r="A48" s="282"/>
      <c r="B48" s="283"/>
      <c r="C48" s="283"/>
      <c r="D48" s="282"/>
      <c r="E48" s="283"/>
      <c r="F48" s="283"/>
      <c r="G48" s="284"/>
    </row>
    <row r="49" spans="1:7" s="150" customFormat="1" x14ac:dyDescent="0.25">
      <c r="A49" s="282"/>
      <c r="B49" s="283"/>
      <c r="C49" s="283"/>
      <c r="D49" s="282"/>
      <c r="E49" s="283"/>
      <c r="F49" s="283"/>
      <c r="G49" s="284"/>
    </row>
    <row r="50" spans="1:7" s="150" customFormat="1" x14ac:dyDescent="0.25">
      <c r="A50" s="282"/>
      <c r="B50" s="283"/>
      <c r="C50" s="283"/>
      <c r="D50" s="282"/>
      <c r="E50" s="283"/>
      <c r="F50" s="283"/>
      <c r="G50" s="284"/>
    </row>
    <row r="51" spans="1:7" s="150" customFormat="1" x14ac:dyDescent="0.25">
      <c r="A51" s="282"/>
      <c r="B51" s="283"/>
      <c r="C51" s="283"/>
      <c r="D51" s="282"/>
      <c r="E51" s="283"/>
      <c r="F51" s="283"/>
      <c r="G51" s="284"/>
    </row>
    <row r="52" spans="1:7" s="150" customFormat="1" x14ac:dyDescent="0.25">
      <c r="A52" s="282"/>
      <c r="B52" s="283"/>
      <c r="C52" s="283"/>
      <c r="D52" s="282"/>
      <c r="E52" s="283"/>
      <c r="F52" s="283"/>
      <c r="G52" s="284"/>
    </row>
    <row r="53" spans="1:7" s="150" customFormat="1" x14ac:dyDescent="0.25">
      <c r="A53" s="282"/>
      <c r="B53" s="283"/>
      <c r="C53" s="283"/>
      <c r="D53" s="282"/>
      <c r="E53" s="283"/>
      <c r="F53" s="283"/>
      <c r="G53" s="284"/>
    </row>
    <row r="54" spans="1:7" s="150" customFormat="1" x14ac:dyDescent="0.25">
      <c r="A54" s="282"/>
      <c r="B54" s="283"/>
      <c r="C54" s="283"/>
      <c r="D54" s="282"/>
      <c r="E54" s="283"/>
      <c r="F54" s="283"/>
      <c r="G54" s="284"/>
    </row>
    <row r="55" spans="1:7" s="150" customFormat="1" x14ac:dyDescent="0.25">
      <c r="A55" s="282"/>
      <c r="B55" s="283"/>
      <c r="C55" s="283"/>
      <c r="D55" s="282"/>
      <c r="E55" s="283"/>
      <c r="F55" s="283"/>
      <c r="G55" s="284"/>
    </row>
    <row r="56" spans="1:7" x14ac:dyDescent="0.25">
      <c r="G56" s="3"/>
    </row>
    <row r="57" spans="1:7" x14ac:dyDescent="0.25">
      <c r="G57" s="3"/>
    </row>
    <row r="58" spans="1:7" x14ac:dyDescent="0.25">
      <c r="G58" s="4"/>
    </row>
    <row r="59" spans="1:7" x14ac:dyDescent="0.25">
      <c r="G59" s="4"/>
    </row>
    <row r="60" spans="1:7" x14ac:dyDescent="0.25">
      <c r="G60" s="4"/>
    </row>
    <row r="61" spans="1:7" x14ac:dyDescent="0.25">
      <c r="G61" s="4"/>
    </row>
    <row r="62" spans="1:7" x14ac:dyDescent="0.25">
      <c r="G62" s="4"/>
    </row>
    <row r="63" spans="1:7" x14ac:dyDescent="0.25">
      <c r="G63" s="4"/>
    </row>
    <row r="64" spans="1:7" x14ac:dyDescent="0.25">
      <c r="G64" s="4"/>
    </row>
    <row r="65" spans="7:7" x14ac:dyDescent="0.25">
      <c r="G65" s="4"/>
    </row>
    <row r="66" spans="7:7" x14ac:dyDescent="0.25">
      <c r="G66" s="4"/>
    </row>
    <row r="67" spans="7:7" x14ac:dyDescent="0.25">
      <c r="G67" s="4"/>
    </row>
    <row r="68" spans="7:7" x14ac:dyDescent="0.25">
      <c r="G68" s="4"/>
    </row>
    <row r="69" spans="7:7" x14ac:dyDescent="0.25">
      <c r="G69" s="4"/>
    </row>
    <row r="70" spans="7:7" x14ac:dyDescent="0.25">
      <c r="G70" s="4"/>
    </row>
    <row r="71" spans="7:7" x14ac:dyDescent="0.25">
      <c r="G71" s="4"/>
    </row>
    <row r="72" spans="7:7" x14ac:dyDescent="0.25">
      <c r="G72" s="4"/>
    </row>
  </sheetData>
  <mergeCells count="1">
    <mergeCell ref="A2:F2"/>
  </mergeCells>
  <pageMargins left="0.24" right="0.25" top="0.43307086614173229" bottom="0.47244094488188981" header="0.31496062992125984" footer="0.31496062992125984"/>
  <pageSetup paperSize="9" scale="6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pageSetUpPr fitToPage="1"/>
  </sheetPr>
  <dimension ref="A2:F52"/>
  <sheetViews>
    <sheetView showGridLines="0" topLeftCell="A40" zoomScale="90" zoomScaleNormal="90" workbookViewId="0">
      <selection activeCell="C33" sqref="C33"/>
    </sheetView>
  </sheetViews>
  <sheetFormatPr baseColWidth="10" defaultRowHeight="15" x14ac:dyDescent="0.25"/>
  <cols>
    <col min="1" max="1" width="73.5703125" bestFit="1" customWidth="1"/>
    <col min="2" max="2" width="17" customWidth="1"/>
    <col min="3" max="3" width="16" customWidth="1"/>
    <col min="4" max="4" width="15.140625" style="150" bestFit="1" customWidth="1"/>
    <col min="5" max="5" width="15.28515625" style="150" bestFit="1" customWidth="1"/>
    <col min="6" max="6" width="11.42578125" style="150"/>
  </cols>
  <sheetData>
    <row r="2" spans="1:3" ht="61.5" customHeight="1" x14ac:dyDescent="0.25">
      <c r="A2" s="634" t="s">
        <v>527</v>
      </c>
      <c r="B2" s="634"/>
      <c r="C2" s="634"/>
    </row>
    <row r="3" spans="1:3" ht="30" customHeight="1" x14ac:dyDescent="0.25">
      <c r="A3" s="16" t="s">
        <v>96</v>
      </c>
      <c r="B3" s="131">
        <v>43921</v>
      </c>
      <c r="C3" s="131">
        <v>43555</v>
      </c>
    </row>
    <row r="4" spans="1:3" x14ac:dyDescent="0.25">
      <c r="A4" s="10" t="s">
        <v>11</v>
      </c>
      <c r="B4" s="11">
        <f>+B8+B9</f>
        <v>2171728737</v>
      </c>
      <c r="C4" s="11">
        <f>+C8+C9</f>
        <v>1576024321</v>
      </c>
    </row>
    <row r="5" spans="1:3" ht="14.25" customHeight="1" x14ac:dyDescent="0.25">
      <c r="A5" s="12" t="s">
        <v>363</v>
      </c>
      <c r="B5" s="11"/>
      <c r="C5" s="11"/>
    </row>
    <row r="6" spans="1:3" x14ac:dyDescent="0.25">
      <c r="A6" s="18" t="s">
        <v>362</v>
      </c>
      <c r="B6" s="409"/>
      <c r="C6" s="409"/>
    </row>
    <row r="7" spans="1:3" x14ac:dyDescent="0.25">
      <c r="A7" s="18" t="s">
        <v>364</v>
      </c>
      <c r="B7" s="409"/>
      <c r="C7" s="409"/>
    </row>
    <row r="8" spans="1:3" x14ac:dyDescent="0.25">
      <c r="A8" s="13" t="s">
        <v>414</v>
      </c>
      <c r="B8" s="406"/>
      <c r="C8" s="406"/>
    </row>
    <row r="9" spans="1:3" x14ac:dyDescent="0.25">
      <c r="A9" s="13" t="s">
        <v>410</v>
      </c>
      <c r="B9" s="406">
        <f>+Notas!C378</f>
        <v>2171728737</v>
      </c>
      <c r="C9" s="406">
        <f>+Notas!D378</f>
        <v>1576024321</v>
      </c>
    </row>
    <row r="10" spans="1:3" x14ac:dyDescent="0.25">
      <c r="A10" s="350" t="s">
        <v>12</v>
      </c>
      <c r="B10" s="409">
        <f>+B11+B12</f>
        <v>54913185</v>
      </c>
      <c r="C10" s="409">
        <f>+C11+C12</f>
        <v>30049143</v>
      </c>
    </row>
    <row r="11" spans="1:3" x14ac:dyDescent="0.25">
      <c r="A11" s="288" t="s">
        <v>365</v>
      </c>
      <c r="B11" s="406">
        <v>27636293</v>
      </c>
      <c r="C11" s="406">
        <v>3337243</v>
      </c>
    </row>
    <row r="12" spans="1:3" x14ac:dyDescent="0.25">
      <c r="A12" s="290" t="s">
        <v>386</v>
      </c>
      <c r="B12" s="406">
        <f>+Notas!C397</f>
        <v>27276892</v>
      </c>
      <c r="C12" s="406">
        <f>+Notas!D397</f>
        <v>26711900</v>
      </c>
    </row>
    <row r="13" spans="1:3" x14ac:dyDescent="0.25">
      <c r="A13" s="352" t="s">
        <v>13</v>
      </c>
      <c r="B13" s="410">
        <f>+B4-B10</f>
        <v>2116815552</v>
      </c>
      <c r="C13" s="410">
        <f>+C4-C10</f>
        <v>1545975178</v>
      </c>
    </row>
    <row r="14" spans="1:3" x14ac:dyDescent="0.25">
      <c r="A14" s="352" t="s">
        <v>359</v>
      </c>
      <c r="B14" s="410">
        <f>+B15+B16</f>
        <v>8407981</v>
      </c>
      <c r="C14" s="410">
        <f>+C15+C16</f>
        <v>2206500</v>
      </c>
    </row>
    <row r="15" spans="1:3" x14ac:dyDescent="0.25">
      <c r="A15" s="288" t="s">
        <v>14</v>
      </c>
      <c r="B15" s="406">
        <v>0</v>
      </c>
      <c r="C15" s="406">
        <v>706500</v>
      </c>
    </row>
    <row r="16" spans="1:3" x14ac:dyDescent="0.25">
      <c r="A16" s="290" t="s">
        <v>407</v>
      </c>
      <c r="B16" s="406">
        <f>+Notas!C404</f>
        <v>8407981</v>
      </c>
      <c r="C16" s="406">
        <f>+Notas!D404</f>
        <v>1500000</v>
      </c>
    </row>
    <row r="17" spans="1:4" x14ac:dyDescent="0.25">
      <c r="A17" s="352" t="s">
        <v>358</v>
      </c>
      <c r="B17" s="410">
        <f>+B18+B19+B20+B21+B22+B24+B25+B23</f>
        <v>1387612753</v>
      </c>
      <c r="C17" s="410">
        <f>+C18+C19+C20+C21+C22+C24+C25+C23</f>
        <v>838808460</v>
      </c>
    </row>
    <row r="18" spans="1:4" x14ac:dyDescent="0.25">
      <c r="A18" s="288" t="s">
        <v>360</v>
      </c>
      <c r="B18" s="406">
        <v>22772841</v>
      </c>
      <c r="C18" s="406">
        <v>21859362</v>
      </c>
    </row>
    <row r="19" spans="1:4" x14ac:dyDescent="0.25">
      <c r="A19" s="354" t="s">
        <v>15</v>
      </c>
      <c r="B19" s="406">
        <v>909091</v>
      </c>
      <c r="C19" s="406">
        <f>2127273+2709091</f>
        <v>4836364</v>
      </c>
    </row>
    <row r="20" spans="1:4" x14ac:dyDescent="0.25">
      <c r="A20" s="288" t="s">
        <v>16</v>
      </c>
      <c r="B20" s="406">
        <v>77545089</v>
      </c>
      <c r="C20" s="406">
        <v>43561661</v>
      </c>
    </row>
    <row r="21" spans="1:4" x14ac:dyDescent="0.25">
      <c r="A21" s="288" t="s">
        <v>17</v>
      </c>
      <c r="B21" s="406">
        <f>33891597+5386365</f>
        <v>39277962</v>
      </c>
      <c r="C21" s="406">
        <v>7692892</v>
      </c>
    </row>
    <row r="22" spans="1:4" x14ac:dyDescent="0.25">
      <c r="A22" s="288" t="s">
        <v>18</v>
      </c>
      <c r="B22" s="406">
        <v>3360228</v>
      </c>
      <c r="C22" s="406">
        <v>1609434</v>
      </c>
    </row>
    <row r="23" spans="1:4" x14ac:dyDescent="0.25">
      <c r="A23" s="288" t="s">
        <v>19</v>
      </c>
      <c r="B23" s="406"/>
      <c r="C23" s="406"/>
      <c r="D23" s="490"/>
    </row>
    <row r="24" spans="1:4" x14ac:dyDescent="0.25">
      <c r="A24" s="288" t="s">
        <v>20</v>
      </c>
      <c r="B24" s="406">
        <v>9408000</v>
      </c>
      <c r="C24" s="406">
        <v>7888270</v>
      </c>
    </row>
    <row r="25" spans="1:4" x14ac:dyDescent="0.25">
      <c r="A25" s="290" t="s">
        <v>406</v>
      </c>
      <c r="B25" s="406">
        <f>+Notas!C438</f>
        <v>1234339542</v>
      </c>
      <c r="C25" s="406">
        <f>+Notas!D438</f>
        <v>751360477</v>
      </c>
    </row>
    <row r="26" spans="1:4" x14ac:dyDescent="0.25">
      <c r="A26" s="352" t="s">
        <v>21</v>
      </c>
      <c r="B26" s="353">
        <f>+B13-B14-B17</f>
        <v>720794818</v>
      </c>
      <c r="C26" s="353">
        <f>+C13-C14-C17</f>
        <v>704960218</v>
      </c>
    </row>
    <row r="27" spans="1:4" x14ac:dyDescent="0.25">
      <c r="A27" s="350" t="s">
        <v>22</v>
      </c>
      <c r="B27" s="351">
        <f>+B28-B29</f>
        <v>12717832</v>
      </c>
      <c r="C27" s="351">
        <f>+C28-C29</f>
        <v>-1266798</v>
      </c>
    </row>
    <row r="28" spans="1:4" x14ac:dyDescent="0.25">
      <c r="A28" s="288" t="s">
        <v>411</v>
      </c>
      <c r="B28" s="289">
        <f>+Notas!C448</f>
        <v>16010011</v>
      </c>
      <c r="C28" s="289">
        <f>+Notas!D448</f>
        <v>590910</v>
      </c>
    </row>
    <row r="29" spans="1:4" x14ac:dyDescent="0.25">
      <c r="A29" s="290" t="s">
        <v>366</v>
      </c>
      <c r="B29" s="289">
        <f>+Notas!C450</f>
        <v>3292179</v>
      </c>
      <c r="C29" s="289">
        <f>+Notas!D450</f>
        <v>1857708</v>
      </c>
    </row>
    <row r="30" spans="1:4" ht="14.25" customHeight="1" x14ac:dyDescent="0.25">
      <c r="A30" s="350" t="s">
        <v>23</v>
      </c>
      <c r="B30" s="291"/>
      <c r="C30" s="291"/>
    </row>
    <row r="31" spans="1:4" x14ac:dyDescent="0.25">
      <c r="A31" s="352" t="s">
        <v>24</v>
      </c>
      <c r="B31" s="353">
        <f>+B32+B33</f>
        <v>470702295</v>
      </c>
      <c r="C31" s="353">
        <f>+C32+C33</f>
        <v>557782488</v>
      </c>
    </row>
    <row r="32" spans="1:4" x14ac:dyDescent="0.25">
      <c r="A32" s="290" t="s">
        <v>387</v>
      </c>
      <c r="B32" s="289">
        <f>+Notas!C460</f>
        <v>340053798</v>
      </c>
      <c r="C32" s="289">
        <f>+Notas!D460</f>
        <v>320374058</v>
      </c>
    </row>
    <row r="33" spans="1:4" x14ac:dyDescent="0.25">
      <c r="A33" s="290" t="s">
        <v>25</v>
      </c>
      <c r="B33" s="289">
        <v>130648497</v>
      </c>
      <c r="C33" s="289">
        <v>237408430</v>
      </c>
    </row>
    <row r="34" spans="1:4" x14ac:dyDescent="0.25">
      <c r="A34" s="352" t="s">
        <v>26</v>
      </c>
      <c r="B34" s="353">
        <f>+B35+B36</f>
        <v>21318961</v>
      </c>
      <c r="C34" s="353">
        <f>+C35+C36</f>
        <v>808209</v>
      </c>
    </row>
    <row r="35" spans="1:4" x14ac:dyDescent="0.25">
      <c r="A35" s="290" t="s">
        <v>388</v>
      </c>
      <c r="B35" s="289">
        <f>+Notas!C466</f>
        <v>21318961</v>
      </c>
      <c r="C35" s="289">
        <f>+Notas!D466</f>
        <v>808209</v>
      </c>
    </row>
    <row r="36" spans="1:4" x14ac:dyDescent="0.25">
      <c r="A36" s="288" t="s">
        <v>25</v>
      </c>
      <c r="B36" s="406">
        <v>0</v>
      </c>
      <c r="C36" s="406">
        <v>0</v>
      </c>
      <c r="D36" s="490"/>
    </row>
    <row r="37" spans="1:4" x14ac:dyDescent="0.25">
      <c r="A37" s="352" t="s">
        <v>27</v>
      </c>
      <c r="B37" s="353">
        <f>B38</f>
        <v>0</v>
      </c>
      <c r="C37" s="353">
        <f>C38</f>
        <v>0</v>
      </c>
    </row>
    <row r="38" spans="1:4" x14ac:dyDescent="0.25">
      <c r="A38" s="288" t="s">
        <v>367</v>
      </c>
      <c r="B38" s="289"/>
      <c r="C38" s="289"/>
    </row>
    <row r="39" spans="1:4" x14ac:dyDescent="0.25">
      <c r="A39" s="352" t="s">
        <v>28</v>
      </c>
      <c r="B39" s="353">
        <v>0</v>
      </c>
      <c r="C39" s="353">
        <v>0</v>
      </c>
    </row>
    <row r="40" spans="1:4" x14ac:dyDescent="0.25">
      <c r="A40" s="288" t="s">
        <v>29</v>
      </c>
      <c r="B40" s="289">
        <v>0</v>
      </c>
      <c r="C40" s="289">
        <v>0</v>
      </c>
    </row>
    <row r="41" spans="1:4" x14ac:dyDescent="0.25">
      <c r="A41" s="288" t="s">
        <v>30</v>
      </c>
      <c r="B41" s="289">
        <v>0</v>
      </c>
      <c r="C41" s="289">
        <v>0</v>
      </c>
    </row>
    <row r="42" spans="1:4" x14ac:dyDescent="0.25">
      <c r="A42" s="352" t="s">
        <v>31</v>
      </c>
      <c r="B42" s="353">
        <f>+B26+B27+B31-B34+B37</f>
        <v>1182895984</v>
      </c>
      <c r="C42" s="353">
        <f>+C26+C27+C31-C34+C37</f>
        <v>1260667699</v>
      </c>
    </row>
    <row r="43" spans="1:4" x14ac:dyDescent="0.25">
      <c r="A43" s="352" t="s">
        <v>32</v>
      </c>
      <c r="B43" s="289">
        <v>125346089</v>
      </c>
      <c r="C43" s="289">
        <v>126066770</v>
      </c>
    </row>
    <row r="44" spans="1:4" x14ac:dyDescent="0.25">
      <c r="A44" s="352" t="s">
        <v>33</v>
      </c>
      <c r="B44" s="355">
        <f>+B42-B43</f>
        <v>1057549895</v>
      </c>
      <c r="C44" s="355">
        <f>+C42-C43</f>
        <v>1134600929</v>
      </c>
    </row>
    <row r="45" spans="1:4" ht="15.75" x14ac:dyDescent="0.25">
      <c r="A45" s="165" t="s">
        <v>466</v>
      </c>
      <c r="B45" s="5"/>
      <c r="C45" s="5"/>
    </row>
    <row r="46" spans="1:4" x14ac:dyDescent="0.25">
      <c r="B46" s="5"/>
      <c r="C46" s="5"/>
    </row>
    <row r="47" spans="1:4" x14ac:dyDescent="0.25">
      <c r="A47" s="98"/>
      <c r="B47" s="5"/>
      <c r="C47" s="150"/>
    </row>
    <row r="48" spans="1:4" x14ac:dyDescent="0.25">
      <c r="A48" s="98"/>
      <c r="B48" s="5"/>
      <c r="C48" s="150"/>
    </row>
    <row r="49" spans="2:3" x14ac:dyDescent="0.25">
      <c r="B49" s="5"/>
      <c r="C49" s="685"/>
    </row>
    <row r="50" spans="2:3" x14ac:dyDescent="0.25">
      <c r="C50" s="5"/>
    </row>
    <row r="52" spans="2:3" x14ac:dyDescent="0.25">
      <c r="B52" s="5"/>
    </row>
  </sheetData>
  <mergeCells count="1">
    <mergeCell ref="A2:C2"/>
  </mergeCells>
  <pageMargins left="0.9" right="0.70866141732283472" top="0.56999999999999995" bottom="0.74803149606299213" header="0.31496062992125984" footer="0.31496062992125984"/>
  <pageSetup paperSize="9" scale="7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pageSetUpPr fitToPage="1"/>
  </sheetPr>
  <dimension ref="A2:J57"/>
  <sheetViews>
    <sheetView zoomScale="70" zoomScaleNormal="70" workbookViewId="0">
      <selection activeCell="A36" sqref="A36"/>
    </sheetView>
  </sheetViews>
  <sheetFormatPr baseColWidth="10" defaultRowHeight="15" x14ac:dyDescent="0.25"/>
  <cols>
    <col min="1" max="1" width="85.42578125" customWidth="1"/>
    <col min="2" max="2" width="22.7109375" customWidth="1"/>
    <col min="3" max="3" width="23.28515625" customWidth="1"/>
    <col min="4" max="4" width="15.42578125" bestFit="1" customWidth="1"/>
    <col min="5" max="5" width="2.42578125" customWidth="1"/>
    <col min="7" max="7" width="27.28515625" hidden="1" customWidth="1"/>
    <col min="8" max="8" width="23.85546875" style="488" hidden="1" customWidth="1"/>
    <col min="9" max="10" width="13.5703125" hidden="1" customWidth="1"/>
    <col min="11" max="11" width="0" hidden="1" customWidth="1"/>
  </cols>
  <sheetData>
    <row r="2" spans="1:9" ht="60" customHeight="1" x14ac:dyDescent="0.25">
      <c r="A2" s="634" t="s">
        <v>528</v>
      </c>
      <c r="B2" s="634"/>
      <c r="C2" s="634"/>
    </row>
    <row r="3" spans="1:9" x14ac:dyDescent="0.25">
      <c r="A3" s="4"/>
      <c r="B3" s="4"/>
      <c r="C3" s="4"/>
    </row>
    <row r="4" spans="1:9" ht="30" customHeight="1" x14ac:dyDescent="0.25">
      <c r="A4" s="16"/>
      <c r="B4" s="131">
        <v>43921</v>
      </c>
      <c r="C4" s="131">
        <v>43555</v>
      </c>
      <c r="G4" t="s">
        <v>435</v>
      </c>
      <c r="H4" s="488">
        <f>+'Balance General'!C15</f>
        <v>195717985</v>
      </c>
    </row>
    <row r="5" spans="1:9" x14ac:dyDescent="0.25">
      <c r="A5" s="8" t="s">
        <v>34</v>
      </c>
      <c r="B5" s="14"/>
      <c r="C5" s="14"/>
      <c r="G5" t="s">
        <v>436</v>
      </c>
      <c r="H5" s="488">
        <f>+'Estado de Resultados'!B4</f>
        <v>2171728737</v>
      </c>
    </row>
    <row r="6" spans="1:9" x14ac:dyDescent="0.25">
      <c r="A6" s="13" t="s">
        <v>35</v>
      </c>
      <c r="B6" s="420">
        <f>+'Balance General'!C15+'Estado de Resultados'!B4+'Estado de Resultados'!B32-'Balance General'!B15+Notas!C448+'Balance General'!C21-'Balance General'!B21</f>
        <v>153133412</v>
      </c>
      <c r="C6" s="105">
        <f>66582121+'Estado de Resultados'!C4+'Estado de Resultados'!C32-'Balance General'!C16</f>
        <v>1767262515</v>
      </c>
    </row>
    <row r="7" spans="1:9" x14ac:dyDescent="0.25">
      <c r="A7" s="14" t="s">
        <v>36</v>
      </c>
      <c r="B7" s="421">
        <f>-'Balance General'!F12-Notas!C409-Notas!C410-Notas!C411-Notas!C413-Notas!C414-Notas!C415-Notas!C416-Notas!C421+'Balance General'!E12</f>
        <v>-1025881539</v>
      </c>
      <c r="C7" s="356">
        <f>-22784228-24877091-Notas!D409-Notas!D410-Notas!D411-Notas!D413-Notas!D414-Notas!D416-Notas!D415+'Balance General'!E12+'Balance General'!F16</f>
        <v>1129367408</v>
      </c>
    </row>
    <row r="8" spans="1:9" x14ac:dyDescent="0.25">
      <c r="A8" s="14" t="s">
        <v>37</v>
      </c>
      <c r="B8" s="356">
        <f>-'Balance General'!F16-Notas!C438-Notas!C404-Notas!C397-Notas!C450+'Balance General'!E16-B7-'Estado de Resultados'!B19-'Estado de Resultados'!B20-'Estado de Resultados'!B21-'Estado de Resultados'!B24-'Balance General'!E7+'Balance General'!F7-26535</f>
        <v>-1872906231</v>
      </c>
      <c r="C8" s="358">
        <f>-55599446-Notas!D397-Notas!D404-Notas!D438-Notas!D450+'Balance General'!F7</f>
        <v>-807819919</v>
      </c>
    </row>
    <row r="9" spans="1:9" ht="24" customHeight="1" x14ac:dyDescent="0.25">
      <c r="A9" s="115" t="s">
        <v>38</v>
      </c>
      <c r="B9" s="357">
        <f>SUM(B6:B8)</f>
        <v>-2745654358</v>
      </c>
      <c r="C9" s="357">
        <f>SUM(C6:C8)</f>
        <v>2088810004</v>
      </c>
      <c r="G9" t="s">
        <v>437</v>
      </c>
      <c r="H9" s="488">
        <f>+'Balance General'!B15</f>
        <v>2689575452</v>
      </c>
    </row>
    <row r="10" spans="1:9" x14ac:dyDescent="0.25">
      <c r="A10" s="10" t="s">
        <v>39</v>
      </c>
      <c r="B10" s="105"/>
      <c r="C10" s="105"/>
      <c r="H10" s="488">
        <f>+H4+H5-H9</f>
        <v>-322128730</v>
      </c>
    </row>
    <row r="11" spans="1:9" x14ac:dyDescent="0.25">
      <c r="A11" s="14" t="s">
        <v>40</v>
      </c>
      <c r="B11" s="105">
        <v>0</v>
      </c>
      <c r="C11" s="105"/>
    </row>
    <row r="12" spans="1:9" x14ac:dyDescent="0.25">
      <c r="A12" s="10" t="s">
        <v>41</v>
      </c>
      <c r="B12" s="105"/>
      <c r="C12" s="105"/>
    </row>
    <row r="13" spans="1:9" x14ac:dyDescent="0.25">
      <c r="A13" s="15" t="s">
        <v>42</v>
      </c>
      <c r="B13" s="420"/>
      <c r="C13" s="105"/>
    </row>
    <row r="14" spans="1:9" x14ac:dyDescent="0.25">
      <c r="A14" s="10" t="s">
        <v>43</v>
      </c>
      <c r="B14" s="106">
        <f>SUM(B9:B13)</f>
        <v>-2745654358</v>
      </c>
      <c r="C14" s="106">
        <f>SUM(C9:C13)</f>
        <v>2088810004</v>
      </c>
      <c r="G14" s="640" t="s">
        <v>96</v>
      </c>
      <c r="H14" s="639" t="s">
        <v>189</v>
      </c>
      <c r="I14" s="639"/>
    </row>
    <row r="15" spans="1:9" x14ac:dyDescent="0.25">
      <c r="A15" s="14" t="s">
        <v>44</v>
      </c>
      <c r="B15" s="420">
        <v>0</v>
      </c>
      <c r="C15" s="105">
        <f>590114728-Notas!D265-'Balance General'!C43+'Balance General'!F11-754000862</f>
        <v>-101667413</v>
      </c>
      <c r="G15" s="640"/>
      <c r="H15" s="395">
        <v>43830</v>
      </c>
      <c r="I15" s="395">
        <v>43465</v>
      </c>
    </row>
    <row r="16" spans="1:9" x14ac:dyDescent="0.25">
      <c r="A16" s="117" t="s">
        <v>45</v>
      </c>
      <c r="B16" s="118">
        <f>+B14+B15</f>
        <v>-2745654358</v>
      </c>
      <c r="C16" s="118">
        <f>+C14+C15</f>
        <v>1987142591</v>
      </c>
      <c r="G16" s="262" t="s">
        <v>195</v>
      </c>
      <c r="H16" s="116"/>
      <c r="I16" s="116"/>
    </row>
    <row r="17" spans="1:10" x14ac:dyDescent="0.25">
      <c r="A17" s="8" t="s">
        <v>55</v>
      </c>
      <c r="B17" s="105"/>
      <c r="C17" s="105"/>
      <c r="G17" s="262" t="s">
        <v>273</v>
      </c>
      <c r="H17" s="116">
        <v>22071042</v>
      </c>
      <c r="I17" s="116"/>
    </row>
    <row r="18" spans="1:10" x14ac:dyDescent="0.25">
      <c r="A18" s="14" t="s">
        <v>46</v>
      </c>
      <c r="B18" s="420">
        <v>0</v>
      </c>
      <c r="C18" s="105"/>
      <c r="G18" s="262" t="s">
        <v>262</v>
      </c>
      <c r="H18" s="116">
        <f>790947060+9999</f>
        <v>790957059</v>
      </c>
      <c r="I18" s="116">
        <v>572469818</v>
      </c>
      <c r="J18" s="5">
        <f>+H18+H17-I18</f>
        <v>240558283</v>
      </c>
    </row>
    <row r="19" spans="1:10" x14ac:dyDescent="0.25">
      <c r="A19" s="14" t="s">
        <v>47</v>
      </c>
      <c r="B19" s="420">
        <v>-1236033233</v>
      </c>
      <c r="C19" s="105">
        <v>9583800402</v>
      </c>
      <c r="G19" s="262" t="s">
        <v>318</v>
      </c>
      <c r="H19" s="116">
        <f>9999+94536607</f>
        <v>94546606</v>
      </c>
      <c r="I19" s="116">
        <v>49183455</v>
      </c>
      <c r="J19" s="5">
        <f>+I19-H19</f>
        <v>-45363151</v>
      </c>
    </row>
    <row r="20" spans="1:10" hidden="1" x14ac:dyDescent="0.25">
      <c r="A20" s="509" t="s">
        <v>48</v>
      </c>
      <c r="B20" s="510"/>
      <c r="C20" s="510"/>
      <c r="G20" s="262" t="s">
        <v>196</v>
      </c>
      <c r="H20" s="116">
        <v>11827302</v>
      </c>
      <c r="I20" s="116">
        <v>1636364</v>
      </c>
    </row>
    <row r="21" spans="1:10" x14ac:dyDescent="0.25">
      <c r="A21" s="14" t="s">
        <v>49</v>
      </c>
      <c r="B21" s="420">
        <f>-'Balance General'!B32+'Balance General'!C32-'Balance General'!B36+'Balance General'!C36</f>
        <v>-324630962.53006625</v>
      </c>
      <c r="C21" s="105">
        <f>126675685+107466052-'Balance General'!C32</f>
        <v>-554617035.46993375</v>
      </c>
      <c r="G21" s="262" t="s">
        <v>274</v>
      </c>
      <c r="H21" s="116"/>
      <c r="I21" s="116">
        <v>5222547</v>
      </c>
    </row>
    <row r="22" spans="1:10" hidden="1" x14ac:dyDescent="0.25">
      <c r="A22" s="509" t="s">
        <v>50</v>
      </c>
      <c r="B22" s="510">
        <v>0</v>
      </c>
      <c r="C22" s="510"/>
      <c r="G22" s="262" t="s">
        <v>319</v>
      </c>
      <c r="H22" s="116"/>
      <c r="I22" s="116">
        <v>2178000</v>
      </c>
    </row>
    <row r="23" spans="1:10" hidden="1" x14ac:dyDescent="0.25">
      <c r="A23" s="509" t="s">
        <v>51</v>
      </c>
      <c r="B23" s="510">
        <v>0</v>
      </c>
      <c r="C23" s="510"/>
      <c r="G23" s="262" t="s">
        <v>287</v>
      </c>
      <c r="H23" s="116"/>
      <c r="I23" s="116">
        <v>0</v>
      </c>
    </row>
    <row r="24" spans="1:10" x14ac:dyDescent="0.25">
      <c r="A24" s="14" t="s">
        <v>52</v>
      </c>
      <c r="B24" s="420">
        <f>'Estado de Resultados'!B8</f>
        <v>0</v>
      </c>
      <c r="C24" s="105"/>
      <c r="G24" s="262" t="s">
        <v>288</v>
      </c>
      <c r="H24" s="116"/>
      <c r="I24" s="116">
        <v>0</v>
      </c>
    </row>
    <row r="25" spans="1:10" x14ac:dyDescent="0.25">
      <c r="A25" s="117" t="s">
        <v>53</v>
      </c>
      <c r="B25" s="118">
        <f>SUM(B17:B24)</f>
        <v>-1560664195.5300663</v>
      </c>
      <c r="C25" s="118">
        <f>SUM(C17:C24)</f>
        <v>9029183366.5300655</v>
      </c>
      <c r="G25" s="471" t="s">
        <v>97</v>
      </c>
      <c r="H25" s="280">
        <f>SUM(H16:H24)</f>
        <v>919402009</v>
      </c>
      <c r="I25" s="280">
        <f>SUM(I17:I24)</f>
        <v>630690184</v>
      </c>
    </row>
    <row r="26" spans="1:10" x14ac:dyDescent="0.25">
      <c r="A26" s="8" t="s">
        <v>54</v>
      </c>
      <c r="B26" s="105"/>
      <c r="C26" s="105"/>
    </row>
    <row r="27" spans="1:10" hidden="1" x14ac:dyDescent="0.25">
      <c r="A27" s="509" t="s">
        <v>56</v>
      </c>
      <c r="B27" s="510">
        <v>0</v>
      </c>
      <c r="C27" s="510">
        <v>0</v>
      </c>
    </row>
    <row r="28" spans="1:10" x14ac:dyDescent="0.25">
      <c r="A28" s="14" t="s">
        <v>57</v>
      </c>
      <c r="B28" s="420">
        <v>0</v>
      </c>
      <c r="C28" s="420"/>
    </row>
    <row r="29" spans="1:10" x14ac:dyDescent="0.25">
      <c r="A29" s="14" t="s">
        <v>58</v>
      </c>
      <c r="B29" s="420">
        <f>-Notas!C465</f>
        <v>-21318961</v>
      </c>
      <c r="C29" s="420"/>
    </row>
    <row r="30" spans="1:10" x14ac:dyDescent="0.25">
      <c r="A30" s="117" t="s">
        <v>59</v>
      </c>
      <c r="B30" s="118">
        <f>SUM(B26:B29)</f>
        <v>-21318961</v>
      </c>
      <c r="C30" s="118">
        <f>SUM(C26:C29)</f>
        <v>0</v>
      </c>
    </row>
    <row r="31" spans="1:10" s="518" customFormat="1" ht="21" x14ac:dyDescent="0.35">
      <c r="A31" s="521" t="s">
        <v>271</v>
      </c>
      <c r="B31" s="520">
        <f>+'Estado de Resultados'!B33</f>
        <v>130648497</v>
      </c>
      <c r="C31" s="520">
        <v>237408430</v>
      </c>
      <c r="D31" s="517"/>
      <c r="H31" s="519"/>
    </row>
    <row r="32" spans="1:10" x14ac:dyDescent="0.25">
      <c r="A32" s="117" t="s">
        <v>60</v>
      </c>
      <c r="B32" s="118">
        <f>+B16+B25+B31+B30</f>
        <v>-4196989017.5300665</v>
      </c>
      <c r="C32" s="118">
        <f>+C16+C25+C30+C31</f>
        <v>11253734387.530066</v>
      </c>
      <c r="D32" s="5"/>
    </row>
    <row r="33" spans="1:8" x14ac:dyDescent="0.25">
      <c r="A33" s="117" t="s">
        <v>61</v>
      </c>
      <c r="B33" s="118">
        <f>+C34</f>
        <v>14489035898.530066</v>
      </c>
      <c r="C33" s="118">
        <v>3235301511</v>
      </c>
      <c r="D33" s="5"/>
      <c r="G33" t="s">
        <v>438</v>
      </c>
      <c r="H33" s="488">
        <f>-'Balance General'!F6</f>
        <v>-29209612</v>
      </c>
    </row>
    <row r="34" spans="1:8" x14ac:dyDescent="0.25">
      <c r="A34" s="117" t="s">
        <v>62</v>
      </c>
      <c r="B34" s="118">
        <f>+B32+B33</f>
        <v>10292046881</v>
      </c>
      <c r="C34" s="118">
        <f>+C32+C33</f>
        <v>14489035898.530066</v>
      </c>
      <c r="D34" s="5"/>
      <c r="G34" t="s">
        <v>439</v>
      </c>
      <c r="H34" s="488">
        <f>(('Estado de Resultados'!B4+'Estado de Resultados'!B33+'Estado de Resultados'!B38+'Estado de Resultados'!B28)-'Estado de Resultados'!B42)*-1</f>
        <v>-1135491261</v>
      </c>
    </row>
    <row r="35" spans="1:8" x14ac:dyDescent="0.25">
      <c r="A35" s="518" t="str">
        <f>'Estado de Resultados'!A45</f>
        <v>Las notas que se acompañan forman parte integrante de los Estados Financieros.</v>
      </c>
      <c r="C35" s="5"/>
      <c r="D35" s="5"/>
      <c r="G35" t="s">
        <v>440</v>
      </c>
      <c r="H35" s="488">
        <f>+'Balance General'!E6</f>
        <v>63610619</v>
      </c>
    </row>
    <row r="36" spans="1:8" ht="24.75" customHeight="1" x14ac:dyDescent="0.25">
      <c r="H36" s="488">
        <f>SUM(H33:H35)</f>
        <v>-1101090254</v>
      </c>
    </row>
    <row r="38" spans="1:8" x14ac:dyDescent="0.25">
      <c r="G38" t="s">
        <v>447</v>
      </c>
      <c r="H38" s="488">
        <v>-690101369</v>
      </c>
    </row>
    <row r="39" spans="1:8" x14ac:dyDescent="0.25">
      <c r="G39" t="s">
        <v>441</v>
      </c>
      <c r="H39" s="488">
        <f>-'Balance General'!F12</f>
        <v>-29396891</v>
      </c>
    </row>
    <row r="40" spans="1:8" x14ac:dyDescent="0.25">
      <c r="G40" t="s">
        <v>442</v>
      </c>
      <c r="H40" s="488">
        <f>-Notas!C411-Notas!C413-Notas!C414-Notas!C415-Notas!C416-Notas!C410----Notas!C421-Notas!C422-Notas!C423-Notas!C434</f>
        <v>-915050304</v>
      </c>
    </row>
    <row r="41" spans="1:8" s="49" customFormat="1" x14ac:dyDescent="0.25">
      <c r="G41" s="49" t="s">
        <v>443</v>
      </c>
      <c r="H41" s="488">
        <f>+'Balance General'!E12+Notas!C318</f>
        <v>139544638</v>
      </c>
    </row>
    <row r="42" spans="1:8" s="49" customFormat="1" x14ac:dyDescent="0.25">
      <c r="H42" s="488">
        <f>SUM(H38:H41)</f>
        <v>-1495003926</v>
      </c>
    </row>
    <row r="43" spans="1:8" s="49" customFormat="1" x14ac:dyDescent="0.25">
      <c r="H43" s="488"/>
    </row>
    <row r="44" spans="1:8" x14ac:dyDescent="0.25">
      <c r="G44" t="s">
        <v>444</v>
      </c>
      <c r="H44" s="488">
        <f>-'Balance General'!F11</f>
        <v>-853165781</v>
      </c>
    </row>
    <row r="45" spans="1:8" x14ac:dyDescent="0.25">
      <c r="B45" s="404"/>
      <c r="G45" t="s">
        <v>445</v>
      </c>
      <c r="H45" s="488">
        <f>-'Estado de Resultados'!B43</f>
        <v>-125346089</v>
      </c>
    </row>
    <row r="46" spans="1:8" x14ac:dyDescent="0.25">
      <c r="G46" t="s">
        <v>446</v>
      </c>
      <c r="H46" s="488">
        <f>+'Balance General'!E11</f>
        <v>978511870</v>
      </c>
    </row>
    <row r="47" spans="1:8" x14ac:dyDescent="0.25">
      <c r="H47" s="488">
        <f>SUM(H44:H46)</f>
        <v>0</v>
      </c>
    </row>
    <row r="50" spans="7:8" x14ac:dyDescent="0.25">
      <c r="G50" t="s">
        <v>448</v>
      </c>
      <c r="H50" s="488">
        <v>-29281846</v>
      </c>
    </row>
    <row r="51" spans="7:8" x14ac:dyDescent="0.25">
      <c r="G51" s="49" t="s">
        <v>449</v>
      </c>
      <c r="H51" s="488">
        <v>102193461</v>
      </c>
    </row>
    <row r="52" spans="7:8" x14ac:dyDescent="0.25">
      <c r="H52" s="488">
        <f>SUM(H50:H51)</f>
        <v>72911615</v>
      </c>
    </row>
    <row r="56" spans="7:8" x14ac:dyDescent="0.25">
      <c r="G56" s="230" t="s">
        <v>451</v>
      </c>
      <c r="H56" s="488">
        <v>0</v>
      </c>
    </row>
    <row r="57" spans="7:8" x14ac:dyDescent="0.25">
      <c r="G57" s="230" t="s">
        <v>450</v>
      </c>
      <c r="H57" s="231">
        <f>790564860+781039</f>
        <v>791345899</v>
      </c>
    </row>
  </sheetData>
  <mergeCells count="3">
    <mergeCell ref="A2:C2"/>
    <mergeCell ref="G14:G15"/>
    <mergeCell ref="H14:I14"/>
  </mergeCells>
  <pageMargins left="0.34" right="0.25" top="0.74803149606299213" bottom="0.74803149606299213" header="0.31496062992125984" footer="0.31496062992125984"/>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66"/>
    <pageSetUpPr fitToPage="1"/>
  </sheetPr>
  <dimension ref="B2:N26"/>
  <sheetViews>
    <sheetView showGridLines="0" zoomScale="85" zoomScaleNormal="85" workbookViewId="0">
      <selection activeCell="D16" sqref="D16"/>
    </sheetView>
  </sheetViews>
  <sheetFormatPr baseColWidth="10" defaultColWidth="11.28515625" defaultRowHeight="15" x14ac:dyDescent="0.25"/>
  <cols>
    <col min="1" max="1" width="2.7109375" style="49" customWidth="1"/>
    <col min="2" max="2" width="36.28515625" style="49" customWidth="1"/>
    <col min="3" max="3" width="11.7109375" style="49" customWidth="1"/>
    <col min="4" max="4" width="13.7109375" style="49" bestFit="1" customWidth="1"/>
    <col min="5" max="5" width="12.140625" style="49" customWidth="1"/>
    <col min="6" max="6" width="14.28515625" style="49" customWidth="1"/>
    <col min="7" max="7" width="14.140625" style="49" bestFit="1" customWidth="1"/>
    <col min="8" max="8" width="15.140625" style="49" bestFit="1" customWidth="1"/>
    <col min="9" max="9" width="14" style="49" customWidth="1"/>
    <col min="10" max="10" width="13.7109375" style="49" customWidth="1"/>
    <col min="11" max="11" width="14.7109375" style="49" customWidth="1"/>
    <col min="12" max="12" width="13.85546875" style="49" customWidth="1"/>
    <col min="13" max="13" width="14.28515625" style="49" customWidth="1"/>
    <col min="14" max="14" width="15.5703125" style="49" customWidth="1"/>
    <col min="15" max="15" width="2.7109375" style="49" customWidth="1"/>
    <col min="16" max="16384" width="11.28515625" style="49"/>
  </cols>
  <sheetData>
    <row r="2" spans="2:14" ht="18.75" customHeight="1" x14ac:dyDescent="0.25">
      <c r="B2" s="634" t="s">
        <v>259</v>
      </c>
      <c r="C2" s="634"/>
      <c r="D2" s="634"/>
      <c r="E2" s="634"/>
      <c r="F2" s="634"/>
      <c r="G2" s="634"/>
      <c r="H2" s="634"/>
      <c r="I2" s="634"/>
      <c r="J2" s="634"/>
      <c r="K2" s="634"/>
      <c r="L2" s="634"/>
      <c r="M2" s="634"/>
      <c r="N2" s="634"/>
    </row>
    <row r="3" spans="2:14" ht="21.75" customHeight="1" x14ac:dyDescent="0.25">
      <c r="B3" s="634" t="s">
        <v>526</v>
      </c>
      <c r="C3" s="634"/>
      <c r="D3" s="634"/>
      <c r="E3" s="634"/>
      <c r="F3" s="634"/>
      <c r="G3" s="634"/>
      <c r="H3" s="634"/>
      <c r="I3" s="634"/>
      <c r="J3" s="634"/>
      <c r="K3" s="634"/>
      <c r="L3" s="634"/>
      <c r="M3" s="634"/>
      <c r="N3" s="634"/>
    </row>
    <row r="4" spans="2:14" ht="21.75" customHeight="1" x14ac:dyDescent="0.25">
      <c r="B4" s="675" t="s">
        <v>370</v>
      </c>
      <c r="C4" s="675"/>
      <c r="D4" s="675"/>
      <c r="E4" s="675"/>
      <c r="F4" s="675"/>
      <c r="G4" s="675"/>
      <c r="H4" s="675"/>
      <c r="I4" s="675"/>
      <c r="J4" s="675"/>
      <c r="K4" s="675"/>
      <c r="L4" s="675"/>
      <c r="M4" s="675"/>
      <c r="N4" s="675"/>
    </row>
    <row r="5" spans="2:14" ht="15" customHeight="1" x14ac:dyDescent="0.25">
      <c r="B5" s="676" t="s">
        <v>63</v>
      </c>
      <c r="C5" s="678" t="s">
        <v>64</v>
      </c>
      <c r="D5" s="679"/>
      <c r="E5" s="679"/>
      <c r="F5" s="680"/>
      <c r="G5" s="678" t="s">
        <v>67</v>
      </c>
      <c r="H5" s="679"/>
      <c r="I5" s="679"/>
      <c r="J5" s="680"/>
      <c r="K5" s="681" t="s">
        <v>257</v>
      </c>
      <c r="L5" s="681"/>
      <c r="M5" s="681" t="s">
        <v>9</v>
      </c>
      <c r="N5" s="681"/>
    </row>
    <row r="6" spans="2:14" x14ac:dyDescent="0.25">
      <c r="B6" s="677"/>
      <c r="C6" s="405" t="s">
        <v>268</v>
      </c>
      <c r="D6" s="405" t="s">
        <v>65</v>
      </c>
      <c r="E6" s="405" t="s">
        <v>368</v>
      </c>
      <c r="F6" s="405" t="s">
        <v>66</v>
      </c>
      <c r="G6" s="405" t="s">
        <v>68</v>
      </c>
      <c r="H6" s="405" t="s">
        <v>69</v>
      </c>
      <c r="I6" s="405" t="s">
        <v>369</v>
      </c>
      <c r="J6" s="405" t="s">
        <v>371</v>
      </c>
      <c r="K6" s="405" t="s">
        <v>258</v>
      </c>
      <c r="L6" s="405" t="s">
        <v>70</v>
      </c>
      <c r="M6" s="360">
        <v>43921</v>
      </c>
      <c r="N6" s="360">
        <v>43555</v>
      </c>
    </row>
    <row r="7" spans="2:14" ht="15" customHeight="1" x14ac:dyDescent="0.25">
      <c r="B7" s="359" t="s">
        <v>372</v>
      </c>
      <c r="C7" s="99">
        <v>0</v>
      </c>
      <c r="D7" s="50">
        <v>0</v>
      </c>
      <c r="E7" s="50">
        <v>100000</v>
      </c>
      <c r="F7" s="50">
        <v>22000000000</v>
      </c>
      <c r="G7" s="50">
        <v>683771202</v>
      </c>
      <c r="H7" s="50">
        <v>5369781513</v>
      </c>
      <c r="I7" s="50">
        <v>35747498</v>
      </c>
      <c r="J7" s="50">
        <v>22746632</v>
      </c>
      <c r="K7" s="100">
        <v>7189899413</v>
      </c>
      <c r="L7" s="100">
        <v>274557783</v>
      </c>
      <c r="M7" s="512">
        <f>N14</f>
        <v>35576604041</v>
      </c>
      <c r="N7" s="513">
        <f>+E7+F7+G7+H7+I7+J7+K7+L7</f>
        <v>35576604041</v>
      </c>
    </row>
    <row r="8" spans="2:14" x14ac:dyDescent="0.25">
      <c r="B8" s="359" t="s">
        <v>373</v>
      </c>
      <c r="C8" s="99">
        <v>0</v>
      </c>
      <c r="D8" s="50">
        <v>0</v>
      </c>
      <c r="E8" s="50">
        <v>0</v>
      </c>
      <c r="F8" s="50">
        <v>0</v>
      </c>
      <c r="G8" s="50">
        <v>0</v>
      </c>
      <c r="H8" s="50">
        <v>0</v>
      </c>
      <c r="I8" s="50">
        <v>0</v>
      </c>
      <c r="J8" s="50">
        <v>0</v>
      </c>
      <c r="K8" s="50">
        <f>+K13-K7</f>
        <v>1620487007</v>
      </c>
      <c r="L8" s="51">
        <f>+L13-L7</f>
        <v>782992112</v>
      </c>
      <c r="M8" s="512">
        <f>SUM(C8:L8)</f>
        <v>2403479119</v>
      </c>
      <c r="N8" s="516">
        <v>0</v>
      </c>
    </row>
    <row r="9" spans="2:14" x14ac:dyDescent="0.25">
      <c r="B9" s="359" t="s">
        <v>221</v>
      </c>
      <c r="C9" s="99">
        <v>0</v>
      </c>
      <c r="D9" s="50">
        <v>0</v>
      </c>
      <c r="E9" s="50">
        <v>0</v>
      </c>
      <c r="F9" s="50"/>
      <c r="G9" s="50">
        <f>+G13-G7</f>
        <v>359494971</v>
      </c>
      <c r="H9" s="51">
        <v>0</v>
      </c>
      <c r="I9" s="51">
        <v>0</v>
      </c>
      <c r="J9" s="51">
        <v>0</v>
      </c>
      <c r="K9" s="51">
        <v>0</v>
      </c>
      <c r="L9" s="51">
        <v>0</v>
      </c>
      <c r="M9" s="512">
        <f t="shared" ref="M9:M12" si="0">SUM(C9:L9)</f>
        <v>359494971</v>
      </c>
      <c r="N9" s="512">
        <v>0</v>
      </c>
    </row>
    <row r="10" spans="2:14" ht="15" customHeight="1" x14ac:dyDescent="0.25">
      <c r="B10" s="362" t="s">
        <v>222</v>
      </c>
      <c r="C10" s="99">
        <v>0</v>
      </c>
      <c r="D10" s="50">
        <v>0</v>
      </c>
      <c r="E10" s="50">
        <v>0</v>
      </c>
      <c r="F10" s="50"/>
      <c r="G10" s="51">
        <v>0</v>
      </c>
      <c r="H10" s="51">
        <f>+H13-H7</f>
        <v>6830404442</v>
      </c>
      <c r="I10" s="51">
        <v>0</v>
      </c>
      <c r="J10" s="51">
        <v>0</v>
      </c>
      <c r="K10" s="51">
        <v>0</v>
      </c>
      <c r="L10" s="51">
        <v>0</v>
      </c>
      <c r="M10" s="512">
        <f t="shared" si="0"/>
        <v>6830404442</v>
      </c>
      <c r="N10" s="515">
        <v>0</v>
      </c>
    </row>
    <row r="11" spans="2:14" ht="15" customHeight="1" x14ac:dyDescent="0.25">
      <c r="B11" s="362" t="s">
        <v>455</v>
      </c>
      <c r="C11" s="99">
        <v>0</v>
      </c>
      <c r="D11" s="50">
        <v>0</v>
      </c>
      <c r="E11" s="50">
        <v>0</v>
      </c>
      <c r="F11" s="50"/>
      <c r="G11" s="51">
        <v>0</v>
      </c>
      <c r="H11" s="51">
        <v>0</v>
      </c>
      <c r="I11" s="51">
        <v>0</v>
      </c>
      <c r="J11" s="51">
        <f>+J13-J7</f>
        <v>7601341</v>
      </c>
      <c r="K11" s="51">
        <v>0</v>
      </c>
      <c r="L11" s="51">
        <v>0</v>
      </c>
      <c r="M11" s="512">
        <f t="shared" si="0"/>
        <v>7601341</v>
      </c>
      <c r="N11" s="515">
        <v>0</v>
      </c>
    </row>
    <row r="12" spans="2:14" ht="15" customHeight="1" x14ac:dyDescent="0.25">
      <c r="B12" s="362" t="s">
        <v>374</v>
      </c>
      <c r="C12" s="99">
        <v>0</v>
      </c>
      <c r="D12" s="51">
        <v>0</v>
      </c>
      <c r="E12" s="51">
        <v>0</v>
      </c>
      <c r="F12" s="51"/>
      <c r="G12" s="51">
        <v>0</v>
      </c>
      <c r="H12" s="51">
        <v>0</v>
      </c>
      <c r="I12" s="51">
        <v>0</v>
      </c>
      <c r="J12" s="51">
        <v>0</v>
      </c>
      <c r="K12" s="51">
        <v>0</v>
      </c>
      <c r="L12" s="51">
        <v>0</v>
      </c>
      <c r="M12" s="512">
        <f t="shared" si="0"/>
        <v>0</v>
      </c>
      <c r="N12" s="514">
        <v>0</v>
      </c>
    </row>
    <row r="13" spans="2:14" x14ac:dyDescent="0.25">
      <c r="B13" s="361" t="s">
        <v>266</v>
      </c>
      <c r="C13" s="52">
        <v>0</v>
      </c>
      <c r="D13" s="52">
        <v>0</v>
      </c>
      <c r="E13" s="52">
        <v>100000</v>
      </c>
      <c r="F13" s="52">
        <v>22000000000</v>
      </c>
      <c r="G13" s="52">
        <v>1043266173</v>
      </c>
      <c r="H13" s="52">
        <v>12200185955</v>
      </c>
      <c r="I13" s="52">
        <v>35747498</v>
      </c>
      <c r="J13" s="52">
        <v>30347973</v>
      </c>
      <c r="K13" s="52">
        <v>8810386420</v>
      </c>
      <c r="L13" s="101">
        <v>1057549895</v>
      </c>
      <c r="M13" s="52">
        <f>SUM(D13:L13)</f>
        <v>45177583914</v>
      </c>
      <c r="N13" s="403">
        <v>0</v>
      </c>
    </row>
    <row r="14" spans="2:14" x14ac:dyDescent="0.25">
      <c r="B14" s="361" t="s">
        <v>267</v>
      </c>
      <c r="C14" s="52">
        <v>0</v>
      </c>
      <c r="D14" s="52">
        <v>0</v>
      </c>
      <c r="E14" s="52">
        <f>+E7</f>
        <v>100000</v>
      </c>
      <c r="F14" s="52">
        <f t="shared" ref="F14:L14" si="1">+F7</f>
        <v>22000000000</v>
      </c>
      <c r="G14" s="52">
        <f t="shared" si="1"/>
        <v>683771202</v>
      </c>
      <c r="H14" s="52">
        <f t="shared" si="1"/>
        <v>5369781513</v>
      </c>
      <c r="I14" s="52">
        <f t="shared" si="1"/>
        <v>35747498</v>
      </c>
      <c r="J14" s="52">
        <f t="shared" si="1"/>
        <v>22746632</v>
      </c>
      <c r="K14" s="52">
        <f t="shared" si="1"/>
        <v>7189899413</v>
      </c>
      <c r="L14" s="52">
        <f t="shared" si="1"/>
        <v>274557783</v>
      </c>
      <c r="M14" s="52">
        <v>0</v>
      </c>
      <c r="N14" s="52">
        <f>SUM(N7:N13)</f>
        <v>35576604041</v>
      </c>
    </row>
    <row r="16" spans="2:14" ht="15.75" x14ac:dyDescent="0.25">
      <c r="B16" s="165" t="s">
        <v>466</v>
      </c>
      <c r="K16" s="5"/>
    </row>
    <row r="17" spans="2:13" ht="15.75" x14ac:dyDescent="0.25">
      <c r="B17" s="165"/>
      <c r="K17" s="5"/>
    </row>
    <row r="18" spans="2:13" s="415" customFormat="1" ht="15.75" x14ac:dyDescent="0.25">
      <c r="B18" s="418"/>
      <c r="G18" s="419">
        <v>1043266173</v>
      </c>
      <c r="H18" s="419">
        <v>12200185955</v>
      </c>
      <c r="K18" s="414"/>
    </row>
    <row r="19" spans="2:13" x14ac:dyDescent="0.25">
      <c r="J19" s="5"/>
      <c r="M19" s="5"/>
    </row>
    <row r="26" spans="2:13" x14ac:dyDescent="0.25">
      <c r="H26" s="5"/>
      <c r="I26" s="5"/>
    </row>
  </sheetData>
  <mergeCells count="8">
    <mergeCell ref="B2:N2"/>
    <mergeCell ref="B3:N3"/>
    <mergeCell ref="B4:N4"/>
    <mergeCell ref="B5:B6"/>
    <mergeCell ref="C5:F5"/>
    <mergeCell ref="G5:J5"/>
    <mergeCell ref="K5:L5"/>
    <mergeCell ref="M5:N5"/>
  </mergeCells>
  <pageMargins left="0.70866141732283472" right="0.70866141732283472" top="0.74803149606299213" bottom="0.74803149606299213" header="0.31496062992125984" footer="0.31496062992125984"/>
  <pageSetup paperSize="9" scale="6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66"/>
  </sheetPr>
  <dimension ref="A1:M504"/>
  <sheetViews>
    <sheetView showGridLines="0" topLeftCell="A507" zoomScale="90" zoomScaleNormal="90" workbookViewId="0">
      <selection activeCell="F526" sqref="F526"/>
    </sheetView>
  </sheetViews>
  <sheetFormatPr baseColWidth="10" defaultColWidth="11.28515625" defaultRowHeight="15" x14ac:dyDescent="0.25"/>
  <cols>
    <col min="1" max="1" width="11.28515625" style="7" customWidth="1"/>
    <col min="2" max="2" width="43.5703125" style="7" customWidth="1"/>
    <col min="3" max="3" width="21.28515625" style="7" customWidth="1"/>
    <col min="4" max="4" width="26.28515625" style="7" bestFit="1" customWidth="1"/>
    <col min="5" max="5" width="16" style="294" customWidth="1"/>
    <col min="6" max="6" width="15.85546875" style="294" bestFit="1" customWidth="1"/>
    <col min="7" max="7" width="16.7109375" style="7" bestFit="1" customWidth="1"/>
    <col min="8" max="8" width="25.7109375" style="7" bestFit="1" customWidth="1"/>
    <col min="9" max="9" width="15.85546875" style="7" bestFit="1" customWidth="1"/>
    <col min="10" max="10" width="18.28515625" style="7" customWidth="1"/>
    <col min="11" max="11" width="13.7109375" style="7" bestFit="1" customWidth="1"/>
    <col min="12" max="12" width="13.85546875" style="7" customWidth="1"/>
    <col min="13" max="13" width="13.7109375" style="7" bestFit="1" customWidth="1"/>
    <col min="14" max="16384" width="11.28515625" style="7"/>
  </cols>
  <sheetData>
    <row r="1" spans="2:5" s="534" customFormat="1" ht="25.5" customHeight="1" x14ac:dyDescent="0.25">
      <c r="B1" s="664" t="s">
        <v>473</v>
      </c>
      <c r="C1" s="664"/>
      <c r="D1" s="664"/>
      <c r="E1" s="664"/>
    </row>
    <row r="2" spans="2:5" s="534" customFormat="1" ht="24" customHeight="1" x14ac:dyDescent="0.25">
      <c r="B2" s="663" t="s">
        <v>474</v>
      </c>
      <c r="C2" s="663"/>
      <c r="D2" s="663"/>
      <c r="E2" s="663"/>
    </row>
    <row r="3" spans="2:5" s="534" customFormat="1" ht="25.5" customHeight="1" x14ac:dyDescent="0.25">
      <c r="B3" s="661" t="s">
        <v>501</v>
      </c>
      <c r="C3" s="661"/>
      <c r="D3" s="661"/>
      <c r="E3" s="661"/>
    </row>
    <row r="4" spans="2:5" s="534" customFormat="1" ht="18.75" customHeight="1" x14ac:dyDescent="0.25">
      <c r="B4" s="663" t="s">
        <v>490</v>
      </c>
      <c r="C4" s="663"/>
      <c r="D4" s="663"/>
      <c r="E4" s="663"/>
    </row>
    <row r="5" spans="2:5" s="534" customFormat="1" ht="24.75" customHeight="1" x14ac:dyDescent="0.25">
      <c r="B5" s="649" t="s">
        <v>475</v>
      </c>
      <c r="C5" s="649"/>
      <c r="D5" s="649"/>
      <c r="E5" s="649"/>
    </row>
    <row r="6" spans="2:5" s="530" customFormat="1" ht="178.5" customHeight="1" x14ac:dyDescent="0.25">
      <c r="B6" s="650" t="s">
        <v>486</v>
      </c>
      <c r="C6" s="650"/>
      <c r="D6" s="650"/>
      <c r="E6" s="650"/>
    </row>
    <row r="7" spans="2:5" s="530" customFormat="1" x14ac:dyDescent="0.25">
      <c r="B7" s="665" t="s">
        <v>472</v>
      </c>
      <c r="C7" s="665"/>
      <c r="D7" s="665"/>
      <c r="E7" s="665"/>
    </row>
    <row r="8" spans="2:5" s="530" customFormat="1" ht="38.25" customHeight="1" x14ac:dyDescent="0.25">
      <c r="B8" s="650" t="s">
        <v>471</v>
      </c>
      <c r="C8" s="650"/>
      <c r="D8" s="650"/>
      <c r="E8" s="650"/>
    </row>
    <row r="9" spans="2:5" s="530" customFormat="1" ht="13.5" customHeight="1" x14ac:dyDescent="0.25">
      <c r="B9" s="535"/>
      <c r="C9" s="535"/>
      <c r="D9" s="535"/>
      <c r="E9" s="535"/>
    </row>
    <row r="10" spans="2:5" s="530" customFormat="1" ht="15" customHeight="1" x14ac:dyDescent="0.25">
      <c r="B10" s="663" t="s">
        <v>491</v>
      </c>
      <c r="C10" s="663"/>
      <c r="D10" s="663"/>
      <c r="E10" s="663"/>
    </row>
    <row r="11" spans="2:5" s="536" customFormat="1" ht="18.75" customHeight="1" x14ac:dyDescent="0.25">
      <c r="B11" s="649" t="s">
        <v>470</v>
      </c>
      <c r="C11" s="649"/>
      <c r="D11" s="649"/>
      <c r="E11" s="649"/>
    </row>
    <row r="12" spans="2:5" s="530" customFormat="1" ht="36" customHeight="1" x14ac:dyDescent="0.25">
      <c r="B12" s="650" t="s">
        <v>499</v>
      </c>
      <c r="C12" s="650"/>
      <c r="D12" s="650"/>
      <c r="E12" s="650"/>
    </row>
    <row r="13" spans="2:5" s="536" customFormat="1" ht="18.75" customHeight="1" x14ac:dyDescent="0.25">
      <c r="B13" s="649" t="s">
        <v>469</v>
      </c>
      <c r="C13" s="649"/>
      <c r="D13" s="649"/>
      <c r="E13" s="649"/>
    </row>
    <row r="14" spans="2:5" s="530" customFormat="1" ht="51" customHeight="1" x14ac:dyDescent="0.25">
      <c r="B14" s="650" t="s">
        <v>502</v>
      </c>
      <c r="C14" s="650"/>
      <c r="D14" s="650"/>
      <c r="E14" s="650"/>
    </row>
    <row r="15" spans="2:5" s="530" customFormat="1" ht="87" customHeight="1" x14ac:dyDescent="0.25">
      <c r="B15" s="650" t="s">
        <v>489</v>
      </c>
      <c r="C15" s="650"/>
      <c r="D15" s="650"/>
      <c r="E15" s="650"/>
    </row>
    <row r="16" spans="2:5" s="536" customFormat="1" ht="18.75" customHeight="1" x14ac:dyDescent="0.25">
      <c r="B16" s="649" t="s">
        <v>485</v>
      </c>
      <c r="C16" s="649"/>
      <c r="D16" s="649"/>
      <c r="E16" s="649"/>
    </row>
    <row r="17" spans="2:6" s="530" customFormat="1" x14ac:dyDescent="0.25">
      <c r="B17" s="650" t="s">
        <v>484</v>
      </c>
      <c r="C17" s="650"/>
      <c r="D17" s="650"/>
      <c r="E17" s="650"/>
    </row>
    <row r="18" spans="2:6" s="536" customFormat="1" ht="18.75" customHeight="1" x14ac:dyDescent="0.25">
      <c r="B18" s="649" t="s">
        <v>483</v>
      </c>
      <c r="C18" s="649"/>
      <c r="D18" s="649"/>
      <c r="E18" s="649"/>
    </row>
    <row r="19" spans="2:6" s="530" customFormat="1" ht="32.25" customHeight="1" x14ac:dyDescent="0.25">
      <c r="B19" s="661" t="s">
        <v>482</v>
      </c>
      <c r="C19" s="661"/>
      <c r="D19" s="661"/>
      <c r="E19" s="661"/>
    </row>
    <row r="20" spans="2:6" s="536" customFormat="1" ht="18.75" customHeight="1" x14ac:dyDescent="0.25">
      <c r="B20" s="649" t="s">
        <v>496</v>
      </c>
      <c r="C20" s="649"/>
      <c r="D20" s="649"/>
      <c r="E20" s="649"/>
    </row>
    <row r="21" spans="2:6" s="530" customFormat="1" ht="54.75" customHeight="1" x14ac:dyDescent="0.25">
      <c r="B21" s="650" t="s">
        <v>498</v>
      </c>
      <c r="C21" s="650"/>
      <c r="D21" s="650"/>
      <c r="E21" s="650"/>
    </row>
    <row r="22" spans="2:6" s="536" customFormat="1" ht="18.75" customHeight="1" x14ac:dyDescent="0.25">
      <c r="B22" s="649" t="s">
        <v>481</v>
      </c>
      <c r="C22" s="649"/>
      <c r="D22" s="649"/>
      <c r="E22" s="649"/>
      <c r="F22" s="537"/>
    </row>
    <row r="23" spans="2:6" ht="40.5" customHeight="1" x14ac:dyDescent="0.25">
      <c r="B23" s="650" t="s">
        <v>497</v>
      </c>
      <c r="C23" s="650"/>
      <c r="D23" s="650"/>
      <c r="E23" s="650"/>
    </row>
    <row r="24" spans="2:6" s="536" customFormat="1" ht="19.5" customHeight="1" x14ac:dyDescent="0.25">
      <c r="B24" s="649" t="s">
        <v>480</v>
      </c>
      <c r="C24" s="649"/>
      <c r="D24" s="649"/>
      <c r="E24" s="649"/>
      <c r="F24" s="537"/>
    </row>
    <row r="25" spans="2:6" ht="19.5" customHeight="1" x14ac:dyDescent="0.25">
      <c r="B25" s="650" t="s">
        <v>479</v>
      </c>
      <c r="C25" s="650"/>
      <c r="D25" s="650"/>
      <c r="E25" s="650"/>
    </row>
    <row r="26" spans="2:6" s="536" customFormat="1" ht="19.5" customHeight="1" x14ac:dyDescent="0.25">
      <c r="B26" s="649" t="s">
        <v>478</v>
      </c>
      <c r="C26" s="649"/>
      <c r="D26" s="649"/>
      <c r="E26" s="649"/>
      <c r="F26" s="537"/>
    </row>
    <row r="27" spans="2:6" ht="19.5" customHeight="1" x14ac:dyDescent="0.25">
      <c r="B27" s="667" t="s">
        <v>477</v>
      </c>
      <c r="C27" s="667"/>
      <c r="D27" s="667"/>
      <c r="E27" s="667"/>
    </row>
    <row r="28" spans="2:6" ht="19.5" customHeight="1" x14ac:dyDescent="0.25">
      <c r="B28" s="532"/>
      <c r="C28" s="532"/>
      <c r="D28" s="532"/>
      <c r="E28" s="533"/>
    </row>
    <row r="29" spans="2:6" ht="15" customHeight="1" x14ac:dyDescent="0.25">
      <c r="B29" s="663" t="s">
        <v>492</v>
      </c>
      <c r="C29" s="663"/>
      <c r="D29" s="663"/>
      <c r="E29" s="663"/>
    </row>
    <row r="30" spans="2:6" ht="37.5" customHeight="1" x14ac:dyDescent="0.25">
      <c r="B30" s="667" t="s">
        <v>476</v>
      </c>
      <c r="C30" s="667"/>
      <c r="D30" s="667"/>
      <c r="E30" s="667"/>
    </row>
    <row r="32" spans="2:6" s="190" customFormat="1" ht="15.75" x14ac:dyDescent="0.25">
      <c r="B32" s="663" t="s">
        <v>493</v>
      </c>
      <c r="C32" s="663"/>
      <c r="D32" s="663"/>
      <c r="E32" s="663"/>
      <c r="F32" s="293"/>
    </row>
    <row r="33" spans="2:8" x14ac:dyDescent="0.25">
      <c r="B33" s="45"/>
    </row>
    <row r="34" spans="2:8" s="190" customFormat="1" x14ac:dyDescent="0.2">
      <c r="B34" s="672" t="s">
        <v>494</v>
      </c>
      <c r="C34" s="672"/>
      <c r="E34" s="293"/>
      <c r="F34" s="293"/>
    </row>
    <row r="35" spans="2:8" ht="15.75" thickBot="1" x14ac:dyDescent="0.3"/>
    <row r="36" spans="2:8" ht="30" customHeight="1" x14ac:dyDescent="0.25">
      <c r="B36" s="466" t="s">
        <v>96</v>
      </c>
      <c r="C36" s="467">
        <v>43921</v>
      </c>
      <c r="D36" s="467">
        <v>43830</v>
      </c>
      <c r="E36" s="7"/>
    </row>
    <row r="37" spans="2:8" ht="18" customHeight="1" x14ac:dyDescent="0.25">
      <c r="B37" s="468" t="s">
        <v>111</v>
      </c>
      <c r="C37" s="465">
        <v>6567.8</v>
      </c>
      <c r="D37" s="465">
        <v>6442.33</v>
      </c>
      <c r="E37" s="7"/>
    </row>
    <row r="38" spans="2:8" ht="18" customHeight="1" thickBot="1" x14ac:dyDescent="0.3">
      <c r="B38" s="469" t="s">
        <v>112</v>
      </c>
      <c r="C38" s="470">
        <v>6591.82</v>
      </c>
      <c r="D38" s="470">
        <v>6463.95</v>
      </c>
      <c r="E38" s="7"/>
    </row>
    <row r="40" spans="2:8" s="190" customFormat="1" x14ac:dyDescent="0.25">
      <c r="B40" s="673" t="s">
        <v>495</v>
      </c>
      <c r="C40" s="673"/>
      <c r="E40" s="293"/>
      <c r="F40" s="618"/>
    </row>
    <row r="41" spans="2:8" x14ac:dyDescent="0.25">
      <c r="B41" s="45"/>
    </row>
    <row r="42" spans="2:8" ht="15" customHeight="1" x14ac:dyDescent="0.25">
      <c r="B42" s="674" t="s">
        <v>302</v>
      </c>
      <c r="C42" s="674"/>
      <c r="D42" s="674"/>
    </row>
    <row r="43" spans="2:8" ht="23.25" customHeight="1" thickBot="1" x14ac:dyDescent="0.3">
      <c r="F43" s="618"/>
    </row>
    <row r="44" spans="2:8" ht="25.5" x14ac:dyDescent="0.25">
      <c r="B44" s="430" t="s">
        <v>113</v>
      </c>
      <c r="C44" s="431" t="s">
        <v>131</v>
      </c>
      <c r="D44" s="431" t="s">
        <v>114</v>
      </c>
      <c r="E44" s="432" t="s">
        <v>503</v>
      </c>
      <c r="F44" s="432" t="s">
        <v>504</v>
      </c>
      <c r="G44" s="432" t="s">
        <v>415</v>
      </c>
      <c r="H44" s="433" t="s">
        <v>416</v>
      </c>
    </row>
    <row r="45" spans="2:8" x14ac:dyDescent="0.25">
      <c r="B45" s="434" t="s">
        <v>0</v>
      </c>
      <c r="C45" s="422"/>
      <c r="D45" s="422"/>
      <c r="E45" s="617"/>
      <c r="F45" s="423"/>
      <c r="G45" s="422"/>
      <c r="H45" s="435"/>
    </row>
    <row r="46" spans="2:8" x14ac:dyDescent="0.25">
      <c r="B46" s="436" t="s">
        <v>115</v>
      </c>
      <c r="C46" s="422"/>
      <c r="D46" s="422"/>
      <c r="E46" s="423"/>
      <c r="F46" s="423"/>
      <c r="G46" s="422"/>
      <c r="H46" s="435"/>
    </row>
    <row r="47" spans="2:8" x14ac:dyDescent="0.25">
      <c r="B47" s="437" t="s">
        <v>116</v>
      </c>
      <c r="C47" s="422"/>
      <c r="D47" s="422"/>
      <c r="E47" s="423"/>
      <c r="F47" s="423"/>
      <c r="G47" s="422"/>
      <c r="H47" s="435"/>
    </row>
    <row r="48" spans="2:8" x14ac:dyDescent="0.25">
      <c r="B48" s="586" t="s">
        <v>117</v>
      </c>
      <c r="C48" s="587" t="s">
        <v>118</v>
      </c>
      <c r="D48" s="588">
        <v>0</v>
      </c>
      <c r="E48" s="369">
        <v>6568</v>
      </c>
      <c r="F48" s="423">
        <v>0</v>
      </c>
      <c r="G48" s="589">
        <v>6442.33</v>
      </c>
      <c r="H48" s="590">
        <v>0</v>
      </c>
    </row>
    <row r="49" spans="2:13" x14ac:dyDescent="0.25">
      <c r="B49" s="591" t="s">
        <v>119</v>
      </c>
      <c r="C49" s="592" t="s">
        <v>118</v>
      </c>
      <c r="D49" s="588">
        <f>1.08+4470.08+4752.95</f>
        <v>9224.11</v>
      </c>
      <c r="E49" s="369">
        <v>6568</v>
      </c>
      <c r="F49" s="423">
        <f>29358438+7093+31216170</f>
        <v>60581701</v>
      </c>
      <c r="G49" s="594">
        <v>6442.33</v>
      </c>
      <c r="H49" s="595">
        <v>66776361.032499999</v>
      </c>
    </row>
    <row r="50" spans="2:13" x14ac:dyDescent="0.25">
      <c r="B50" s="591" t="s">
        <v>119</v>
      </c>
      <c r="C50" s="592" t="s">
        <v>118</v>
      </c>
      <c r="D50" s="593">
        <v>120731.11</v>
      </c>
      <c r="E50" s="369">
        <v>6568</v>
      </c>
      <c r="F50" s="423">
        <v>792932955</v>
      </c>
      <c r="G50" s="594">
        <v>6442.33</v>
      </c>
      <c r="H50" s="595">
        <v>4079808212.6250997</v>
      </c>
    </row>
    <row r="51" spans="2:13" x14ac:dyDescent="0.25">
      <c r="B51" s="591" t="s">
        <v>120</v>
      </c>
      <c r="C51" s="592" t="s">
        <v>118</v>
      </c>
      <c r="D51" s="593">
        <v>1000.22</v>
      </c>
      <c r="E51" s="369">
        <v>6568</v>
      </c>
      <c r="F51" s="423">
        <v>6569205</v>
      </c>
      <c r="G51" s="594">
        <v>6442.33</v>
      </c>
      <c r="H51" s="595">
        <v>6443747.3125999998</v>
      </c>
    </row>
    <row r="52" spans="2:13" x14ac:dyDescent="0.25">
      <c r="B52" s="591" t="s">
        <v>121</v>
      </c>
      <c r="C52" s="592" t="s">
        <v>118</v>
      </c>
      <c r="D52" s="593">
        <v>5000</v>
      </c>
      <c r="E52" s="369">
        <v>6568</v>
      </c>
      <c r="F52" s="423">
        <v>32838800</v>
      </c>
      <c r="G52" s="594">
        <v>6442.33</v>
      </c>
      <c r="H52" s="595">
        <v>32211650</v>
      </c>
    </row>
    <row r="53" spans="2:13" x14ac:dyDescent="0.25">
      <c r="B53" s="591" t="s">
        <v>394</v>
      </c>
      <c r="C53" s="592" t="s">
        <v>118</v>
      </c>
      <c r="D53" s="593">
        <v>998.43</v>
      </c>
      <c r="E53" s="369">
        <v>6568</v>
      </c>
      <c r="F53" s="423">
        <f>6557426+29</f>
        <v>6557455</v>
      </c>
      <c r="G53" s="594">
        <v>6442.33</v>
      </c>
      <c r="H53" s="595">
        <v>6445422.3184000002</v>
      </c>
    </row>
    <row r="54" spans="2:13" x14ac:dyDescent="0.25">
      <c r="B54" s="591" t="s">
        <v>395</v>
      </c>
      <c r="C54" s="592" t="s">
        <v>118</v>
      </c>
      <c r="D54" s="593">
        <v>3000</v>
      </c>
      <c r="E54" s="369">
        <v>6568</v>
      </c>
      <c r="F54" s="423">
        <v>19703280</v>
      </c>
      <c r="G54" s="594">
        <v>6442.33</v>
      </c>
      <c r="H54" s="595">
        <v>19326990</v>
      </c>
    </row>
    <row r="55" spans="2:13" x14ac:dyDescent="0.25">
      <c r="B55" s="591" t="s">
        <v>396</v>
      </c>
      <c r="C55" s="592" t="s">
        <v>118</v>
      </c>
      <c r="D55" s="593">
        <v>26.66</v>
      </c>
      <c r="E55" s="369">
        <v>6568</v>
      </c>
      <c r="F55" s="423">
        <v>175096</v>
      </c>
      <c r="G55" s="594">
        <v>6442.33</v>
      </c>
      <c r="H55" s="595">
        <v>26542.399600000001</v>
      </c>
    </row>
    <row r="56" spans="2:13" x14ac:dyDescent="0.25">
      <c r="B56" s="596" t="s">
        <v>417</v>
      </c>
      <c r="C56" s="597" t="s">
        <v>118</v>
      </c>
      <c r="D56" s="598">
        <v>4995</v>
      </c>
      <c r="E56" s="369">
        <v>6568</v>
      </c>
      <c r="F56" s="423">
        <v>32805961</v>
      </c>
      <c r="G56" s="599">
        <v>6442.33</v>
      </c>
      <c r="H56" s="600">
        <v>32179438.350000001</v>
      </c>
    </row>
    <row r="57" spans="2:13" x14ac:dyDescent="0.25">
      <c r="B57" s="439" t="s">
        <v>122</v>
      </c>
      <c r="C57" s="425"/>
      <c r="D57" s="426"/>
      <c r="E57" s="424"/>
      <c r="F57" s="426"/>
      <c r="G57" s="426"/>
      <c r="H57" s="601"/>
    </row>
    <row r="58" spans="2:13" x14ac:dyDescent="0.25">
      <c r="B58" s="438" t="s">
        <v>123</v>
      </c>
      <c r="C58" s="425" t="s">
        <v>118</v>
      </c>
      <c r="D58" s="427">
        <v>1055.1099999999999</v>
      </c>
      <c r="E58" s="369">
        <v>6568</v>
      </c>
      <c r="F58" s="423">
        <v>6929709</v>
      </c>
      <c r="G58" s="427">
        <v>6442.33</v>
      </c>
      <c r="H58" s="440">
        <v>195717985.40000001</v>
      </c>
      <c r="K58" s="185"/>
      <c r="L58" s="185"/>
      <c r="M58" s="136"/>
    </row>
    <row r="59" spans="2:13" x14ac:dyDescent="0.25">
      <c r="B59" s="439" t="s">
        <v>124</v>
      </c>
      <c r="C59" s="422"/>
      <c r="D59" s="426"/>
      <c r="E59" s="428"/>
      <c r="F59" s="423"/>
      <c r="G59" s="429"/>
      <c r="H59" s="435"/>
    </row>
    <row r="60" spans="2:13" s="207" customFormat="1" x14ac:dyDescent="0.25">
      <c r="B60" s="688" t="s">
        <v>125</v>
      </c>
      <c r="C60" s="689" t="s">
        <v>118</v>
      </c>
      <c r="D60" s="690">
        <f>+G151+G152+G153+G154</f>
        <v>472967.08</v>
      </c>
      <c r="E60" s="691">
        <v>6568</v>
      </c>
      <c r="F60" s="692">
        <f>+D60*E60</f>
        <v>3106447781.4400001</v>
      </c>
      <c r="G60" s="696">
        <v>6442.33</v>
      </c>
      <c r="H60" s="697">
        <v>1953936462.9614999</v>
      </c>
      <c r="J60" s="700"/>
    </row>
    <row r="61" spans="2:13" s="207" customFormat="1" x14ac:dyDescent="0.25">
      <c r="B61" s="693" t="s">
        <v>126</v>
      </c>
      <c r="C61" s="694" t="s">
        <v>118</v>
      </c>
      <c r="D61" s="695">
        <f>+G147+G148+G149+G150</f>
        <v>554775.99</v>
      </c>
      <c r="E61" s="691">
        <v>6568</v>
      </c>
      <c r="F61" s="692">
        <f>+D61*E61</f>
        <v>3643768702.3200002</v>
      </c>
      <c r="G61" s="698">
        <v>6442.33</v>
      </c>
      <c r="H61" s="699">
        <v>1161574711.5782998</v>
      </c>
      <c r="J61" s="701"/>
    </row>
    <row r="62" spans="2:13" s="136" customFormat="1" ht="15.75" thickBot="1" x14ac:dyDescent="0.3">
      <c r="B62" s="441" t="s">
        <v>71</v>
      </c>
      <c r="C62" s="442" t="s">
        <v>156</v>
      </c>
      <c r="D62" s="443">
        <f>SUM(D49:D61)</f>
        <v>1173773.71</v>
      </c>
      <c r="E62" s="702">
        <f>+C37</f>
        <v>6567.8</v>
      </c>
      <c r="F62" s="443">
        <f>SUM(F49:F61)</f>
        <v>7709310645.7600002</v>
      </c>
      <c r="G62" s="444">
        <v>6554.28</v>
      </c>
      <c r="H62" s="443">
        <f>SUM(H49:H61)</f>
        <v>7554447523.9779987</v>
      </c>
      <c r="J62" s="184"/>
    </row>
    <row r="63" spans="2:13" s="195" customFormat="1" x14ac:dyDescent="0.25">
      <c r="B63" s="191"/>
      <c r="C63" s="192"/>
      <c r="D63" s="193"/>
      <c r="E63" s="296"/>
      <c r="F63" s="297"/>
      <c r="G63" s="193"/>
      <c r="H63" s="194"/>
      <c r="J63" s="196"/>
    </row>
    <row r="64" spans="2:13" s="136" customFormat="1" ht="15.75" thickBot="1" x14ac:dyDescent="0.3">
      <c r="B64" s="674" t="s">
        <v>301</v>
      </c>
      <c r="C64" s="674"/>
      <c r="D64" s="674"/>
      <c r="E64" s="177"/>
      <c r="F64" s="298"/>
      <c r="G64" s="146"/>
      <c r="H64" s="80"/>
      <c r="J64" s="184"/>
    </row>
    <row r="65" spans="2:10" ht="52.5" customHeight="1" thickBot="1" x14ac:dyDescent="0.3">
      <c r="B65" s="188" t="s">
        <v>113</v>
      </c>
      <c r="C65" s="187" t="s">
        <v>131</v>
      </c>
      <c r="D65" s="187" t="s">
        <v>114</v>
      </c>
      <c r="E65" s="302" t="s">
        <v>505</v>
      </c>
      <c r="F65" s="302" t="s">
        <v>506</v>
      </c>
      <c r="G65" s="302" t="s">
        <v>418</v>
      </c>
      <c r="H65" s="302" t="s">
        <v>416</v>
      </c>
    </row>
    <row r="66" spans="2:10" x14ac:dyDescent="0.25">
      <c r="B66" s="366" t="s">
        <v>127</v>
      </c>
      <c r="C66" s="367"/>
      <c r="D66" s="368"/>
      <c r="E66" s="369"/>
      <c r="F66" s="370"/>
      <c r="G66" s="369"/>
      <c r="H66" s="370"/>
    </row>
    <row r="67" spans="2:10" x14ac:dyDescent="0.25">
      <c r="B67" s="371" t="s">
        <v>128</v>
      </c>
      <c r="C67" s="372" t="s">
        <v>118</v>
      </c>
      <c r="D67" s="373">
        <v>1680.07</v>
      </c>
      <c r="E67" s="619">
        <v>6592</v>
      </c>
      <c r="F67" s="472">
        <v>11192873</v>
      </c>
      <c r="G67" s="374">
        <v>6442.33</v>
      </c>
      <c r="H67" s="472">
        <v>1687037.2088243149</v>
      </c>
    </row>
    <row r="68" spans="2:10" x14ac:dyDescent="0.25">
      <c r="B68" s="371" t="s">
        <v>209</v>
      </c>
      <c r="C68" s="372" t="s">
        <v>118</v>
      </c>
      <c r="D68" s="373">
        <v>775.28</v>
      </c>
      <c r="E68" s="619">
        <v>6592</v>
      </c>
      <c r="F68" s="472">
        <f>+D68*E68</f>
        <v>5110645.76</v>
      </c>
      <c r="G68" s="374">
        <v>6442.33</v>
      </c>
      <c r="H68" s="472">
        <v>781039.45626431506</v>
      </c>
    </row>
    <row r="69" spans="2:10" s="136" customFormat="1" x14ac:dyDescent="0.25">
      <c r="B69" s="375" t="s">
        <v>375</v>
      </c>
      <c r="C69" s="363" t="s">
        <v>156</v>
      </c>
      <c r="D69" s="364">
        <f>SUM(D67:D68)</f>
        <v>2455.35</v>
      </c>
      <c r="E69" s="365">
        <f>+E68</f>
        <v>6592</v>
      </c>
      <c r="F69" s="473">
        <f>SUM(F67:F68)</f>
        <v>16303518.76</v>
      </c>
      <c r="G69" s="365">
        <v>6442.33</v>
      </c>
      <c r="H69" s="473">
        <v>2468076.6650886298</v>
      </c>
      <c r="J69" s="184"/>
    </row>
    <row r="71" spans="2:10" x14ac:dyDescent="0.25">
      <c r="B71" s="189" t="s">
        <v>300</v>
      </c>
    </row>
    <row r="73" spans="2:10" ht="42.75" customHeight="1" x14ac:dyDescent="0.25">
      <c r="B73" s="186" t="s">
        <v>96</v>
      </c>
      <c r="C73" s="186" t="s">
        <v>503</v>
      </c>
      <c r="D73" s="186" t="s">
        <v>507</v>
      </c>
      <c r="E73" s="186" t="s">
        <v>415</v>
      </c>
      <c r="F73" s="186" t="s">
        <v>419</v>
      </c>
    </row>
    <row r="74" spans="2:10" ht="25.5" x14ac:dyDescent="0.25">
      <c r="B74" s="197" t="s">
        <v>129</v>
      </c>
      <c r="C74" s="376">
        <v>6567.8</v>
      </c>
      <c r="D74" s="377">
        <v>55658892</v>
      </c>
      <c r="E74" s="376">
        <v>6442.33</v>
      </c>
      <c r="F74" s="377">
        <v>531156929</v>
      </c>
    </row>
    <row r="75" spans="2:10" ht="25.5" x14ac:dyDescent="0.25">
      <c r="B75" s="198" t="s">
        <v>130</v>
      </c>
      <c r="C75" s="378">
        <v>6591.82</v>
      </c>
      <c r="D75" s="379">
        <v>0</v>
      </c>
      <c r="E75" s="378">
        <v>6463.95</v>
      </c>
      <c r="F75" s="379">
        <v>0</v>
      </c>
    </row>
    <row r="77" spans="2:10" s="167" customFormat="1" ht="15.75" x14ac:dyDescent="0.25">
      <c r="B77" s="166" t="s">
        <v>296</v>
      </c>
      <c r="E77" s="300"/>
      <c r="F77" s="300"/>
    </row>
    <row r="78" spans="2:10" ht="10.5" customHeight="1" x14ac:dyDescent="0.25"/>
    <row r="79" spans="2:10" s="165" customFormat="1" ht="21" customHeight="1" thickBot="1" x14ac:dyDescent="0.3">
      <c r="B79" s="199" t="s">
        <v>303</v>
      </c>
      <c r="C79" s="200"/>
      <c r="D79" s="200"/>
      <c r="E79" s="301"/>
      <c r="F79" s="301"/>
    </row>
    <row r="80" spans="2:10" ht="30" customHeight="1" thickBot="1" x14ac:dyDescent="0.3">
      <c r="B80" s="188" t="s">
        <v>113</v>
      </c>
      <c r="C80" s="187" t="s">
        <v>131</v>
      </c>
      <c r="D80" s="187" t="s">
        <v>132</v>
      </c>
      <c r="E80" s="302" t="s">
        <v>508</v>
      </c>
      <c r="F80" s="302" t="s">
        <v>420</v>
      </c>
    </row>
    <row r="81" spans="2:6" x14ac:dyDescent="0.25">
      <c r="B81" s="57" t="s">
        <v>2</v>
      </c>
      <c r="C81" s="134" t="s">
        <v>289</v>
      </c>
      <c r="D81" s="153">
        <v>0</v>
      </c>
      <c r="E81" s="522">
        <v>0</v>
      </c>
      <c r="F81" s="149">
        <v>0</v>
      </c>
    </row>
    <row r="82" spans="2:6" x14ac:dyDescent="0.25">
      <c r="B82" s="94" t="s">
        <v>294</v>
      </c>
      <c r="C82" s="171" t="s">
        <v>289</v>
      </c>
      <c r="D82" s="172">
        <v>0</v>
      </c>
      <c r="E82" s="173">
        <v>1000000</v>
      </c>
      <c r="F82" s="173">
        <v>1000000</v>
      </c>
    </row>
    <row r="83" spans="2:6" s="136" customFormat="1" x14ac:dyDescent="0.25">
      <c r="B83" s="178" t="s">
        <v>297</v>
      </c>
      <c r="C83" s="154" t="s">
        <v>289</v>
      </c>
      <c r="D83" s="155">
        <v>0</v>
      </c>
      <c r="E83" s="156">
        <v>1000000</v>
      </c>
      <c r="F83" s="156">
        <v>1000000</v>
      </c>
    </row>
    <row r="84" spans="2:6" s="136" customFormat="1" x14ac:dyDescent="0.25">
      <c r="B84" s="174"/>
      <c r="C84" s="175"/>
      <c r="D84" s="176"/>
      <c r="E84" s="177"/>
      <c r="F84" s="177"/>
    </row>
    <row r="85" spans="2:6" s="167" customFormat="1" ht="21" customHeight="1" x14ac:dyDescent="0.2">
      <c r="B85" s="169" t="s">
        <v>304</v>
      </c>
      <c r="C85" s="170"/>
      <c r="D85" s="170"/>
      <c r="E85" s="303"/>
      <c r="F85" s="303"/>
    </row>
    <row r="86" spans="2:6" s="167" customFormat="1" ht="21" customHeight="1" x14ac:dyDescent="0.2">
      <c r="B86" s="179" t="s">
        <v>393</v>
      </c>
      <c r="C86" s="170"/>
      <c r="D86" s="170"/>
      <c r="E86" s="303"/>
      <c r="F86" s="303"/>
    </row>
    <row r="87" spans="2:6" ht="30" x14ac:dyDescent="0.25">
      <c r="B87" s="615" t="s">
        <v>113</v>
      </c>
      <c r="C87" s="615" t="s">
        <v>131</v>
      </c>
      <c r="D87" s="615" t="s">
        <v>132</v>
      </c>
      <c r="E87" s="304" t="s">
        <v>508</v>
      </c>
      <c r="F87" s="304" t="s">
        <v>420</v>
      </c>
    </row>
    <row r="88" spans="2:6" x14ac:dyDescent="0.25">
      <c r="B88" s="621" t="s">
        <v>134</v>
      </c>
      <c r="C88" s="622" t="s">
        <v>289</v>
      </c>
      <c r="D88" s="623">
        <v>0</v>
      </c>
      <c r="E88" s="624"/>
      <c r="F88" s="624">
        <v>6000000</v>
      </c>
    </row>
    <row r="89" spans="2:6" x14ac:dyDescent="0.25">
      <c r="B89" s="621" t="s">
        <v>136</v>
      </c>
      <c r="C89" s="622" t="s">
        <v>289</v>
      </c>
      <c r="D89" s="623">
        <v>0</v>
      </c>
      <c r="E89" s="625">
        <v>5379220</v>
      </c>
      <c r="F89" s="625">
        <v>10000000</v>
      </c>
    </row>
    <row r="90" spans="2:6" x14ac:dyDescent="0.25">
      <c r="B90" s="621" t="s">
        <v>137</v>
      </c>
      <c r="C90" s="622" t="s">
        <v>289</v>
      </c>
      <c r="D90" s="623">
        <v>0</v>
      </c>
      <c r="E90" s="624">
        <v>376751</v>
      </c>
      <c r="F90" s="624">
        <v>489819228</v>
      </c>
    </row>
    <row r="91" spans="2:6" ht="15" customHeight="1" x14ac:dyDescent="0.25">
      <c r="B91" s="621" t="s">
        <v>285</v>
      </c>
      <c r="C91" s="626" t="s">
        <v>289</v>
      </c>
      <c r="D91" s="623">
        <v>0</v>
      </c>
      <c r="E91" s="624">
        <v>9233046600</v>
      </c>
      <c r="F91" s="624">
        <v>4044330198</v>
      </c>
    </row>
    <row r="92" spans="2:6" ht="15.75" x14ac:dyDescent="0.25">
      <c r="B92" s="621" t="s">
        <v>138</v>
      </c>
      <c r="C92" s="626" t="s">
        <v>289</v>
      </c>
      <c r="D92" s="623">
        <v>0</v>
      </c>
      <c r="E92" s="624">
        <v>5219763</v>
      </c>
      <c r="F92" s="624">
        <v>5384763</v>
      </c>
    </row>
    <row r="93" spans="2:6" ht="15.75" x14ac:dyDescent="0.25">
      <c r="B93" s="621" t="s">
        <v>139</v>
      </c>
      <c r="C93" s="626" t="s">
        <v>289</v>
      </c>
      <c r="D93" s="623">
        <v>0</v>
      </c>
      <c r="E93" s="624">
        <v>15274998</v>
      </c>
      <c r="F93" s="624">
        <v>15494998</v>
      </c>
    </row>
    <row r="94" spans="2:6" ht="15.75" x14ac:dyDescent="0.25">
      <c r="B94" s="621" t="s">
        <v>140</v>
      </c>
      <c r="C94" s="626" t="s">
        <v>289</v>
      </c>
      <c r="D94" s="623">
        <v>0</v>
      </c>
      <c r="E94" s="624">
        <v>6205000</v>
      </c>
      <c r="F94" s="624">
        <v>6425000</v>
      </c>
    </row>
    <row r="95" spans="2:6" ht="15.75" x14ac:dyDescent="0.25">
      <c r="B95" s="621" t="s">
        <v>401</v>
      </c>
      <c r="C95" s="626" t="s">
        <v>289</v>
      </c>
      <c r="D95" s="623">
        <v>0</v>
      </c>
      <c r="E95" s="627"/>
      <c r="F95" s="627">
        <v>0</v>
      </c>
    </row>
    <row r="96" spans="2:6" ht="15.75" x14ac:dyDescent="0.25">
      <c r="B96" s="621" t="s">
        <v>141</v>
      </c>
      <c r="C96" s="626" t="s">
        <v>289</v>
      </c>
      <c r="D96" s="623">
        <v>0</v>
      </c>
      <c r="E96" s="628">
        <v>130548</v>
      </c>
      <c r="F96" s="628">
        <v>130548</v>
      </c>
    </row>
    <row r="97" spans="2:7" ht="15.75" x14ac:dyDescent="0.25">
      <c r="B97" s="621" t="s">
        <v>142</v>
      </c>
      <c r="C97" s="626" t="s">
        <v>289</v>
      </c>
      <c r="D97" s="623">
        <v>0</v>
      </c>
      <c r="E97" s="624">
        <v>19255890</v>
      </c>
      <c r="F97" s="624">
        <v>19255890</v>
      </c>
    </row>
    <row r="98" spans="2:7" ht="15.75" x14ac:dyDescent="0.25">
      <c r="B98" s="621" t="s">
        <v>398</v>
      </c>
      <c r="C98" s="626" t="s">
        <v>289</v>
      </c>
      <c r="D98" s="623">
        <v>0</v>
      </c>
      <c r="E98" s="624">
        <v>12289217</v>
      </c>
      <c r="F98" s="624">
        <v>12289217</v>
      </c>
    </row>
    <row r="99" spans="2:7" ht="15.75" x14ac:dyDescent="0.25">
      <c r="B99" s="621" t="s">
        <v>399</v>
      </c>
      <c r="C99" s="626" t="s">
        <v>289</v>
      </c>
      <c r="D99" s="623">
        <v>0</v>
      </c>
      <c r="E99" s="624">
        <v>6780000</v>
      </c>
      <c r="F99" s="624">
        <v>6835000</v>
      </c>
    </row>
    <row r="100" spans="2:7" ht="15.75" x14ac:dyDescent="0.25">
      <c r="B100" s="621" t="s">
        <v>261</v>
      </c>
      <c r="C100" s="626" t="s">
        <v>289</v>
      </c>
      <c r="D100" s="623">
        <v>0</v>
      </c>
      <c r="E100" s="624">
        <v>7355252</v>
      </c>
      <c r="F100" s="624">
        <v>7355252</v>
      </c>
    </row>
    <row r="101" spans="2:7" ht="15.75" x14ac:dyDescent="0.25">
      <c r="B101" s="621" t="s">
        <v>299</v>
      </c>
      <c r="C101" s="626" t="s">
        <v>289</v>
      </c>
      <c r="D101" s="623">
        <v>0</v>
      </c>
      <c r="E101" s="624">
        <v>79533</v>
      </c>
      <c r="F101" s="624">
        <v>181758</v>
      </c>
    </row>
    <row r="102" spans="2:7" ht="15.75" x14ac:dyDescent="0.25">
      <c r="B102" s="621" t="s">
        <v>397</v>
      </c>
      <c r="C102" s="626" t="s">
        <v>289</v>
      </c>
      <c r="D102" s="623">
        <v>0</v>
      </c>
      <c r="E102" s="624">
        <v>9635000</v>
      </c>
      <c r="F102" s="624">
        <v>9800000</v>
      </c>
    </row>
    <row r="103" spans="2:7" ht="15" customHeight="1" x14ac:dyDescent="0.25">
      <c r="B103" s="621" t="s">
        <v>400</v>
      </c>
      <c r="C103" s="626" t="s">
        <v>289</v>
      </c>
      <c r="D103" s="623">
        <v>0</v>
      </c>
      <c r="E103" s="624">
        <v>-11362340</v>
      </c>
      <c r="F103" s="624">
        <v>8574055</v>
      </c>
    </row>
    <row r="104" spans="2:7" ht="15.75" x14ac:dyDescent="0.25">
      <c r="B104" s="621" t="s">
        <v>144</v>
      </c>
      <c r="C104" s="626" t="s">
        <v>118</v>
      </c>
      <c r="D104" s="630">
        <v>4470.08</v>
      </c>
      <c r="E104" s="624">
        <v>29358438</v>
      </c>
      <c r="F104" s="624">
        <v>34297032</v>
      </c>
    </row>
    <row r="105" spans="2:7" ht="15.75" x14ac:dyDescent="0.25">
      <c r="B105" s="621" t="s">
        <v>389</v>
      </c>
      <c r="C105" s="626" t="s">
        <v>118</v>
      </c>
      <c r="D105" s="630">
        <v>1.0900000000000001</v>
      </c>
      <c r="E105" s="624">
        <v>7093</v>
      </c>
      <c r="F105" s="624">
        <v>6958</v>
      </c>
    </row>
    <row r="106" spans="2:7" ht="15" customHeight="1" x14ac:dyDescent="0.25">
      <c r="B106" s="621" t="s">
        <v>284</v>
      </c>
      <c r="C106" s="626" t="s">
        <v>118</v>
      </c>
      <c r="D106" s="630">
        <v>120731.11</v>
      </c>
      <c r="E106" s="624">
        <v>792932955</v>
      </c>
      <c r="F106" s="624">
        <v>4079808213</v>
      </c>
    </row>
    <row r="107" spans="2:7" ht="15.75" x14ac:dyDescent="0.25">
      <c r="B107" s="621" t="s">
        <v>145</v>
      </c>
      <c r="C107" s="626" t="s">
        <v>118</v>
      </c>
      <c r="D107" s="630">
        <v>1000.22</v>
      </c>
      <c r="E107" s="624">
        <v>6569205</v>
      </c>
      <c r="F107" s="624">
        <v>6443747</v>
      </c>
      <c r="G107" s="136"/>
    </row>
    <row r="108" spans="2:7" ht="15.75" x14ac:dyDescent="0.25">
      <c r="B108" s="621" t="s">
        <v>140</v>
      </c>
      <c r="C108" s="626" t="s">
        <v>118</v>
      </c>
      <c r="D108" s="630">
        <v>5000</v>
      </c>
      <c r="E108" s="628">
        <v>32838800</v>
      </c>
      <c r="F108" s="628">
        <v>32211650</v>
      </c>
      <c r="G108" s="136"/>
    </row>
    <row r="109" spans="2:7" ht="15.75" x14ac:dyDescent="0.25">
      <c r="B109" s="621" t="s">
        <v>423</v>
      </c>
      <c r="C109" s="626" t="s">
        <v>118</v>
      </c>
      <c r="D109" s="629">
        <v>998.43</v>
      </c>
      <c r="E109" s="631">
        <f>6557426+29</f>
        <v>6557455</v>
      </c>
      <c r="F109" s="624">
        <v>19311199</v>
      </c>
      <c r="G109" s="177"/>
    </row>
    <row r="110" spans="2:7" ht="15.75" x14ac:dyDescent="0.25">
      <c r="B110" s="621" t="s">
        <v>390</v>
      </c>
      <c r="C110" s="626" t="s">
        <v>118</v>
      </c>
      <c r="D110" s="629">
        <v>26.66</v>
      </c>
      <c r="E110" s="624">
        <v>175096</v>
      </c>
      <c r="F110" s="624">
        <v>26542</v>
      </c>
      <c r="G110" s="136"/>
    </row>
    <row r="111" spans="2:7" ht="15.75" x14ac:dyDescent="0.25">
      <c r="B111" s="621" t="s">
        <v>402</v>
      </c>
      <c r="C111" s="626" t="s">
        <v>118</v>
      </c>
      <c r="D111" s="629">
        <v>3000</v>
      </c>
      <c r="E111" s="624">
        <v>19703280</v>
      </c>
      <c r="F111" s="624">
        <v>19326990</v>
      </c>
      <c r="G111" s="136"/>
    </row>
    <row r="112" spans="2:7" ht="15" customHeight="1" x14ac:dyDescent="0.25">
      <c r="B112" s="621" t="s">
        <v>509</v>
      </c>
      <c r="C112" s="626" t="s">
        <v>118</v>
      </c>
      <c r="D112" s="630">
        <v>4752.9399999999996</v>
      </c>
      <c r="E112" s="624">
        <v>31216170</v>
      </c>
      <c r="F112" s="624">
        <v>32472371</v>
      </c>
      <c r="G112" s="136"/>
    </row>
    <row r="113" spans="2:8" ht="15" customHeight="1" x14ac:dyDescent="0.25">
      <c r="B113" s="621" t="s">
        <v>421</v>
      </c>
      <c r="C113" s="626" t="s">
        <v>289</v>
      </c>
      <c r="D113" s="629"/>
      <c r="E113" s="631">
        <v>9760000</v>
      </c>
      <c r="F113" s="631">
        <v>10000000</v>
      </c>
      <c r="G113" s="305"/>
    </row>
    <row r="114" spans="2:8" ht="15" customHeight="1" x14ac:dyDescent="0.25">
      <c r="B114" s="621" t="s">
        <v>424</v>
      </c>
      <c r="C114" s="626" t="s">
        <v>118</v>
      </c>
      <c r="D114" s="629">
        <v>4995</v>
      </c>
      <c r="E114" s="631">
        <v>32805961</v>
      </c>
      <c r="F114" s="631">
        <v>32179438</v>
      </c>
      <c r="G114" s="633"/>
      <c r="H114" s="207"/>
    </row>
    <row r="115" spans="2:8" ht="15" customHeight="1" x14ac:dyDescent="0.25">
      <c r="B115" s="621" t="s">
        <v>422</v>
      </c>
      <c r="C115" s="632" t="s">
        <v>289</v>
      </c>
      <c r="D115" s="629">
        <v>0</v>
      </c>
      <c r="E115" s="631">
        <v>19456996</v>
      </c>
      <c r="F115" s="631">
        <v>6445423</v>
      </c>
      <c r="G115" s="305"/>
    </row>
    <row r="116" spans="2:8" ht="15" customHeight="1" x14ac:dyDescent="0.25">
      <c r="B116" s="135" t="s">
        <v>290</v>
      </c>
      <c r="C116" s="95"/>
      <c r="D116" s="407">
        <f>SUM(D88:D115)</f>
        <v>144975.53</v>
      </c>
      <c r="E116" s="152">
        <f>SUM(E88:E115)</f>
        <v>10291046881</v>
      </c>
      <c r="F116" s="152">
        <f>SUM(F88:F115)</f>
        <v>8914405470</v>
      </c>
      <c r="G116" s="136"/>
    </row>
    <row r="117" spans="2:8" s="136" customFormat="1" ht="3.95" customHeight="1" x14ac:dyDescent="0.25">
      <c r="E117" s="305"/>
      <c r="F117" s="305"/>
    </row>
    <row r="118" spans="2:8" ht="15" customHeight="1" x14ac:dyDescent="0.25">
      <c r="B118" s="137" t="s">
        <v>291</v>
      </c>
      <c r="C118" s="95"/>
      <c r="D118" s="95"/>
      <c r="E118" s="152"/>
      <c r="F118" s="152"/>
    </row>
    <row r="119" spans="2:8" s="141" customFormat="1" ht="15" customHeight="1" x14ac:dyDescent="0.25">
      <c r="B119" s="138" t="s">
        <v>143</v>
      </c>
      <c r="C119" s="139" t="s">
        <v>118</v>
      </c>
      <c r="D119" s="93">
        <v>0</v>
      </c>
      <c r="E119" s="148">
        <v>0</v>
      </c>
      <c r="F119" s="151">
        <v>0</v>
      </c>
      <c r="G119" s="140"/>
    </row>
    <row r="120" spans="2:8" s="141" customFormat="1" ht="15" customHeight="1" x14ac:dyDescent="0.25">
      <c r="B120" s="138" t="s">
        <v>135</v>
      </c>
      <c r="C120" s="142" t="s">
        <v>289</v>
      </c>
      <c r="D120" s="147">
        <v>0</v>
      </c>
      <c r="E120" s="306">
        <v>0</v>
      </c>
      <c r="F120" s="306">
        <v>300714000</v>
      </c>
    </row>
    <row r="121" spans="2:8" ht="15" customHeight="1" x14ac:dyDescent="0.25">
      <c r="B121" s="135" t="s">
        <v>292</v>
      </c>
      <c r="C121" s="95"/>
      <c r="D121" s="143">
        <v>0</v>
      </c>
      <c r="E121" s="152">
        <f>+E120</f>
        <v>0</v>
      </c>
      <c r="F121" s="152">
        <f>+F120</f>
        <v>300714000</v>
      </c>
    </row>
    <row r="122" spans="2:8" s="136" customFormat="1" ht="3.95" customHeight="1" x14ac:dyDescent="0.25">
      <c r="B122" s="89"/>
      <c r="C122" s="144"/>
      <c r="D122" s="145"/>
      <c r="E122" s="177"/>
      <c r="F122" s="307"/>
    </row>
    <row r="123" spans="2:8" ht="15" customHeight="1" x14ac:dyDescent="0.25">
      <c r="B123" s="180" t="s">
        <v>298</v>
      </c>
      <c r="C123" s="181"/>
      <c r="D123" s="182">
        <f>+D116</f>
        <v>144975.53</v>
      </c>
      <c r="E123" s="295">
        <f>+E116+E121</f>
        <v>10291046881</v>
      </c>
      <c r="F123" s="295">
        <f>+F116+F121</f>
        <v>9215119470</v>
      </c>
      <c r="H123" s="97"/>
    </row>
    <row r="124" spans="2:8" ht="3.75" customHeight="1" x14ac:dyDescent="0.25">
      <c r="B124" s="89"/>
      <c r="C124" s="144"/>
      <c r="D124" s="145"/>
      <c r="E124" s="177"/>
      <c r="F124" s="307"/>
      <c r="H124" s="97"/>
    </row>
    <row r="125" spans="2:8" x14ac:dyDescent="0.25">
      <c r="B125" s="180" t="s">
        <v>146</v>
      </c>
      <c r="C125" s="181"/>
      <c r="D125" s="182">
        <f>+D123</f>
        <v>144975.53</v>
      </c>
      <c r="E125" s="295">
        <f>+E123+E83</f>
        <v>10292046881</v>
      </c>
      <c r="F125" s="295">
        <f>+F123+F83</f>
        <v>9216119470</v>
      </c>
      <c r="G125" s="9"/>
    </row>
    <row r="126" spans="2:8" x14ac:dyDescent="0.25">
      <c r="G126" s="9"/>
    </row>
    <row r="127" spans="2:8" x14ac:dyDescent="0.25">
      <c r="B127" s="25" t="s">
        <v>147</v>
      </c>
      <c r="G127" s="294"/>
    </row>
    <row r="129" spans="2:12" ht="18.95" customHeight="1" x14ac:dyDescent="0.25"/>
    <row r="130" spans="2:12" ht="29.65" customHeight="1" x14ac:dyDescent="0.25">
      <c r="B130" s="637" t="s">
        <v>148</v>
      </c>
      <c r="C130" s="637"/>
      <c r="D130" s="637"/>
      <c r="E130" s="637"/>
      <c r="F130" s="637"/>
      <c r="G130" s="637"/>
      <c r="H130" s="651" t="s">
        <v>530</v>
      </c>
      <c r="I130" s="651"/>
      <c r="J130" s="651"/>
    </row>
    <row r="131" spans="2:12" ht="45" x14ac:dyDescent="0.25">
      <c r="B131" s="114" t="s">
        <v>154</v>
      </c>
      <c r="C131" s="114" t="s">
        <v>149</v>
      </c>
      <c r="D131" s="114" t="s">
        <v>150</v>
      </c>
      <c r="E131" s="304" t="s">
        <v>151</v>
      </c>
      <c r="F131" s="304" t="s">
        <v>152</v>
      </c>
      <c r="G131" s="114" t="s">
        <v>164</v>
      </c>
      <c r="H131" s="114" t="s">
        <v>64</v>
      </c>
      <c r="I131" s="114" t="s">
        <v>153</v>
      </c>
      <c r="J131" s="114" t="s">
        <v>9</v>
      </c>
    </row>
    <row r="132" spans="2:12" ht="15.75" x14ac:dyDescent="0.25">
      <c r="B132" s="121" t="s">
        <v>124</v>
      </c>
      <c r="C132" s="120"/>
      <c r="D132" s="120"/>
      <c r="E132" s="308"/>
      <c r="F132" s="308"/>
      <c r="G132" s="120"/>
      <c r="H132" s="120"/>
      <c r="I132" s="120"/>
      <c r="J132" s="119"/>
    </row>
    <row r="133" spans="2:12" s="207" customFormat="1" ht="15" customHeight="1" x14ac:dyDescent="0.25">
      <c r="B133" s="475" t="s">
        <v>307</v>
      </c>
      <c r="C133" s="476" t="s">
        <v>289</v>
      </c>
      <c r="D133" s="477" t="s">
        <v>263</v>
      </c>
      <c r="E133" s="445">
        <v>108</v>
      </c>
      <c r="F133" s="446">
        <v>108000000</v>
      </c>
      <c r="G133" s="447">
        <v>116915892</v>
      </c>
      <c r="H133" s="478">
        <v>0</v>
      </c>
      <c r="I133" s="478">
        <v>0</v>
      </c>
      <c r="J133" s="478">
        <v>0</v>
      </c>
      <c r="L133" s="208"/>
    </row>
    <row r="134" spans="2:12" s="207" customFormat="1" ht="15" customHeight="1" x14ac:dyDescent="0.25">
      <c r="B134" s="474" t="s">
        <v>391</v>
      </c>
      <c r="C134" s="476" t="s">
        <v>289</v>
      </c>
      <c r="D134" s="477" t="s">
        <v>263</v>
      </c>
      <c r="E134" s="448">
        <v>3068</v>
      </c>
      <c r="F134" s="449">
        <v>3068000000</v>
      </c>
      <c r="G134" s="450">
        <f>3151109052-59272594</f>
        <v>3091836458</v>
      </c>
      <c r="H134" s="687">
        <v>164008000000</v>
      </c>
      <c r="I134" s="687">
        <v>211007000000</v>
      </c>
      <c r="J134" s="687">
        <v>675541000000</v>
      </c>
      <c r="L134" s="208"/>
    </row>
    <row r="135" spans="2:12" s="207" customFormat="1" ht="15" customHeight="1" x14ac:dyDescent="0.25">
      <c r="B135" s="475" t="s">
        <v>306</v>
      </c>
      <c r="C135" s="476" t="s">
        <v>289</v>
      </c>
      <c r="D135" s="477" t="s">
        <v>263</v>
      </c>
      <c r="E135" s="445">
        <v>1606</v>
      </c>
      <c r="F135" s="446">
        <v>1606000000</v>
      </c>
      <c r="G135" s="447">
        <v>1613315330</v>
      </c>
      <c r="H135" s="478">
        <f>1720989.299372*1000000</f>
        <v>1720989299372</v>
      </c>
      <c r="I135" s="478">
        <f>470762.4926*1000000</f>
        <v>470762492600</v>
      </c>
      <c r="J135" s="478">
        <f>3008993.887839*1000000</f>
        <v>3008993887839</v>
      </c>
      <c r="L135" s="208"/>
    </row>
    <row r="136" spans="2:12" s="207" customFormat="1" ht="15" customHeight="1" x14ac:dyDescent="0.25">
      <c r="B136" s="475" t="s">
        <v>306</v>
      </c>
      <c r="C136" s="476" t="s">
        <v>289</v>
      </c>
      <c r="D136" s="477" t="s">
        <v>263</v>
      </c>
      <c r="E136" s="445">
        <v>102</v>
      </c>
      <c r="F136" s="446">
        <v>102000000</v>
      </c>
      <c r="G136" s="447">
        <v>115715470</v>
      </c>
      <c r="H136" s="478">
        <f>1720989.299372*1000000</f>
        <v>1720989299372</v>
      </c>
      <c r="I136" s="478">
        <f>470762.4926*1000000</f>
        <v>470762492600</v>
      </c>
      <c r="J136" s="478">
        <f>3008993.887839*1000000</f>
        <v>3008993887839</v>
      </c>
    </row>
    <row r="137" spans="2:12" s="207" customFormat="1" ht="15" customHeight="1" x14ac:dyDescent="0.25">
      <c r="B137" s="475" t="s">
        <v>392</v>
      </c>
      <c r="C137" s="476" t="s">
        <v>289</v>
      </c>
      <c r="D137" s="477" t="s">
        <v>263</v>
      </c>
      <c r="E137" s="445">
        <v>18</v>
      </c>
      <c r="F137" s="446">
        <v>18000000</v>
      </c>
      <c r="G137" s="447">
        <v>19025753</v>
      </c>
      <c r="H137" s="478">
        <v>345739600000</v>
      </c>
      <c r="I137" s="478">
        <v>29080377180</v>
      </c>
      <c r="J137" s="478">
        <v>376504650153</v>
      </c>
    </row>
    <row r="138" spans="2:12" s="207" customFormat="1" ht="15" customHeight="1" x14ac:dyDescent="0.25">
      <c r="B138" s="475" t="s">
        <v>392</v>
      </c>
      <c r="C138" s="476" t="s">
        <v>289</v>
      </c>
      <c r="D138" s="477" t="s">
        <v>155</v>
      </c>
      <c r="E138" s="445">
        <v>17</v>
      </c>
      <c r="F138" s="446">
        <v>17000000</v>
      </c>
      <c r="G138" s="447">
        <v>17691936</v>
      </c>
      <c r="H138" s="478">
        <v>345739600000</v>
      </c>
      <c r="I138" s="478">
        <v>29080377180</v>
      </c>
      <c r="J138" s="478">
        <v>376504650153</v>
      </c>
    </row>
    <row r="139" spans="2:12" s="207" customFormat="1" ht="15" customHeight="1" x14ac:dyDescent="0.25">
      <c r="B139" s="474" t="s">
        <v>425</v>
      </c>
      <c r="C139" s="476" t="s">
        <v>289</v>
      </c>
      <c r="D139" s="477" t="s">
        <v>155</v>
      </c>
      <c r="E139" s="448">
        <v>400</v>
      </c>
      <c r="F139" s="449">
        <v>400000000</v>
      </c>
      <c r="G139" s="450">
        <v>402843846</v>
      </c>
      <c r="H139" s="687">
        <v>71000000000</v>
      </c>
      <c r="I139" s="687">
        <v>1862184404</v>
      </c>
      <c r="J139" s="687">
        <v>129937517027</v>
      </c>
    </row>
    <row r="140" spans="2:12" s="207" customFormat="1" ht="15" customHeight="1" x14ac:dyDescent="0.25">
      <c r="B140" s="474" t="s">
        <v>512</v>
      </c>
      <c r="C140" s="476" t="s">
        <v>289</v>
      </c>
      <c r="D140" s="477" t="s">
        <v>155</v>
      </c>
      <c r="E140" s="448">
        <v>1000</v>
      </c>
      <c r="F140" s="449">
        <v>1000000000</v>
      </c>
      <c r="G140" s="450">
        <f>1007563795+46311</f>
        <v>1007610106</v>
      </c>
      <c r="H140" s="687">
        <v>31546000000</v>
      </c>
      <c r="I140" s="687">
        <v>23745456084</v>
      </c>
      <c r="J140" s="687">
        <v>105728825578</v>
      </c>
    </row>
    <row r="141" spans="2:12" s="207" customFormat="1" ht="15" customHeight="1" x14ac:dyDescent="0.25">
      <c r="B141" s="475" t="s">
        <v>514</v>
      </c>
      <c r="C141" s="476" t="s">
        <v>289</v>
      </c>
      <c r="D141" s="477" t="s">
        <v>155</v>
      </c>
      <c r="E141" s="445">
        <v>10</v>
      </c>
      <c r="F141" s="446">
        <v>10000000</v>
      </c>
      <c r="G141" s="446">
        <v>10130608</v>
      </c>
      <c r="H141" s="478">
        <f>178568*1000000</f>
        <v>178568000000</v>
      </c>
      <c r="I141" s="478">
        <f>25238.893698*1000000</f>
        <v>25238893698</v>
      </c>
      <c r="J141" s="478">
        <f>215442.296828*1000000</f>
        <v>215442296828</v>
      </c>
    </row>
    <row r="142" spans="2:12" s="207" customFormat="1" ht="15" customHeight="1" x14ac:dyDescent="0.25">
      <c r="B142" s="474" t="s">
        <v>513</v>
      </c>
      <c r="C142" s="476" t="s">
        <v>289</v>
      </c>
      <c r="D142" s="477" t="s">
        <v>155</v>
      </c>
      <c r="E142" s="448">
        <v>600</v>
      </c>
      <c r="F142" s="449">
        <v>600000000</v>
      </c>
      <c r="G142" s="449">
        <v>610538708</v>
      </c>
      <c r="H142" s="687">
        <f>399038.301862*1000000</f>
        <v>399038301862</v>
      </c>
      <c r="I142" s="687">
        <f>31221.647658*1000000</f>
        <v>31221647658</v>
      </c>
      <c r="J142" s="687">
        <f>619488.778777*1000000</f>
        <v>619488778777</v>
      </c>
    </row>
    <row r="143" spans="2:12" s="207" customFormat="1" ht="15" customHeight="1" x14ac:dyDescent="0.25">
      <c r="B143" s="475" t="s">
        <v>306</v>
      </c>
      <c r="C143" s="476" t="s">
        <v>289</v>
      </c>
      <c r="D143" s="477" t="s">
        <v>155</v>
      </c>
      <c r="E143" s="445">
        <v>1035</v>
      </c>
      <c r="F143" s="446">
        <v>1035000000</v>
      </c>
      <c r="G143" s="479">
        <v>1033691045</v>
      </c>
      <c r="H143" s="478">
        <f>1720989.299372*1000000</f>
        <v>1720989299372</v>
      </c>
      <c r="I143" s="478">
        <f>470762.4926*1000000</f>
        <v>470762492600</v>
      </c>
      <c r="J143" s="478">
        <f>3008993.887839*1000000</f>
        <v>3008993887839</v>
      </c>
    </row>
    <row r="144" spans="2:12" ht="15" customHeight="1" x14ac:dyDescent="0.25">
      <c r="B144" s="202" t="s">
        <v>306</v>
      </c>
      <c r="C144" s="201" t="s">
        <v>289</v>
      </c>
      <c r="D144" s="455" t="s">
        <v>309</v>
      </c>
      <c r="E144" s="445">
        <v>49608</v>
      </c>
      <c r="F144" s="446">
        <f>+E144*100000</f>
        <v>4960800000</v>
      </c>
      <c r="G144" s="447">
        <f>14082986816.3478+3449990</f>
        <v>14086436806.347799</v>
      </c>
      <c r="H144" s="478">
        <f>1720989.299372*1000000</f>
        <v>1720989299372</v>
      </c>
      <c r="I144" s="478">
        <f>470762.4926*1000000</f>
        <v>470762492600</v>
      </c>
      <c r="J144" s="478">
        <f>3008993.887839*1000000</f>
        <v>3008993887839</v>
      </c>
    </row>
    <row r="145" spans="2:13" ht="15" customHeight="1" x14ac:dyDescent="0.25">
      <c r="B145" s="202" t="s">
        <v>392</v>
      </c>
      <c r="C145" s="201" t="s">
        <v>289</v>
      </c>
      <c r="D145" s="455" t="s">
        <v>309</v>
      </c>
      <c r="E145" s="445">
        <v>18309</v>
      </c>
      <c r="F145" s="446">
        <f>+E145*100000</f>
        <v>1830900000</v>
      </c>
      <c r="G145" s="447">
        <v>2376108916.9941778</v>
      </c>
      <c r="H145" s="478">
        <v>345739600000</v>
      </c>
      <c r="I145" s="478">
        <v>29080377180</v>
      </c>
      <c r="J145" s="478">
        <v>376504650153</v>
      </c>
    </row>
    <row r="146" spans="2:13" x14ac:dyDescent="0.25">
      <c r="B146" s="655" t="s">
        <v>305</v>
      </c>
      <c r="C146" s="656"/>
      <c r="D146" s="656"/>
      <c r="E146" s="657"/>
      <c r="F146" s="309">
        <f>SUM(F133:F145)</f>
        <v>14755700000</v>
      </c>
      <c r="G146" s="309">
        <f>SUM(G133:G145)</f>
        <v>24501860875.34198</v>
      </c>
      <c r="H146" s="102"/>
      <c r="I146" s="102"/>
      <c r="J146" s="102"/>
    </row>
    <row r="147" spans="2:13" s="207" customFormat="1" ht="15" customHeight="1" x14ac:dyDescent="0.25">
      <c r="B147" s="475" t="s">
        <v>306</v>
      </c>
      <c r="C147" s="139" t="s">
        <v>118</v>
      </c>
      <c r="D147" s="480" t="s">
        <v>263</v>
      </c>
      <c r="E147" s="481">
        <v>50</v>
      </c>
      <c r="F147" s="482">
        <v>50000</v>
      </c>
      <c r="G147" s="483">
        <v>51777.25</v>
      </c>
      <c r="H147" s="478">
        <f>1720989.299372*1000000</f>
        <v>1720989299372</v>
      </c>
      <c r="I147" s="478">
        <f>470762.4926*1000000</f>
        <v>470762492600</v>
      </c>
      <c r="J147" s="478">
        <f>3008993.887839*1000000</f>
        <v>3008993887839</v>
      </c>
      <c r="M147" s="208"/>
    </row>
    <row r="148" spans="2:13" s="207" customFormat="1" ht="15" customHeight="1" x14ac:dyDescent="0.25">
      <c r="B148" s="475" t="s">
        <v>510</v>
      </c>
      <c r="C148" s="139" t="s">
        <v>118</v>
      </c>
      <c r="D148" s="480" t="s">
        <v>263</v>
      </c>
      <c r="E148" s="481">
        <v>250</v>
      </c>
      <c r="F148" s="482">
        <v>250000</v>
      </c>
      <c r="G148" s="483">
        <f>200378-2224.61</f>
        <v>198153.39</v>
      </c>
      <c r="H148" s="478">
        <f>1151242.86*1000000</f>
        <v>1151242860000</v>
      </c>
      <c r="I148" s="478">
        <f>156900.01485*1000000</f>
        <v>156900014850</v>
      </c>
      <c r="J148" s="478">
        <f>1736966.471947*1000000</f>
        <v>1736966471947</v>
      </c>
      <c r="M148" s="208"/>
    </row>
    <row r="149" spans="2:13" s="207" customFormat="1" ht="15" customHeight="1" x14ac:dyDescent="0.25">
      <c r="B149" s="475" t="s">
        <v>392</v>
      </c>
      <c r="C149" s="139" t="s">
        <v>118</v>
      </c>
      <c r="D149" s="480" t="s">
        <v>263</v>
      </c>
      <c r="E149" s="481">
        <v>150</v>
      </c>
      <c r="F149" s="482">
        <v>150000</v>
      </c>
      <c r="G149" s="483">
        <v>151188.45000000001</v>
      </c>
      <c r="H149" s="478">
        <v>345739600000</v>
      </c>
      <c r="I149" s="478">
        <v>29080377180</v>
      </c>
      <c r="J149" s="478">
        <v>376504650153</v>
      </c>
      <c r="M149" s="208"/>
    </row>
    <row r="150" spans="2:13" s="207" customFormat="1" ht="15" customHeight="1" x14ac:dyDescent="0.25">
      <c r="B150" s="475" t="s">
        <v>511</v>
      </c>
      <c r="C150" s="139" t="s">
        <v>118</v>
      </c>
      <c r="D150" s="480" t="s">
        <v>263</v>
      </c>
      <c r="E150" s="481">
        <v>150</v>
      </c>
      <c r="F150" s="482">
        <v>150000</v>
      </c>
      <c r="G150" s="483">
        <v>153656.9</v>
      </c>
      <c r="H150" s="478">
        <f>277910*1000000</f>
        <v>277910000000</v>
      </c>
      <c r="I150" s="478">
        <f>46841.416998*1000000</f>
        <v>46841416998</v>
      </c>
      <c r="J150" s="478">
        <f>624392.416895*1000000</f>
        <v>624392416895</v>
      </c>
      <c r="M150" s="208"/>
    </row>
    <row r="151" spans="2:13" s="207" customFormat="1" ht="15" customHeight="1" x14ac:dyDescent="0.25">
      <c r="B151" s="475" t="s">
        <v>511</v>
      </c>
      <c r="C151" s="139" t="s">
        <v>118</v>
      </c>
      <c r="D151" s="480" t="s">
        <v>155</v>
      </c>
      <c r="E151" s="481">
        <v>100</v>
      </c>
      <c r="F151" s="482">
        <v>100000</v>
      </c>
      <c r="G151" s="483">
        <v>101275.38</v>
      </c>
      <c r="H151" s="478">
        <f>277910*1000000</f>
        <v>277910000000</v>
      </c>
      <c r="I151" s="478">
        <f>46841.416998*1000000</f>
        <v>46841416998</v>
      </c>
      <c r="J151" s="478">
        <f>624392.416895*1000000</f>
        <v>624392416895</v>
      </c>
      <c r="M151" s="208"/>
    </row>
    <row r="152" spans="2:13" s="207" customFormat="1" ht="15" customHeight="1" x14ac:dyDescent="0.25">
      <c r="B152" s="475" t="s">
        <v>392</v>
      </c>
      <c r="C152" s="476" t="s">
        <v>118</v>
      </c>
      <c r="D152" s="480" t="s">
        <v>155</v>
      </c>
      <c r="E152" s="445">
        <v>150</v>
      </c>
      <c r="F152" s="446">
        <v>150000</v>
      </c>
      <c r="G152" s="682">
        <f>152767.59+0.93</f>
        <v>152768.51999999999</v>
      </c>
      <c r="H152" s="478">
        <v>345739600000</v>
      </c>
      <c r="I152" s="478">
        <v>29080377180</v>
      </c>
      <c r="J152" s="478">
        <v>376504650153</v>
      </c>
    </row>
    <row r="153" spans="2:13" ht="15" customHeight="1" x14ac:dyDescent="0.25">
      <c r="B153" s="202" t="s">
        <v>306</v>
      </c>
      <c r="C153" s="476" t="s">
        <v>118</v>
      </c>
      <c r="D153" s="480" t="s">
        <v>155</v>
      </c>
      <c r="E153" s="445">
        <v>43</v>
      </c>
      <c r="F153" s="446">
        <v>43000</v>
      </c>
      <c r="G153" s="682">
        <v>42561.73</v>
      </c>
      <c r="H153" s="478">
        <f>1720989.299372*1000000</f>
        <v>1720989299372</v>
      </c>
      <c r="I153" s="478">
        <f>470762.4926*1000000</f>
        <v>470762492600</v>
      </c>
      <c r="J153" s="478">
        <f>3008993.887839*1000000</f>
        <v>3008993887839</v>
      </c>
    </row>
    <row r="154" spans="2:13" s="207" customFormat="1" ht="15" customHeight="1" x14ac:dyDescent="0.25">
      <c r="B154" s="474" t="s">
        <v>513</v>
      </c>
      <c r="C154" s="476" t="s">
        <v>118</v>
      </c>
      <c r="D154" s="480" t="s">
        <v>155</v>
      </c>
      <c r="E154" s="448">
        <v>175</v>
      </c>
      <c r="F154" s="449">
        <v>175000</v>
      </c>
      <c r="G154" s="686">
        <v>176361.45</v>
      </c>
      <c r="H154" s="687">
        <f>399038.301862*1000000</f>
        <v>399038301862</v>
      </c>
      <c r="I154" s="687">
        <f>31221.647658*1000000</f>
        <v>31221647658</v>
      </c>
      <c r="J154" s="687">
        <f>619488.778777*1000000</f>
        <v>619488778777</v>
      </c>
    </row>
    <row r="155" spans="2:13" x14ac:dyDescent="0.25">
      <c r="B155" s="652" t="s">
        <v>286</v>
      </c>
      <c r="C155" s="653"/>
      <c r="D155" s="653"/>
      <c r="E155" s="654"/>
      <c r="F155" s="311">
        <f>(F147+F152+F153+F154+F148+F149+F150+F151)*6567.5</f>
        <v>7014090000</v>
      </c>
      <c r="G155" s="311">
        <f>(G147+G152+G153+G154+G148+G149+G150+G151)*6567.76</f>
        <v>6749969825.4232006</v>
      </c>
      <c r="H155" s="102"/>
      <c r="I155" s="102"/>
      <c r="J155" s="102"/>
    </row>
    <row r="156" spans="2:13" x14ac:dyDescent="0.25">
      <c r="B156" s="652" t="s">
        <v>529</v>
      </c>
      <c r="C156" s="653"/>
      <c r="D156" s="653"/>
      <c r="E156" s="654"/>
      <c r="F156" s="311">
        <f>+F146+F155</f>
        <v>21769790000</v>
      </c>
      <c r="G156" s="311">
        <f>+G146+G155</f>
        <v>31251830700.765182</v>
      </c>
      <c r="H156" s="102"/>
      <c r="I156" s="102"/>
      <c r="J156" s="102"/>
      <c r="L156" s="9"/>
      <c r="M156" s="9"/>
    </row>
    <row r="157" spans="2:13" ht="16.5" customHeight="1" x14ac:dyDescent="0.25">
      <c r="B157" s="652" t="s">
        <v>426</v>
      </c>
      <c r="C157" s="653"/>
      <c r="D157" s="653"/>
      <c r="E157" s="654"/>
      <c r="F157" s="311">
        <v>23432009963</v>
      </c>
      <c r="G157" s="19">
        <v>35288713895.539803</v>
      </c>
      <c r="H157" s="102"/>
      <c r="I157" s="102"/>
      <c r="J157" s="102"/>
      <c r="L157" s="9"/>
    </row>
    <row r="158" spans="2:13" x14ac:dyDescent="0.25">
      <c r="B158" s="109"/>
      <c r="C158" s="110"/>
      <c r="D158" s="110"/>
      <c r="E158" s="312"/>
      <c r="F158" s="312"/>
      <c r="G158" s="111"/>
      <c r="H158" s="112"/>
      <c r="I158" s="112"/>
      <c r="J158" s="112"/>
      <c r="L158" s="9"/>
    </row>
    <row r="159" spans="2:13" s="489" customFormat="1" hidden="1" x14ac:dyDescent="0.25">
      <c r="B159" s="491" t="s">
        <v>157</v>
      </c>
      <c r="C159" s="492"/>
      <c r="D159" s="492"/>
      <c r="E159" s="493"/>
      <c r="F159" s="493"/>
      <c r="G159" s="494"/>
      <c r="H159" s="495"/>
      <c r="I159" s="495"/>
      <c r="J159" s="495"/>
      <c r="L159" s="496"/>
    </row>
    <row r="160" spans="2:13" s="489" customFormat="1" hidden="1" x14ac:dyDescent="0.25">
      <c r="B160" s="497" t="s">
        <v>272</v>
      </c>
      <c r="C160" s="498"/>
      <c r="D160" s="498">
        <v>0</v>
      </c>
      <c r="E160" s="499">
        <v>0</v>
      </c>
      <c r="F160" s="499">
        <v>0</v>
      </c>
      <c r="G160" s="498">
        <v>0</v>
      </c>
      <c r="H160" s="500">
        <v>0</v>
      </c>
      <c r="I160" s="500">
        <v>0</v>
      </c>
      <c r="J160" s="500">
        <v>0</v>
      </c>
      <c r="L160" s="496"/>
    </row>
    <row r="161" spans="2:12" s="489" customFormat="1" hidden="1" x14ac:dyDescent="0.25">
      <c r="B161" s="497"/>
      <c r="C161" s="498"/>
      <c r="D161" s="498"/>
      <c r="E161" s="493"/>
      <c r="F161" s="493"/>
      <c r="G161" s="494"/>
      <c r="H161" s="500"/>
      <c r="I161" s="500"/>
      <c r="J161" s="500"/>
    </row>
    <row r="162" spans="2:12" s="489" customFormat="1" hidden="1" x14ac:dyDescent="0.25">
      <c r="B162" s="497" t="s">
        <v>73</v>
      </c>
      <c r="C162" s="498">
        <v>0</v>
      </c>
      <c r="D162" s="498">
        <v>0</v>
      </c>
      <c r="E162" s="499">
        <v>0</v>
      </c>
      <c r="F162" s="499">
        <v>0</v>
      </c>
      <c r="G162" s="498">
        <v>0</v>
      </c>
      <c r="H162" s="500">
        <v>0</v>
      </c>
      <c r="I162" s="500">
        <v>0</v>
      </c>
      <c r="J162" s="500">
        <v>0</v>
      </c>
    </row>
    <row r="163" spans="2:12" s="489" customFormat="1" hidden="1" x14ac:dyDescent="0.25">
      <c r="B163" s="497" t="s">
        <v>158</v>
      </c>
      <c r="C163" s="498">
        <v>0</v>
      </c>
      <c r="D163" s="498">
        <v>0</v>
      </c>
      <c r="E163" s="499">
        <v>0</v>
      </c>
      <c r="F163" s="499">
        <v>0</v>
      </c>
      <c r="G163" s="498">
        <v>0</v>
      </c>
      <c r="H163" s="500">
        <v>0</v>
      </c>
      <c r="I163" s="500">
        <v>0</v>
      </c>
      <c r="J163" s="500">
        <v>0</v>
      </c>
      <c r="L163" s="496"/>
    </row>
    <row r="164" spans="2:12" s="489" customFormat="1" hidden="1" x14ac:dyDescent="0.25">
      <c r="B164" s="497"/>
      <c r="C164" s="498"/>
      <c r="D164" s="498"/>
      <c r="E164" s="499">
        <v>0</v>
      </c>
      <c r="F164" s="493">
        <v>0</v>
      </c>
      <c r="G164" s="498">
        <v>0</v>
      </c>
      <c r="H164" s="495">
        <v>0</v>
      </c>
      <c r="I164" s="495">
        <v>0</v>
      </c>
      <c r="J164" s="495">
        <v>0</v>
      </c>
    </row>
    <row r="165" spans="2:12" s="489" customFormat="1" hidden="1" x14ac:dyDescent="0.25">
      <c r="B165" s="491" t="s">
        <v>159</v>
      </c>
      <c r="C165" s="498"/>
      <c r="D165" s="498">
        <v>0</v>
      </c>
      <c r="E165" s="499">
        <v>0</v>
      </c>
      <c r="F165" s="499">
        <v>0</v>
      </c>
      <c r="G165" s="498">
        <v>0</v>
      </c>
      <c r="H165" s="498">
        <v>0</v>
      </c>
      <c r="I165" s="498">
        <v>0</v>
      </c>
      <c r="J165" s="498">
        <v>0</v>
      </c>
    </row>
    <row r="166" spans="2:12" ht="15.75" customHeight="1" x14ac:dyDescent="0.25">
      <c r="B166" s="21" t="s">
        <v>160</v>
      </c>
      <c r="C166" s="22"/>
      <c r="D166" s="22"/>
      <c r="E166" s="310"/>
      <c r="F166" s="310"/>
      <c r="G166" s="23"/>
      <c r="H166" s="20"/>
      <c r="I166" s="24"/>
      <c r="J166" s="24"/>
    </row>
    <row r="167" spans="2:12" ht="15.75" customHeight="1" x14ac:dyDescent="0.25">
      <c r="B167" s="183" t="s">
        <v>308</v>
      </c>
      <c r="C167" s="201" t="s">
        <v>289</v>
      </c>
      <c r="D167" s="103" t="s">
        <v>161</v>
      </c>
      <c r="E167" s="313">
        <v>1</v>
      </c>
      <c r="F167" s="314">
        <v>200000000</v>
      </c>
      <c r="G167" s="203">
        <v>369547169</v>
      </c>
      <c r="H167" s="203">
        <v>8800000000</v>
      </c>
      <c r="I167" s="203">
        <v>2317256384</v>
      </c>
      <c r="J167" s="203">
        <v>15905192576</v>
      </c>
    </row>
    <row r="168" spans="2:12" x14ac:dyDescent="0.25">
      <c r="B168" s="641" t="s">
        <v>531</v>
      </c>
      <c r="C168" s="641"/>
      <c r="D168" s="641"/>
      <c r="E168" s="315">
        <v>1</v>
      </c>
      <c r="F168" s="309">
        <v>200000000</v>
      </c>
      <c r="G168" s="104">
        <v>369547169</v>
      </c>
      <c r="H168" s="102"/>
      <c r="I168" s="102"/>
      <c r="J168" s="102"/>
    </row>
    <row r="169" spans="2:12" ht="14.65" customHeight="1" x14ac:dyDescent="0.25">
      <c r="B169" s="641" t="s">
        <v>427</v>
      </c>
      <c r="C169" s="641"/>
      <c r="D169" s="641"/>
      <c r="E169" s="316"/>
      <c r="F169" s="309">
        <v>200000000</v>
      </c>
      <c r="G169" s="104">
        <v>296635553</v>
      </c>
      <c r="H169" s="80"/>
      <c r="I169" s="80"/>
    </row>
    <row r="170" spans="2:12" x14ac:dyDescent="0.25">
      <c r="B170" s="78"/>
      <c r="C170" s="78"/>
      <c r="D170" s="79"/>
      <c r="E170" s="298"/>
      <c r="F170" s="298"/>
      <c r="G170" s="80"/>
      <c r="H170" s="80"/>
      <c r="I170" s="80"/>
    </row>
    <row r="171" spans="2:12" ht="45" hidden="1" x14ac:dyDescent="0.25">
      <c r="B171" s="63" t="s">
        <v>162</v>
      </c>
      <c r="C171" s="63" t="s">
        <v>163</v>
      </c>
      <c r="D171" s="63" t="s">
        <v>164</v>
      </c>
      <c r="E171" s="317" t="s">
        <v>152</v>
      </c>
      <c r="F171" s="318" t="s">
        <v>165</v>
      </c>
      <c r="G171" s="9"/>
      <c r="H171" s="9"/>
      <c r="I171" s="64"/>
    </row>
    <row r="172" spans="2:12" hidden="1" x14ac:dyDescent="0.25">
      <c r="B172" s="65" t="s">
        <v>166</v>
      </c>
      <c r="C172" s="66"/>
      <c r="D172" s="67"/>
      <c r="E172" s="319"/>
      <c r="F172" s="320"/>
      <c r="G172" s="9"/>
      <c r="H172" s="9"/>
      <c r="I172" s="9"/>
    </row>
    <row r="173" spans="2:12" hidden="1" x14ac:dyDescent="0.25">
      <c r="B173" s="68"/>
      <c r="C173" s="69"/>
      <c r="D173" s="70"/>
      <c r="E173" s="321"/>
      <c r="F173" s="322"/>
      <c r="G173" s="9"/>
      <c r="H173" s="9"/>
      <c r="I173" s="9"/>
    </row>
    <row r="174" spans="2:12" hidden="1" x14ac:dyDescent="0.25">
      <c r="B174" s="68" t="s">
        <v>97</v>
      </c>
      <c r="C174" s="69"/>
      <c r="D174" s="70"/>
      <c r="E174" s="321"/>
      <c r="F174" s="322"/>
      <c r="G174" s="9"/>
      <c r="H174" s="9"/>
      <c r="I174" s="9"/>
    </row>
    <row r="175" spans="2:12" hidden="1" x14ac:dyDescent="0.25">
      <c r="B175" s="68"/>
      <c r="C175" s="69"/>
      <c r="D175" s="70"/>
      <c r="E175" s="321"/>
      <c r="F175" s="322"/>
      <c r="G175" s="9"/>
      <c r="H175" s="9"/>
      <c r="I175" s="9"/>
    </row>
    <row r="176" spans="2:12" ht="28.5" hidden="1" customHeight="1" x14ac:dyDescent="0.25">
      <c r="B176" s="68" t="s">
        <v>167</v>
      </c>
      <c r="C176" s="69"/>
      <c r="D176" s="70"/>
      <c r="E176" s="321"/>
      <c r="F176" s="322"/>
      <c r="G176" s="9"/>
      <c r="H176" s="9"/>
      <c r="I176" s="9"/>
    </row>
    <row r="177" spans="2:9" hidden="1" x14ac:dyDescent="0.25">
      <c r="B177" s="68" t="s">
        <v>168</v>
      </c>
      <c r="C177" s="69"/>
      <c r="D177" s="70"/>
      <c r="E177" s="321"/>
      <c r="F177" s="322"/>
      <c r="G177" s="9"/>
      <c r="H177" s="9"/>
      <c r="I177" s="9"/>
    </row>
    <row r="178" spans="2:9" hidden="1" x14ac:dyDescent="0.25">
      <c r="B178" s="68"/>
      <c r="C178" s="69"/>
      <c r="D178" s="70"/>
      <c r="E178" s="321"/>
      <c r="F178" s="322"/>
      <c r="G178" s="9"/>
      <c r="H178" s="9"/>
      <c r="I178" s="9"/>
    </row>
    <row r="179" spans="2:9" hidden="1" x14ac:dyDescent="0.25">
      <c r="B179" s="68" t="s">
        <v>169</v>
      </c>
      <c r="C179" s="69"/>
      <c r="D179" s="70"/>
      <c r="E179" s="321"/>
      <c r="F179" s="322"/>
      <c r="G179" s="9"/>
      <c r="H179" s="9"/>
      <c r="I179" s="9"/>
    </row>
    <row r="180" spans="2:9" hidden="1" x14ac:dyDescent="0.25">
      <c r="B180" s="68"/>
      <c r="C180" s="69"/>
      <c r="D180" s="70"/>
      <c r="E180" s="321"/>
      <c r="F180" s="322"/>
      <c r="G180" s="9"/>
      <c r="H180" s="9"/>
      <c r="I180" s="9"/>
    </row>
    <row r="181" spans="2:9" hidden="1" x14ac:dyDescent="0.25">
      <c r="B181" s="68" t="s">
        <v>170</v>
      </c>
      <c r="C181" s="69"/>
      <c r="D181" s="70"/>
      <c r="E181" s="321"/>
      <c r="F181" s="322"/>
      <c r="G181" s="9"/>
      <c r="H181" s="9"/>
      <c r="I181" s="9"/>
    </row>
    <row r="182" spans="2:9" hidden="1" x14ac:dyDescent="0.25">
      <c r="B182" s="71" t="s">
        <v>171</v>
      </c>
      <c r="C182" s="72"/>
      <c r="D182" s="73"/>
      <c r="E182" s="323"/>
      <c r="F182" s="324"/>
      <c r="G182" s="9"/>
      <c r="H182" s="9"/>
      <c r="I182" s="9"/>
    </row>
    <row r="184" spans="2:9" x14ac:dyDescent="0.25">
      <c r="B184" s="642" t="s">
        <v>172</v>
      </c>
      <c r="C184" s="642"/>
      <c r="D184" s="642"/>
      <c r="E184" s="642"/>
      <c r="G184" s="523">
        <f>+G156-G145-G144</f>
        <v>14789284977.423204</v>
      </c>
    </row>
    <row r="185" spans="2:9" ht="24" x14ac:dyDescent="0.25">
      <c r="B185" s="380" t="s">
        <v>173</v>
      </c>
      <c r="C185" s="380" t="s">
        <v>174</v>
      </c>
      <c r="D185" s="380" t="s">
        <v>376</v>
      </c>
      <c r="E185" s="381" t="s">
        <v>377</v>
      </c>
    </row>
    <row r="186" spans="2:9" ht="15.75" customHeight="1" x14ac:dyDescent="0.25">
      <c r="B186" s="382" t="s">
        <v>175</v>
      </c>
      <c r="C186" s="606">
        <v>200000000</v>
      </c>
      <c r="D186" s="383">
        <v>369547169</v>
      </c>
      <c r="E186" s="384">
        <v>750000000</v>
      </c>
      <c r="F186" s="501"/>
    </row>
    <row r="187" spans="2:9" ht="15.75" customHeight="1" x14ac:dyDescent="0.25">
      <c r="B187" s="385" t="s">
        <v>515</v>
      </c>
      <c r="C187" s="386">
        <v>200000000</v>
      </c>
      <c r="D187" s="386">
        <v>369547169</v>
      </c>
      <c r="E187" s="387">
        <v>750000000</v>
      </c>
    </row>
    <row r="188" spans="2:9" ht="15.75" customHeight="1" x14ac:dyDescent="0.25">
      <c r="B188" s="385" t="s">
        <v>428</v>
      </c>
      <c r="C188" s="386">
        <v>200000000</v>
      </c>
      <c r="D188" s="386">
        <v>369547169</v>
      </c>
      <c r="E188" s="387">
        <v>750000000</v>
      </c>
    </row>
    <row r="190" spans="2:9" x14ac:dyDescent="0.25">
      <c r="B190" s="74" t="s">
        <v>176</v>
      </c>
    </row>
    <row r="191" spans="2:9" x14ac:dyDescent="0.25">
      <c r="B191" s="75"/>
    </row>
    <row r="192" spans="2:9" x14ac:dyDescent="0.25">
      <c r="B192" s="75" t="s">
        <v>177</v>
      </c>
    </row>
    <row r="194" spans="2:7" ht="30.75" customHeight="1" x14ac:dyDescent="0.25">
      <c r="B194" s="38" t="s">
        <v>178</v>
      </c>
      <c r="C194" s="38" t="s">
        <v>312</v>
      </c>
      <c r="D194" s="132" t="s">
        <v>313</v>
      </c>
      <c r="G194" s="9"/>
    </row>
    <row r="195" spans="2:7" ht="18.75" customHeight="1" x14ac:dyDescent="0.25">
      <c r="B195" s="451" t="s">
        <v>403</v>
      </c>
      <c r="C195" s="452">
        <v>2375000000</v>
      </c>
      <c r="D195" s="452">
        <v>0</v>
      </c>
      <c r="G195" s="9"/>
    </row>
    <row r="196" spans="2:7" ht="18.75" customHeight="1" x14ac:dyDescent="0.25">
      <c r="B196" s="451" t="s">
        <v>179</v>
      </c>
      <c r="C196" s="452">
        <v>314575452</v>
      </c>
      <c r="D196" s="452">
        <v>0</v>
      </c>
      <c r="G196" s="9"/>
    </row>
    <row r="197" spans="2:7" x14ac:dyDescent="0.25">
      <c r="B197" s="76" t="s">
        <v>516</v>
      </c>
      <c r="C197" s="55">
        <f>+C195+C196</f>
        <v>2689575452</v>
      </c>
      <c r="D197" s="55">
        <v>0</v>
      </c>
      <c r="G197" s="9"/>
    </row>
    <row r="198" spans="2:7" x14ac:dyDescent="0.25">
      <c r="B198" s="76" t="s">
        <v>429</v>
      </c>
      <c r="C198" s="55">
        <v>195717985</v>
      </c>
      <c r="D198" s="55">
        <v>0</v>
      </c>
      <c r="G198" s="9"/>
    </row>
    <row r="199" spans="2:7" x14ac:dyDescent="0.25">
      <c r="G199" s="9"/>
    </row>
    <row r="200" spans="2:7" hidden="1" x14ac:dyDescent="0.25">
      <c r="B200" s="75" t="s">
        <v>314</v>
      </c>
    </row>
    <row r="201" spans="2:7" hidden="1" x14ac:dyDescent="0.25"/>
    <row r="202" spans="2:7" ht="30.75" hidden="1" customHeight="1" x14ac:dyDescent="0.25">
      <c r="B202" s="133" t="s">
        <v>178</v>
      </c>
      <c r="C202" s="133" t="s">
        <v>312</v>
      </c>
      <c r="D202" s="133" t="s">
        <v>313</v>
      </c>
      <c r="G202" s="9"/>
    </row>
    <row r="203" spans="2:7" ht="21" hidden="1" customHeight="1" x14ac:dyDescent="0.25">
      <c r="B203" s="204" t="s">
        <v>315</v>
      </c>
      <c r="C203" s="62">
        <v>0</v>
      </c>
      <c r="D203" s="62">
        <v>0</v>
      </c>
      <c r="G203" s="9"/>
    </row>
    <row r="204" spans="2:7" ht="18.75" hidden="1" customHeight="1" x14ac:dyDescent="0.25">
      <c r="B204" s="204" t="s">
        <v>315</v>
      </c>
      <c r="C204" s="62">
        <v>0</v>
      </c>
      <c r="D204" s="62">
        <v>0</v>
      </c>
      <c r="G204" s="9"/>
    </row>
    <row r="205" spans="2:7" hidden="1" x14ac:dyDescent="0.25">
      <c r="B205" s="76" t="s">
        <v>311</v>
      </c>
      <c r="C205" s="55">
        <v>0</v>
      </c>
      <c r="D205" s="55">
        <v>0</v>
      </c>
      <c r="G205" s="9"/>
    </row>
    <row r="206" spans="2:7" hidden="1" x14ac:dyDescent="0.25">
      <c r="B206" s="76" t="s">
        <v>310</v>
      </c>
      <c r="C206" s="55">
        <v>0</v>
      </c>
      <c r="D206" s="55">
        <v>0</v>
      </c>
      <c r="G206" s="9"/>
    </row>
    <row r="207" spans="2:7" s="141" customFormat="1" hidden="1" x14ac:dyDescent="0.25">
      <c r="B207" s="209"/>
      <c r="C207" s="210"/>
      <c r="D207" s="210"/>
      <c r="E207" s="325"/>
      <c r="F207" s="325"/>
      <c r="G207" s="44"/>
    </row>
    <row r="208" spans="2:7" hidden="1" x14ac:dyDescent="0.25">
      <c r="B208" s="211" t="s">
        <v>180</v>
      </c>
      <c r="C208" s="81"/>
      <c r="D208" s="39"/>
      <c r="E208" s="326"/>
      <c r="F208" s="326"/>
      <c r="G208" s="82"/>
    </row>
    <row r="209" spans="2:9" s="207" customFormat="1" hidden="1" x14ac:dyDescent="0.25">
      <c r="B209" s="205"/>
      <c r="C209" s="206"/>
      <c r="D209" s="206"/>
      <c r="E209" s="327"/>
      <c r="F209" s="327"/>
      <c r="G209" s="208"/>
    </row>
    <row r="210" spans="2:9" ht="30.75" hidden="1" customHeight="1" x14ac:dyDescent="0.25">
      <c r="B210" s="235" t="s">
        <v>178</v>
      </c>
      <c r="C210" s="235" t="s">
        <v>379</v>
      </c>
      <c r="D210" s="235" t="s">
        <v>380</v>
      </c>
      <c r="G210" s="9"/>
    </row>
    <row r="211" spans="2:9" ht="21" hidden="1" customHeight="1" x14ac:dyDescent="0.25">
      <c r="B211" s="396" t="s">
        <v>195</v>
      </c>
      <c r="C211" s="397">
        <v>58513243</v>
      </c>
      <c r="D211" s="397">
        <v>0</v>
      </c>
      <c r="G211" s="9"/>
    </row>
    <row r="212" spans="2:9" ht="18.75" hidden="1" customHeight="1" x14ac:dyDescent="0.25">
      <c r="B212" s="396" t="s">
        <v>273</v>
      </c>
      <c r="C212" s="397">
        <v>28941695</v>
      </c>
      <c r="D212" s="397">
        <v>0</v>
      </c>
      <c r="G212" s="9"/>
    </row>
    <row r="213" spans="2:9" hidden="1" x14ac:dyDescent="0.25">
      <c r="B213" s="398" t="s">
        <v>311</v>
      </c>
      <c r="C213" s="43">
        <v>87454938</v>
      </c>
      <c r="D213" s="43">
        <v>0</v>
      </c>
      <c r="G213" s="9"/>
    </row>
    <row r="214" spans="2:9" hidden="1" x14ac:dyDescent="0.25">
      <c r="B214" s="398" t="s">
        <v>310</v>
      </c>
      <c r="C214" s="43">
        <v>0</v>
      </c>
      <c r="D214" s="43">
        <v>0</v>
      </c>
      <c r="G214" s="9"/>
    </row>
    <row r="215" spans="2:9" s="141" customFormat="1" hidden="1" x14ac:dyDescent="0.25">
      <c r="B215" s="209"/>
      <c r="C215" s="210"/>
      <c r="D215" s="210"/>
      <c r="E215" s="325"/>
      <c r="F215" s="325"/>
      <c r="G215" s="44"/>
    </row>
    <row r="216" spans="2:9" x14ac:dyDescent="0.25">
      <c r="B216" s="82"/>
      <c r="C216" s="82"/>
      <c r="D216" s="82"/>
      <c r="E216" s="326"/>
      <c r="F216" s="326"/>
      <c r="G216" s="82"/>
    </row>
    <row r="217" spans="2:9" hidden="1" x14ac:dyDescent="0.25">
      <c r="B217" s="502" t="s">
        <v>452</v>
      </c>
      <c r="C217" s="503" t="s">
        <v>315</v>
      </c>
      <c r="D217" s="503" t="s">
        <v>315</v>
      </c>
      <c r="E217" s="504" t="s">
        <v>315</v>
      </c>
      <c r="F217" s="504" t="s">
        <v>315</v>
      </c>
      <c r="G217" s="505" t="s">
        <v>315</v>
      </c>
    </row>
    <row r="218" spans="2:9" hidden="1" x14ac:dyDescent="0.25">
      <c r="B218" s="502" t="s">
        <v>453</v>
      </c>
      <c r="C218" s="506" t="s">
        <v>315</v>
      </c>
      <c r="D218" s="506" t="s">
        <v>315</v>
      </c>
      <c r="E218" s="507" t="s">
        <v>315</v>
      </c>
      <c r="F218" s="507" t="s">
        <v>315</v>
      </c>
      <c r="G218" s="508" t="s">
        <v>315</v>
      </c>
    </row>
    <row r="219" spans="2:9" x14ac:dyDescent="0.25">
      <c r="B219" s="74"/>
      <c r="C219" s="74"/>
      <c r="G219" s="9"/>
    </row>
    <row r="220" spans="2:9" x14ac:dyDescent="0.25">
      <c r="B220" s="660" t="s">
        <v>181</v>
      </c>
      <c r="C220" s="660"/>
      <c r="D220" s="660"/>
      <c r="E220" s="328"/>
      <c r="F220" s="328"/>
      <c r="G220" s="83"/>
    </row>
    <row r="221" spans="2:9" x14ac:dyDescent="0.25">
      <c r="B221" s="84"/>
      <c r="C221" s="84"/>
      <c r="D221" s="45"/>
      <c r="E221" s="329"/>
      <c r="F221" s="329"/>
      <c r="G221" s="85"/>
    </row>
    <row r="222" spans="2:9" ht="15.75" customHeight="1" x14ac:dyDescent="0.25">
      <c r="B222" s="645" t="s">
        <v>275</v>
      </c>
      <c r="C222" s="646" t="s">
        <v>378</v>
      </c>
      <c r="D222" s="646"/>
      <c r="E222" s="646"/>
      <c r="F222" s="646"/>
      <c r="G222" s="646"/>
    </row>
    <row r="223" spans="2:9" ht="25.5" x14ac:dyDescent="0.25">
      <c r="B223" s="645"/>
      <c r="C223" s="388" t="s">
        <v>432</v>
      </c>
      <c r="D223" s="388" t="s">
        <v>276</v>
      </c>
      <c r="E223" s="389" t="s">
        <v>277</v>
      </c>
      <c r="F223" s="389" t="s">
        <v>278</v>
      </c>
      <c r="G223" s="388" t="s">
        <v>517</v>
      </c>
    </row>
    <row r="224" spans="2:9" s="207" customFormat="1" x14ac:dyDescent="0.25">
      <c r="B224" s="527" t="s">
        <v>279</v>
      </c>
      <c r="C224" s="570">
        <v>119432034.61584188</v>
      </c>
      <c r="D224" s="570">
        <f>+G224-C224</f>
        <v>131173550.38415812</v>
      </c>
      <c r="E224" s="581">
        <v>0</v>
      </c>
      <c r="F224" s="581">
        <v>0</v>
      </c>
      <c r="G224" s="570">
        <v>250605585</v>
      </c>
      <c r="H224" s="484"/>
      <c r="I224" s="208"/>
    </row>
    <row r="225" spans="2:12" s="207" customFormat="1" x14ac:dyDescent="0.25">
      <c r="B225" s="582" t="s">
        <v>182</v>
      </c>
      <c r="C225" s="572">
        <v>406731103.17196995</v>
      </c>
      <c r="D225" s="570">
        <v>0</v>
      </c>
      <c r="E225" s="583">
        <v>1088358</v>
      </c>
      <c r="F225" s="583">
        <v>0</v>
      </c>
      <c r="G225" s="572">
        <v>405642745</v>
      </c>
      <c r="H225" s="208"/>
      <c r="I225" s="208"/>
    </row>
    <row r="226" spans="2:12" s="207" customFormat="1" x14ac:dyDescent="0.25">
      <c r="B226" s="582" t="s">
        <v>280</v>
      </c>
      <c r="C226" s="572">
        <v>40454511.860946119</v>
      </c>
      <c r="D226" s="570">
        <v>0</v>
      </c>
      <c r="E226" s="583">
        <v>597209</v>
      </c>
      <c r="F226" s="583">
        <v>0</v>
      </c>
      <c r="G226" s="572">
        <v>39857303</v>
      </c>
      <c r="H226" s="208"/>
      <c r="I226" s="208"/>
    </row>
    <row r="227" spans="2:12" s="207" customFormat="1" x14ac:dyDescent="0.25">
      <c r="B227" s="582" t="s">
        <v>183</v>
      </c>
      <c r="C227" s="572">
        <v>171366088.06228462</v>
      </c>
      <c r="D227" s="570">
        <f t="shared" ref="D227" si="0">+G227-C227</f>
        <v>146989222.93771538</v>
      </c>
      <c r="E227" s="583">
        <v>0</v>
      </c>
      <c r="F227" s="583">
        <v>0</v>
      </c>
      <c r="G227" s="572">
        <v>318355311</v>
      </c>
      <c r="H227" s="208"/>
      <c r="I227" s="208"/>
      <c r="J227" s="485"/>
    </row>
    <row r="228" spans="2:12" s="207" customFormat="1" x14ac:dyDescent="0.25">
      <c r="B228" s="584" t="s">
        <v>184</v>
      </c>
      <c r="C228" s="573">
        <v>50775034.758891225</v>
      </c>
      <c r="D228" s="570">
        <v>0</v>
      </c>
      <c r="E228" s="585">
        <v>639799</v>
      </c>
      <c r="F228" s="585">
        <v>0</v>
      </c>
      <c r="G228" s="573">
        <v>50135236</v>
      </c>
      <c r="H228" s="208"/>
      <c r="I228" s="208"/>
      <c r="J228" s="485"/>
    </row>
    <row r="229" spans="2:12" x14ac:dyDescent="0.25">
      <c r="B229" s="279" t="s">
        <v>518</v>
      </c>
      <c r="C229" s="280">
        <f>SUM(C224:C228)</f>
        <v>788758772.46993375</v>
      </c>
      <c r="D229" s="280">
        <f t="shared" ref="D229:G229" si="1">SUM(D224:D228)</f>
        <v>278162773.32187349</v>
      </c>
      <c r="E229" s="280">
        <f t="shared" si="1"/>
        <v>2325366</v>
      </c>
      <c r="F229" s="280">
        <f t="shared" si="1"/>
        <v>0</v>
      </c>
      <c r="G229" s="280">
        <f t="shared" si="1"/>
        <v>1064596180</v>
      </c>
      <c r="H229" s="9"/>
      <c r="I229" s="9"/>
      <c r="J229" s="122"/>
    </row>
    <row r="230" spans="2:12" x14ac:dyDescent="0.25">
      <c r="B230" s="616" t="s">
        <v>430</v>
      </c>
      <c r="C230" s="280">
        <v>436876090</v>
      </c>
      <c r="D230" s="280">
        <v>386653909.09048814</v>
      </c>
      <c r="E230" s="390">
        <v>35763853</v>
      </c>
      <c r="F230" s="390">
        <v>7442525.0904881768</v>
      </c>
      <c r="G230" s="280">
        <v>788758772.46993375</v>
      </c>
      <c r="H230" s="9"/>
      <c r="I230" s="9"/>
      <c r="J230" s="122"/>
    </row>
    <row r="231" spans="2:12" ht="15.75" customHeight="1" x14ac:dyDescent="0.25">
      <c r="B231" s="645" t="s">
        <v>275</v>
      </c>
      <c r="C231" s="646" t="s">
        <v>185</v>
      </c>
      <c r="D231" s="646"/>
      <c r="E231" s="646"/>
      <c r="F231" s="646"/>
      <c r="G231" s="646"/>
      <c r="H231" s="9"/>
      <c r="J231" s="122"/>
    </row>
    <row r="232" spans="2:12" ht="25.5" x14ac:dyDescent="0.25">
      <c r="B232" s="645"/>
      <c r="C232" s="388" t="s">
        <v>519</v>
      </c>
      <c r="D232" s="388" t="s">
        <v>276</v>
      </c>
      <c r="E232" s="389" t="s">
        <v>277</v>
      </c>
      <c r="F232" s="389" t="s">
        <v>281</v>
      </c>
      <c r="G232" s="388" t="s">
        <v>517</v>
      </c>
    </row>
    <row r="233" spans="2:12" s="207" customFormat="1" x14ac:dyDescent="0.25">
      <c r="B233" s="527" t="s">
        <v>279</v>
      </c>
      <c r="C233" s="570">
        <v>25798900.828908041</v>
      </c>
      <c r="D233" s="570">
        <v>2523378</v>
      </c>
      <c r="E233" s="581"/>
      <c r="F233" s="581">
        <f>+D233-E233</f>
        <v>2523378</v>
      </c>
      <c r="G233" s="570">
        <f>+C233+D233+E233</f>
        <v>28322278.828908041</v>
      </c>
      <c r="H233" s="486"/>
      <c r="I233" s="487"/>
      <c r="J233" s="208"/>
      <c r="K233" s="208"/>
      <c r="L233" s="208"/>
    </row>
    <row r="234" spans="2:12" s="207" customFormat="1" x14ac:dyDescent="0.25">
      <c r="B234" s="582" t="s">
        <v>182</v>
      </c>
      <c r="C234" s="572">
        <v>157936793.3113336</v>
      </c>
      <c r="D234" s="572">
        <f>13993704-7089698</f>
        <v>6904006</v>
      </c>
      <c r="E234" s="583"/>
      <c r="F234" s="583">
        <f>+D234</f>
        <v>6904006</v>
      </c>
      <c r="G234" s="570">
        <f t="shared" ref="G234:G237" si="2">+C234+D234+E234</f>
        <v>164840799.3113336</v>
      </c>
      <c r="H234" s="208"/>
      <c r="I234" s="487"/>
      <c r="J234" s="208"/>
      <c r="K234" s="208"/>
    </row>
    <row r="235" spans="2:12" s="207" customFormat="1" x14ac:dyDescent="0.25">
      <c r="B235" s="582" t="s">
        <v>280</v>
      </c>
      <c r="C235" s="572">
        <v>19522842.146242622</v>
      </c>
      <c r="D235" s="572">
        <v>1753062</v>
      </c>
      <c r="E235" s="583"/>
      <c r="F235" s="583">
        <f>+D235</f>
        <v>1753062</v>
      </c>
      <c r="G235" s="570">
        <f t="shared" si="2"/>
        <v>21275904.146242622</v>
      </c>
      <c r="H235" s="486"/>
      <c r="I235" s="487"/>
      <c r="J235" s="208"/>
      <c r="K235" s="208"/>
    </row>
    <row r="236" spans="2:12" s="207" customFormat="1" x14ac:dyDescent="0.25">
      <c r="B236" s="582" t="s">
        <v>183</v>
      </c>
      <c r="C236" s="572">
        <v>33000200.37157223</v>
      </c>
      <c r="D236" s="572">
        <v>2844927</v>
      </c>
      <c r="E236" s="583"/>
      <c r="F236" s="583">
        <f>+D236</f>
        <v>2844927</v>
      </c>
      <c r="G236" s="570">
        <f t="shared" si="2"/>
        <v>35845127.371572226</v>
      </c>
      <c r="H236" s="208"/>
      <c r="I236" s="208"/>
      <c r="J236" s="208"/>
      <c r="K236" s="208"/>
    </row>
    <row r="237" spans="2:12" s="207" customFormat="1" x14ac:dyDescent="0.25">
      <c r="B237" s="584" t="s">
        <v>184</v>
      </c>
      <c r="C237" s="573">
        <v>0</v>
      </c>
      <c r="D237" s="573">
        <v>1657770</v>
      </c>
      <c r="E237" s="585"/>
      <c r="F237" s="585">
        <f>+C237+D237-E237</f>
        <v>1657770</v>
      </c>
      <c r="G237" s="570">
        <f t="shared" si="2"/>
        <v>1657770</v>
      </c>
      <c r="H237" s="208"/>
      <c r="I237" s="208"/>
      <c r="J237" s="208"/>
      <c r="K237" s="208"/>
    </row>
    <row r="238" spans="2:12" x14ac:dyDescent="0.25">
      <c r="B238" s="616" t="s">
        <v>518</v>
      </c>
      <c r="C238" s="280">
        <f>SUM(C233:C237)</f>
        <v>236258736.65805647</v>
      </c>
      <c r="D238" s="280">
        <f t="shared" ref="D238:F238" si="3">SUM(D233:D237)</f>
        <v>15683143</v>
      </c>
      <c r="E238" s="280">
        <f t="shared" si="3"/>
        <v>0</v>
      </c>
      <c r="F238" s="280">
        <f t="shared" si="3"/>
        <v>15683143</v>
      </c>
      <c r="G238" s="280">
        <f>SUM(G233:G237)</f>
        <v>251941879.65805647</v>
      </c>
      <c r="H238" s="9"/>
      <c r="I238" s="9"/>
    </row>
    <row r="239" spans="2:12" x14ac:dyDescent="0.25">
      <c r="B239" s="616" t="s">
        <v>430</v>
      </c>
      <c r="C239" s="280">
        <v>174163698</v>
      </c>
      <c r="D239" s="280">
        <v>91091387.506111145</v>
      </c>
      <c r="E239" s="390">
        <v>29452830</v>
      </c>
      <c r="F239" s="390">
        <v>84232057.506111145</v>
      </c>
      <c r="G239" s="280">
        <v>236258736.65805647</v>
      </c>
      <c r="H239" s="9"/>
      <c r="I239" s="5"/>
    </row>
    <row r="240" spans="2:12" x14ac:dyDescent="0.25">
      <c r="H240" s="9"/>
      <c r="I240" s="9"/>
    </row>
    <row r="241" spans="2:13" x14ac:dyDescent="0.25">
      <c r="B241" s="643" t="s">
        <v>186</v>
      </c>
      <c r="C241" s="643"/>
      <c r="D241" s="643"/>
      <c r="E241" s="328"/>
      <c r="F241" s="328"/>
      <c r="G241" s="83"/>
      <c r="H241" s="83"/>
      <c r="I241" s="83"/>
    </row>
    <row r="242" spans="2:13" x14ac:dyDescent="0.25">
      <c r="B242" s="77" t="s">
        <v>187</v>
      </c>
      <c r="C242" s="77"/>
      <c r="D242" s="77"/>
      <c r="E242" s="330"/>
      <c r="F242" s="330"/>
      <c r="G242" s="86"/>
      <c r="H242" s="86"/>
      <c r="I242" s="86"/>
    </row>
    <row r="243" spans="2:13" x14ac:dyDescent="0.25">
      <c r="B243" s="658" t="s">
        <v>96</v>
      </c>
      <c r="C243" s="658" t="s">
        <v>188</v>
      </c>
      <c r="D243" s="662" t="s">
        <v>189</v>
      </c>
      <c r="E243" s="662"/>
      <c r="F243" s="662"/>
      <c r="G243" s="9"/>
      <c r="H243" s="85"/>
      <c r="I243" s="9"/>
    </row>
    <row r="244" spans="2:13" ht="18" customHeight="1" x14ac:dyDescent="0.25">
      <c r="B244" s="659"/>
      <c r="C244" s="659"/>
      <c r="D244" s="212" t="s">
        <v>190</v>
      </c>
      <c r="E244" s="331" t="s">
        <v>191</v>
      </c>
      <c r="F244" s="331" t="s">
        <v>192</v>
      </c>
      <c r="G244" s="9"/>
      <c r="H244" s="9"/>
      <c r="I244" s="9"/>
    </row>
    <row r="245" spans="2:13" s="207" customFormat="1" x14ac:dyDescent="0.25">
      <c r="B245" s="575" t="s">
        <v>287</v>
      </c>
      <c r="C245" s="576">
        <v>14125125</v>
      </c>
      <c r="D245" s="577">
        <v>0</v>
      </c>
      <c r="E245" s="577">
        <v>0</v>
      </c>
      <c r="F245" s="577">
        <v>14125125</v>
      </c>
      <c r="G245" s="208"/>
      <c r="H245" s="208"/>
      <c r="I245" s="208"/>
    </row>
    <row r="246" spans="2:13" x14ac:dyDescent="0.25">
      <c r="B246" s="578" t="s">
        <v>288</v>
      </c>
      <c r="C246" s="579">
        <v>16947870</v>
      </c>
      <c r="D246" s="580">
        <v>0</v>
      </c>
      <c r="E246" s="580">
        <v>0</v>
      </c>
      <c r="F246" s="580">
        <v>16947870</v>
      </c>
      <c r="G246" s="9"/>
      <c r="H246" s="9"/>
      <c r="I246" s="9"/>
    </row>
    <row r="247" spans="2:13" x14ac:dyDescent="0.25">
      <c r="B247" s="578" t="s">
        <v>520</v>
      </c>
      <c r="C247" s="579">
        <v>0</v>
      </c>
      <c r="D247" s="580">
        <v>58594590</v>
      </c>
      <c r="E247" s="580">
        <v>0</v>
      </c>
      <c r="F247" s="580">
        <f>+D247</f>
        <v>58594590</v>
      </c>
      <c r="G247" s="9"/>
      <c r="H247" s="9"/>
      <c r="I247" s="9"/>
    </row>
    <row r="248" spans="2:13" x14ac:dyDescent="0.25">
      <c r="B248" s="228" t="s">
        <v>516</v>
      </c>
      <c r="C248" s="391">
        <v>31072995</v>
      </c>
      <c r="D248" s="392">
        <f>SUM(D245:D247)</f>
        <v>58594590</v>
      </c>
      <c r="E248" s="393">
        <v>0</v>
      </c>
      <c r="F248" s="394">
        <f>SUM(F245:F247)</f>
        <v>89667585</v>
      </c>
      <c r="G248" s="9"/>
      <c r="H248" s="411"/>
      <c r="I248" s="411"/>
      <c r="J248" s="412"/>
      <c r="K248" s="412"/>
      <c r="L248" s="412"/>
      <c r="M248" s="412"/>
    </row>
    <row r="249" spans="2:13" x14ac:dyDescent="0.25">
      <c r="B249" s="228" t="s">
        <v>429</v>
      </c>
      <c r="C249" s="391">
        <v>31072995</v>
      </c>
      <c r="D249" s="391">
        <v>0</v>
      </c>
      <c r="E249" s="394">
        <v>0</v>
      </c>
      <c r="F249" s="394">
        <v>31072995</v>
      </c>
      <c r="G249" s="9"/>
      <c r="H249" s="411"/>
      <c r="I249" s="411"/>
      <c r="J249" s="412"/>
      <c r="K249" s="412"/>
      <c r="L249" s="412"/>
      <c r="M249" s="412"/>
    </row>
    <row r="250" spans="2:13" x14ac:dyDescent="0.25">
      <c r="G250" s="9"/>
      <c r="H250" s="411"/>
      <c r="I250" s="411"/>
      <c r="J250" s="412"/>
      <c r="K250" s="412"/>
      <c r="L250" s="412"/>
      <c r="M250" s="412"/>
    </row>
    <row r="251" spans="2:13" x14ac:dyDescent="0.25">
      <c r="B251" s="74" t="s">
        <v>193</v>
      </c>
      <c r="C251" s="46"/>
      <c r="G251" s="9"/>
      <c r="H251" s="412" t="s">
        <v>287</v>
      </c>
      <c r="I251" s="413">
        <v>0</v>
      </c>
      <c r="J251" s="413">
        <v>14125125</v>
      </c>
      <c r="K251" s="412"/>
      <c r="L251" s="412"/>
      <c r="M251" s="412"/>
    </row>
    <row r="252" spans="2:13" x14ac:dyDescent="0.25">
      <c r="B252" s="635" t="s">
        <v>96</v>
      </c>
      <c r="C252" s="635" t="s">
        <v>188</v>
      </c>
      <c r="D252" s="638" t="s">
        <v>189</v>
      </c>
      <c r="E252" s="638"/>
      <c r="F252" s="638"/>
      <c r="G252" s="9"/>
      <c r="H252" s="412" t="s">
        <v>288</v>
      </c>
      <c r="I252" s="413">
        <v>0</v>
      </c>
      <c r="J252" s="413">
        <v>16947870</v>
      </c>
      <c r="K252" s="412"/>
      <c r="L252" s="412"/>
      <c r="M252" s="412"/>
    </row>
    <row r="253" spans="2:13" x14ac:dyDescent="0.25">
      <c r="B253" s="635"/>
      <c r="C253" s="635"/>
      <c r="D253" s="456" t="s">
        <v>190</v>
      </c>
      <c r="E253" s="457" t="s">
        <v>191</v>
      </c>
      <c r="F253" s="457" t="s">
        <v>192</v>
      </c>
      <c r="G253" s="9"/>
      <c r="H253" s="411"/>
      <c r="I253" s="411"/>
      <c r="J253" s="412"/>
      <c r="K253" s="412"/>
      <c r="L253" s="412"/>
      <c r="M253" s="412"/>
    </row>
    <row r="254" spans="2:13" x14ac:dyDescent="0.25">
      <c r="B254" s="607" t="s">
        <v>488</v>
      </c>
      <c r="C254" s="511">
        <v>327517773</v>
      </c>
      <c r="D254" s="459">
        <f>+F254-C254</f>
        <v>48793555</v>
      </c>
      <c r="E254" s="460">
        <v>0</v>
      </c>
      <c r="F254" s="460">
        <v>376311328</v>
      </c>
      <c r="G254" s="9"/>
      <c r="H254" s="411"/>
      <c r="I254" s="411"/>
      <c r="J254" s="412"/>
      <c r="K254" s="412"/>
      <c r="L254" s="412"/>
      <c r="M254" s="412"/>
    </row>
    <row r="255" spans="2:13" x14ac:dyDescent="0.25">
      <c r="B255" s="213" t="s">
        <v>518</v>
      </c>
      <c r="C255" s="461">
        <f>+C254</f>
        <v>327517773</v>
      </c>
      <c r="D255" s="462">
        <f>+D254</f>
        <v>48793555</v>
      </c>
      <c r="E255" s="463">
        <v>0</v>
      </c>
      <c r="F255" s="464">
        <f>+F254</f>
        <v>376311328</v>
      </c>
      <c r="G255" s="9"/>
      <c r="H255" s="9"/>
      <c r="I255" s="9"/>
    </row>
    <row r="256" spans="2:13" x14ac:dyDescent="0.25">
      <c r="B256" s="213" t="s">
        <v>430</v>
      </c>
      <c r="C256" s="461">
        <v>0</v>
      </c>
      <c r="D256" s="461">
        <v>327517773</v>
      </c>
      <c r="E256" s="464">
        <v>0</v>
      </c>
      <c r="F256" s="464">
        <f>+D256</f>
        <v>327517773</v>
      </c>
      <c r="G256" s="9"/>
      <c r="H256" s="9"/>
      <c r="I256" s="9"/>
    </row>
    <row r="257" spans="2:9" x14ac:dyDescent="0.25">
      <c r="B257" s="46"/>
      <c r="C257" s="46"/>
      <c r="G257" s="9"/>
      <c r="H257" s="9"/>
      <c r="I257" s="9"/>
    </row>
    <row r="258" spans="2:9" x14ac:dyDescent="0.25">
      <c r="B258" s="88"/>
      <c r="C258" s="88"/>
      <c r="G258" s="9"/>
      <c r="H258" s="9"/>
      <c r="I258" s="9"/>
    </row>
    <row r="259" spans="2:9" x14ac:dyDescent="0.25">
      <c r="G259" s="9"/>
      <c r="H259" s="9"/>
      <c r="I259" s="9"/>
    </row>
    <row r="260" spans="2:9" x14ac:dyDescent="0.25">
      <c r="B260" s="644" t="s">
        <v>194</v>
      </c>
      <c r="C260" s="644"/>
      <c r="D260" s="644"/>
      <c r="E260" s="329"/>
      <c r="F260" s="329"/>
      <c r="G260" s="9"/>
      <c r="H260" s="9"/>
      <c r="I260" s="9"/>
    </row>
    <row r="261" spans="2:9" x14ac:dyDescent="0.25">
      <c r="B261" s="46"/>
      <c r="C261" s="46"/>
      <c r="D261" s="46"/>
      <c r="E261" s="329"/>
      <c r="F261" s="329"/>
      <c r="G261" s="9"/>
      <c r="H261" s="9"/>
      <c r="I261" s="9"/>
    </row>
    <row r="262" spans="2:9" x14ac:dyDescent="0.25">
      <c r="B262" s="640" t="s">
        <v>96</v>
      </c>
      <c r="C262" s="639" t="s">
        <v>189</v>
      </c>
      <c r="D262" s="639"/>
      <c r="E262" s="329"/>
      <c r="F262" s="329"/>
      <c r="G262" s="9"/>
      <c r="H262" s="9"/>
      <c r="I262" s="9"/>
    </row>
    <row r="263" spans="2:9" x14ac:dyDescent="0.25">
      <c r="B263" s="640"/>
      <c r="C263" s="395">
        <v>43921</v>
      </c>
      <c r="D263" s="395">
        <v>43830</v>
      </c>
      <c r="G263" s="9"/>
    </row>
    <row r="264" spans="2:9" x14ac:dyDescent="0.25">
      <c r="B264" s="568" t="s">
        <v>273</v>
      </c>
      <c r="C264" s="569">
        <v>0</v>
      </c>
      <c r="D264" s="570">
        <v>22071042</v>
      </c>
      <c r="F264" s="150"/>
      <c r="G264" s="9"/>
    </row>
    <row r="265" spans="2:9" x14ac:dyDescent="0.25">
      <c r="B265" s="548" t="s">
        <v>262</v>
      </c>
      <c r="C265" s="571">
        <v>790947060</v>
      </c>
      <c r="D265" s="571">
        <v>790947060</v>
      </c>
      <c r="F265" s="150"/>
      <c r="G265" s="9"/>
    </row>
    <row r="266" spans="2:9" x14ac:dyDescent="0.25">
      <c r="B266" s="548" t="s">
        <v>318</v>
      </c>
      <c r="C266" s="571">
        <f>769544+9999</f>
        <v>779543</v>
      </c>
      <c r="D266" s="571">
        <v>94546606</v>
      </c>
      <c r="F266" s="150"/>
      <c r="G266" s="9"/>
    </row>
    <row r="267" spans="2:9" x14ac:dyDescent="0.25">
      <c r="B267" s="548" t="s">
        <v>196</v>
      </c>
      <c r="C267" s="571">
        <v>8467074</v>
      </c>
      <c r="D267" s="571">
        <v>11827302</v>
      </c>
      <c r="G267" s="9"/>
    </row>
    <row r="268" spans="2:9" x14ac:dyDescent="0.25">
      <c r="B268" s="548" t="s">
        <v>274</v>
      </c>
      <c r="C268" s="572">
        <v>0</v>
      </c>
      <c r="D268" s="571">
        <v>0</v>
      </c>
      <c r="G268" s="9"/>
    </row>
    <row r="269" spans="2:9" x14ac:dyDescent="0.25">
      <c r="B269" s="550" t="s">
        <v>319</v>
      </c>
      <c r="C269" s="573">
        <v>0</v>
      </c>
      <c r="D269" s="574">
        <v>0</v>
      </c>
      <c r="G269" s="9"/>
    </row>
    <row r="270" spans="2:9" x14ac:dyDescent="0.25">
      <c r="B270" s="279" t="s">
        <v>97</v>
      </c>
      <c r="C270" s="280">
        <f>SUM(C264:C269)</f>
        <v>800193677</v>
      </c>
      <c r="D270" s="280">
        <f>SUM(D264:D269)</f>
        <v>919392010</v>
      </c>
      <c r="E270" s="332"/>
      <c r="F270" s="333"/>
      <c r="G270" s="9"/>
      <c r="H270" s="9"/>
      <c r="I270" s="9"/>
    </row>
    <row r="271" spans="2:9" s="207" customFormat="1" x14ac:dyDescent="0.25">
      <c r="B271" s="214"/>
      <c r="C271" s="215"/>
      <c r="D271" s="215"/>
      <c r="E271" s="334"/>
      <c r="F271" s="335"/>
      <c r="G271" s="208"/>
      <c r="H271" s="208"/>
      <c r="I271" s="208"/>
    </row>
    <row r="272" spans="2:9" x14ac:dyDescent="0.25">
      <c r="B272" s="643" t="s">
        <v>487</v>
      </c>
      <c r="C272" s="643"/>
      <c r="D272" s="643"/>
      <c r="E272" s="328"/>
      <c r="F272" s="328"/>
      <c r="G272" s="83"/>
      <c r="H272" s="9"/>
      <c r="I272" s="9"/>
    </row>
    <row r="273" spans="2:9" x14ac:dyDescent="0.25">
      <c r="B273" s="25"/>
      <c r="C273" s="25"/>
      <c r="D273" s="25"/>
      <c r="E273" s="328"/>
      <c r="F273" s="328"/>
      <c r="G273" s="83"/>
      <c r="H273" s="9"/>
      <c r="I273" s="9"/>
    </row>
    <row r="274" spans="2:9" ht="19.5" customHeight="1" x14ac:dyDescent="0.25">
      <c r="B274" s="40" t="s">
        <v>197</v>
      </c>
      <c r="C274" s="40" t="s">
        <v>321</v>
      </c>
      <c r="D274" s="40" t="s">
        <v>322</v>
      </c>
      <c r="G274" s="9"/>
    </row>
    <row r="275" spans="2:9" ht="17.100000000000001" customHeight="1" x14ac:dyDescent="0.25">
      <c r="B275" s="539" t="s">
        <v>315</v>
      </c>
      <c r="C275" s="540">
        <v>0</v>
      </c>
      <c r="D275" s="275">
        <v>0</v>
      </c>
      <c r="G275" s="9"/>
    </row>
    <row r="276" spans="2:9" x14ac:dyDescent="0.25">
      <c r="B276" s="78"/>
      <c r="C276" s="78"/>
      <c r="D276" s="89"/>
      <c r="G276" s="9"/>
      <c r="H276" s="9"/>
      <c r="I276" s="9"/>
    </row>
    <row r="277" spans="2:9" x14ac:dyDescent="0.25">
      <c r="B277" s="644" t="s">
        <v>383</v>
      </c>
      <c r="C277" s="644"/>
      <c r="D277" s="644"/>
      <c r="E277" s="328"/>
      <c r="F277" s="328"/>
      <c r="G277" s="83"/>
      <c r="H277" s="9"/>
      <c r="I277" s="9"/>
    </row>
    <row r="278" spans="2:9" x14ac:dyDescent="0.25">
      <c r="B278" s="74"/>
      <c r="C278" s="74"/>
      <c r="D278" s="45"/>
      <c r="G278" s="9"/>
      <c r="H278" s="9"/>
      <c r="I278" s="9"/>
    </row>
    <row r="279" spans="2:9" ht="21" customHeight="1" x14ac:dyDescent="0.25">
      <c r="B279" s="235" t="s">
        <v>96</v>
      </c>
      <c r="C279" s="235" t="s">
        <v>321</v>
      </c>
      <c r="D279" s="235" t="s">
        <v>322</v>
      </c>
      <c r="G279" s="9"/>
      <c r="H279" s="9"/>
      <c r="I279" s="9"/>
    </row>
    <row r="280" spans="2:9" x14ac:dyDescent="0.25">
      <c r="B280" s="399" t="s">
        <v>315</v>
      </c>
      <c r="C280" s="222">
        <v>0</v>
      </c>
      <c r="D280" s="223">
        <v>0</v>
      </c>
      <c r="G280" s="9"/>
      <c r="H280" s="9"/>
      <c r="I280" s="9"/>
    </row>
    <row r="281" spans="2:9" s="141" customFormat="1" x14ac:dyDescent="0.25">
      <c r="B281" s="400"/>
      <c r="C281" s="274"/>
      <c r="D281" s="274"/>
      <c r="E281" s="325"/>
      <c r="F281" s="325"/>
      <c r="G281" s="44"/>
      <c r="H281" s="44"/>
      <c r="I281" s="44"/>
    </row>
    <row r="282" spans="2:9" s="141" customFormat="1" x14ac:dyDescent="0.25">
      <c r="B282" s="644" t="s">
        <v>384</v>
      </c>
      <c r="C282" s="644"/>
      <c r="D282" s="644"/>
      <c r="E282" s="401"/>
      <c r="F282" s="401"/>
      <c r="G282" s="402"/>
      <c r="H282" s="44"/>
      <c r="I282" s="44"/>
    </row>
    <row r="283" spans="2:9" x14ac:dyDescent="0.25">
      <c r="B283" s="74"/>
      <c r="C283" s="74"/>
      <c r="D283" s="45"/>
      <c r="G283" s="9"/>
      <c r="H283" s="9"/>
      <c r="I283" s="9"/>
    </row>
    <row r="284" spans="2:9" ht="21" customHeight="1" x14ac:dyDescent="0.25">
      <c r="B284" s="40" t="s">
        <v>96</v>
      </c>
      <c r="C284" s="40" t="s">
        <v>321</v>
      </c>
      <c r="D284" s="40" t="s">
        <v>322</v>
      </c>
      <c r="G284" s="9"/>
      <c r="H284" s="9"/>
      <c r="I284" s="9"/>
    </row>
    <row r="285" spans="2:9" x14ac:dyDescent="0.25">
      <c r="B285" s="221" t="s">
        <v>320</v>
      </c>
      <c r="C285" s="222">
        <f>50220728+1500000+697018</f>
        <v>52417746</v>
      </c>
      <c r="D285" s="223">
        <v>0</v>
      </c>
      <c r="G285" s="9"/>
      <c r="H285" s="9"/>
      <c r="I285" s="9"/>
    </row>
    <row r="286" spans="2:9" x14ac:dyDescent="0.25">
      <c r="B286" s="224" t="s">
        <v>128</v>
      </c>
      <c r="C286" s="225">
        <v>11192873</v>
      </c>
      <c r="D286" s="226">
        <v>0</v>
      </c>
      <c r="G286" s="9"/>
      <c r="H286" s="9"/>
      <c r="I286" s="9"/>
    </row>
    <row r="287" spans="2:9" x14ac:dyDescent="0.25">
      <c r="B287" s="219" t="s">
        <v>518</v>
      </c>
      <c r="C287" s="43">
        <f>+C285+C286</f>
        <v>63610619</v>
      </c>
      <c r="D287" s="43">
        <v>0</v>
      </c>
      <c r="G287" s="9"/>
      <c r="H287" s="9"/>
      <c r="I287" s="9"/>
    </row>
    <row r="288" spans="2:9" x14ac:dyDescent="0.25">
      <c r="B288" s="219" t="s">
        <v>430</v>
      </c>
      <c r="C288" s="43">
        <v>29209612</v>
      </c>
      <c r="D288" s="43">
        <v>0</v>
      </c>
      <c r="G288" s="9"/>
      <c r="H288" s="9"/>
      <c r="I288" s="9"/>
    </row>
    <row r="289" spans="2:9" x14ac:dyDescent="0.25">
      <c r="B289" s="90"/>
      <c r="C289" s="90"/>
      <c r="D289" s="91"/>
      <c r="G289" s="9"/>
      <c r="H289" s="9"/>
      <c r="I289" s="9"/>
    </row>
    <row r="290" spans="2:9" x14ac:dyDescent="0.25">
      <c r="B290" s="643" t="s">
        <v>385</v>
      </c>
      <c r="C290" s="643"/>
      <c r="D290" s="643"/>
      <c r="E290" s="329"/>
      <c r="G290" s="9"/>
      <c r="H290" s="9"/>
      <c r="I290" s="9"/>
    </row>
    <row r="291" spans="2:9" x14ac:dyDescent="0.25">
      <c r="B291" s="25"/>
      <c r="C291" s="25"/>
      <c r="D291" s="25"/>
      <c r="E291" s="329"/>
      <c r="G291" s="9"/>
      <c r="H291" s="9"/>
      <c r="I291" s="9"/>
    </row>
    <row r="292" spans="2:9" ht="19.5" customHeight="1" x14ac:dyDescent="0.25">
      <c r="B292" s="40" t="s">
        <v>197</v>
      </c>
      <c r="C292" s="40" t="s">
        <v>321</v>
      </c>
      <c r="D292" s="40" t="s">
        <v>322</v>
      </c>
      <c r="E292" s="328"/>
      <c r="F292" s="328"/>
      <c r="G292" s="83"/>
      <c r="H292" s="9"/>
      <c r="I292" s="9"/>
    </row>
    <row r="293" spans="2:9" x14ac:dyDescent="0.25">
      <c r="B293" s="227" t="s">
        <v>357</v>
      </c>
      <c r="C293" s="217">
        <v>697018</v>
      </c>
      <c r="D293" s="218">
        <v>0</v>
      </c>
      <c r="E293" s="328"/>
      <c r="F293" s="328"/>
      <c r="G293" s="83"/>
      <c r="H293" s="9"/>
      <c r="I293" s="9"/>
    </row>
    <row r="294" spans="2:9" x14ac:dyDescent="0.25">
      <c r="B294" s="219" t="s">
        <v>518</v>
      </c>
      <c r="C294" s="220">
        <v>697018</v>
      </c>
      <c r="D294" s="220">
        <v>0</v>
      </c>
      <c r="E294" s="329"/>
      <c r="G294" s="9"/>
      <c r="H294" s="9"/>
      <c r="I294" s="9"/>
    </row>
    <row r="295" spans="2:9" x14ac:dyDescent="0.25">
      <c r="B295" s="219" t="s">
        <v>430</v>
      </c>
      <c r="C295" s="220">
        <v>0</v>
      </c>
      <c r="D295" s="220">
        <v>0</v>
      </c>
      <c r="E295" s="329"/>
      <c r="G295" s="9"/>
      <c r="H295" s="9"/>
      <c r="I295" s="9"/>
    </row>
    <row r="296" spans="2:9" x14ac:dyDescent="0.25">
      <c r="B296" s="92"/>
      <c r="C296" s="92"/>
      <c r="D296" s="89"/>
      <c r="G296" s="9"/>
      <c r="H296" s="9"/>
      <c r="I296" s="9"/>
    </row>
    <row r="297" spans="2:9" hidden="1" x14ac:dyDescent="0.25">
      <c r="B297" s="643" t="s">
        <v>199</v>
      </c>
      <c r="C297" s="643"/>
      <c r="D297" s="643"/>
      <c r="G297" s="9"/>
      <c r="H297" s="9"/>
      <c r="I297" s="9"/>
    </row>
    <row r="298" spans="2:9" hidden="1" x14ac:dyDescent="0.25">
      <c r="B298" s="25"/>
      <c r="C298" s="25"/>
      <c r="D298" s="25"/>
      <c r="G298" s="9"/>
      <c r="H298" s="9"/>
      <c r="I298" s="9"/>
    </row>
    <row r="299" spans="2:9" hidden="1" x14ac:dyDescent="0.25">
      <c r="B299" s="40" t="s">
        <v>197</v>
      </c>
      <c r="C299" s="40" t="s">
        <v>321</v>
      </c>
      <c r="D299" s="40" t="s">
        <v>322</v>
      </c>
      <c r="E299" s="328"/>
      <c r="F299" s="328"/>
      <c r="G299" s="9"/>
      <c r="H299" s="9"/>
      <c r="I299" s="9"/>
    </row>
    <row r="300" spans="2:9" hidden="1" x14ac:dyDescent="0.25">
      <c r="B300" s="216" t="s">
        <v>315</v>
      </c>
      <c r="C300" s="217">
        <v>0</v>
      </c>
      <c r="D300" s="218">
        <v>0</v>
      </c>
      <c r="E300" s="328"/>
      <c r="F300" s="328"/>
      <c r="G300" s="9"/>
      <c r="H300" s="9"/>
      <c r="I300" s="9"/>
    </row>
    <row r="301" spans="2:9" hidden="1" x14ac:dyDescent="0.25">
      <c r="B301" s="219" t="s">
        <v>317</v>
      </c>
      <c r="C301" s="220">
        <v>0</v>
      </c>
      <c r="D301" s="220">
        <v>0</v>
      </c>
      <c r="G301" s="9"/>
      <c r="H301" s="9"/>
      <c r="I301" s="9"/>
    </row>
    <row r="302" spans="2:9" hidden="1" x14ac:dyDescent="0.25">
      <c r="B302" s="219" t="s">
        <v>316</v>
      </c>
      <c r="C302" s="220">
        <v>0</v>
      </c>
      <c r="D302" s="220">
        <v>0</v>
      </c>
      <c r="G302" s="9"/>
      <c r="H302" s="9"/>
      <c r="I302" s="9"/>
    </row>
    <row r="303" spans="2:9" x14ac:dyDescent="0.25">
      <c r="B303" s="87"/>
      <c r="C303" s="87"/>
      <c r="G303" s="9"/>
      <c r="H303" s="9"/>
      <c r="I303" s="9"/>
    </row>
    <row r="304" spans="2:9" x14ac:dyDescent="0.25">
      <c r="B304" s="643" t="s">
        <v>200</v>
      </c>
      <c r="C304" s="643"/>
      <c r="D304" s="643"/>
      <c r="E304" s="329"/>
      <c r="F304" s="329"/>
      <c r="G304" s="85"/>
      <c r="H304" s="85"/>
      <c r="I304" s="9"/>
    </row>
    <row r="305" spans="2:10" x14ac:dyDescent="0.25">
      <c r="B305" s="87"/>
      <c r="C305" s="87"/>
      <c r="D305" s="45"/>
      <c r="E305" s="329"/>
      <c r="F305" s="329"/>
      <c r="G305" s="85"/>
      <c r="H305" s="85"/>
      <c r="I305" s="9"/>
    </row>
    <row r="306" spans="2:10" ht="33.75" customHeight="1" x14ac:dyDescent="0.25">
      <c r="B306" s="38" t="s">
        <v>201</v>
      </c>
      <c r="C306" s="38" t="s">
        <v>323</v>
      </c>
      <c r="D306" s="38" t="s">
        <v>203</v>
      </c>
      <c r="E306" s="318" t="s">
        <v>204</v>
      </c>
      <c r="F306" s="318" t="s">
        <v>205</v>
      </c>
      <c r="G306" s="108" t="s">
        <v>420</v>
      </c>
      <c r="H306" s="113" t="s">
        <v>293</v>
      </c>
      <c r="I306" s="9"/>
    </row>
    <row r="307" spans="2:10" x14ac:dyDescent="0.25">
      <c r="B307" s="458" t="s">
        <v>315</v>
      </c>
      <c r="C307" s="458" t="s">
        <v>315</v>
      </c>
      <c r="D307" s="458" t="s">
        <v>315</v>
      </c>
      <c r="E307" s="538" t="s">
        <v>315</v>
      </c>
      <c r="F307" s="538" t="s">
        <v>315</v>
      </c>
      <c r="G307" s="541">
        <v>0</v>
      </c>
      <c r="H307" s="542">
        <v>0</v>
      </c>
      <c r="I307" s="9"/>
    </row>
    <row r="308" spans="2:10" x14ac:dyDescent="0.25">
      <c r="B308" s="33"/>
      <c r="C308" s="33"/>
      <c r="D308"/>
      <c r="E308" s="150"/>
      <c r="F308" s="150"/>
      <c r="G308" s="5"/>
      <c r="H308" s="5"/>
      <c r="I308" s="5"/>
      <c r="J308"/>
    </row>
    <row r="309" spans="2:10" x14ac:dyDescent="0.25">
      <c r="B309" s="643" t="s">
        <v>206</v>
      </c>
      <c r="C309" s="643"/>
      <c r="D309" s="643"/>
      <c r="E309" s="336"/>
      <c r="F309" s="336"/>
      <c r="G309" s="30"/>
      <c r="H309" s="30"/>
      <c r="I309" s="5"/>
      <c r="J309"/>
    </row>
    <row r="310" spans="2:10" x14ac:dyDescent="0.25">
      <c r="B310" s="56"/>
      <c r="C310" s="56"/>
      <c r="D310" s="54"/>
      <c r="E310" s="337"/>
      <c r="F310" s="337"/>
      <c r="G310" s="5"/>
      <c r="H310" s="5"/>
      <c r="I310" s="5"/>
      <c r="J310"/>
    </row>
    <row r="311" spans="2:10" ht="25.5" x14ac:dyDescent="0.25">
      <c r="B311" s="40" t="s">
        <v>154</v>
      </c>
      <c r="C311" s="40" t="s">
        <v>324</v>
      </c>
      <c r="D311" s="40" t="s">
        <v>207</v>
      </c>
      <c r="E311" s="299" t="s">
        <v>325</v>
      </c>
      <c r="F311" s="299" t="s">
        <v>326</v>
      </c>
      <c r="G311" s="5"/>
      <c r="H311" s="5"/>
      <c r="I311" s="5"/>
      <c r="J311"/>
    </row>
    <row r="312" spans="2:10" x14ac:dyDescent="0.25">
      <c r="B312" s="229" t="s">
        <v>315</v>
      </c>
      <c r="C312" s="229" t="s">
        <v>315</v>
      </c>
      <c r="D312" s="41" t="s">
        <v>315</v>
      </c>
      <c r="E312" s="338">
        <v>0</v>
      </c>
      <c r="F312" s="338">
        <v>0</v>
      </c>
      <c r="G312" s="5"/>
      <c r="H312" s="5"/>
      <c r="I312" s="5"/>
      <c r="J312"/>
    </row>
    <row r="313" spans="2:10" x14ac:dyDescent="0.25">
      <c r="B313" s="31"/>
      <c r="C313" s="31"/>
      <c r="D313" s="32"/>
      <c r="E313" s="339"/>
      <c r="F313" s="339"/>
      <c r="G313" s="5"/>
      <c r="H313" s="5"/>
      <c r="I313" s="5"/>
      <c r="J313"/>
    </row>
    <row r="314" spans="2:10" x14ac:dyDescent="0.25">
      <c r="B314" s="660" t="s">
        <v>208</v>
      </c>
      <c r="C314" s="660"/>
      <c r="D314" s="660"/>
      <c r="E314" s="287"/>
      <c r="F314" s="287"/>
      <c r="G314" s="287"/>
      <c r="H314" s="30"/>
      <c r="I314" s="5"/>
      <c r="J314"/>
    </row>
    <row r="315" spans="2:10" x14ac:dyDescent="0.25">
      <c r="B315" s="53"/>
      <c r="C315" s="53"/>
      <c r="D315" s="54"/>
      <c r="E315" s="150"/>
      <c r="F315" s="150"/>
      <c r="G315" s="150"/>
      <c r="H315" s="5"/>
      <c r="I315" s="5"/>
      <c r="J315"/>
    </row>
    <row r="316" spans="2:10" ht="22.5" customHeight="1" x14ac:dyDescent="0.25">
      <c r="B316" s="40" t="s">
        <v>96</v>
      </c>
      <c r="C316" s="40" t="s">
        <v>328</v>
      </c>
      <c r="D316" s="40" t="s">
        <v>329</v>
      </c>
      <c r="E316" s="150"/>
      <c r="G316" s="150"/>
      <c r="H316" s="5"/>
      <c r="I316" s="5"/>
      <c r="J316"/>
    </row>
    <row r="317" spans="2:10" ht="15" customHeight="1" x14ac:dyDescent="0.25">
      <c r="B317" s="230" t="s">
        <v>433</v>
      </c>
      <c r="C317" s="543">
        <v>5529492</v>
      </c>
      <c r="D317" s="608">
        <v>0</v>
      </c>
      <c r="E317" s="150"/>
      <c r="G317" s="150"/>
      <c r="H317" s="5"/>
      <c r="I317" s="5"/>
      <c r="J317" s="49"/>
    </row>
    <row r="318" spans="2:10" ht="15" customHeight="1" x14ac:dyDescent="0.25">
      <c r="B318" s="232" t="s">
        <v>198</v>
      </c>
      <c r="C318" s="544">
        <v>100250982</v>
      </c>
      <c r="D318" s="609">
        <v>0</v>
      </c>
      <c r="E318" s="150"/>
      <c r="G318" s="150"/>
      <c r="H318" s="5"/>
      <c r="I318" s="5"/>
      <c r="J318" s="49"/>
    </row>
    <row r="319" spans="2:10" ht="15" customHeight="1" x14ac:dyDescent="0.25">
      <c r="B319" s="683" t="s">
        <v>524</v>
      </c>
      <c r="C319" s="544">
        <v>39912880</v>
      </c>
      <c r="D319" s="609">
        <v>0</v>
      </c>
      <c r="E319" s="150"/>
      <c r="G319" s="150"/>
      <c r="H319" s="5"/>
      <c r="I319" s="5"/>
      <c r="J319" s="49"/>
    </row>
    <row r="320" spans="2:10" ht="15" customHeight="1" x14ac:dyDescent="0.25">
      <c r="B320" s="683" t="s">
        <v>525</v>
      </c>
      <c r="C320" s="544">
        <v>20663464</v>
      </c>
      <c r="D320" s="609">
        <v>0</v>
      </c>
      <c r="E320" s="150"/>
      <c r="G320" s="150"/>
      <c r="H320" s="5"/>
      <c r="I320" s="5"/>
      <c r="J320" s="49"/>
    </row>
    <row r="321" spans="2:10" ht="15" customHeight="1" x14ac:dyDescent="0.25">
      <c r="B321" s="230" t="s">
        <v>86</v>
      </c>
      <c r="C321" s="544">
        <v>0</v>
      </c>
      <c r="D321" s="609">
        <v>0</v>
      </c>
      <c r="E321" s="150"/>
      <c r="G321" s="150"/>
      <c r="H321" s="5"/>
      <c r="I321" s="5"/>
      <c r="J321" s="49"/>
    </row>
    <row r="322" spans="2:10" ht="15" customHeight="1" x14ac:dyDescent="0.25">
      <c r="B322" s="233" t="s">
        <v>327</v>
      </c>
      <c r="C322" s="545">
        <v>102193461</v>
      </c>
      <c r="D322" s="610">
        <v>0</v>
      </c>
      <c r="E322" s="150"/>
      <c r="F322" s="150"/>
      <c r="G322" s="150"/>
      <c r="H322" s="5"/>
      <c r="I322" s="5"/>
      <c r="J322" s="49"/>
    </row>
    <row r="323" spans="2:10" x14ac:dyDescent="0.25">
      <c r="B323" s="228" t="s">
        <v>518</v>
      </c>
      <c r="C323" s="234">
        <f>SUM(C317:C322)</f>
        <v>268550279</v>
      </c>
      <c r="D323" s="234">
        <v>0</v>
      </c>
      <c r="E323" s="150"/>
      <c r="F323" s="150"/>
      <c r="G323" s="150"/>
      <c r="H323" s="5"/>
      <c r="I323" s="5"/>
      <c r="J323"/>
    </row>
    <row r="324" spans="2:10" x14ac:dyDescent="0.25">
      <c r="B324" s="228" t="s">
        <v>430</v>
      </c>
      <c r="C324" s="234">
        <v>1732453771</v>
      </c>
      <c r="D324" s="43">
        <v>0</v>
      </c>
      <c r="E324" s="150"/>
      <c r="F324" s="150"/>
      <c r="G324" s="150"/>
      <c r="H324" s="414"/>
      <c r="I324" s="414"/>
      <c r="J324" s="415"/>
    </row>
    <row r="325" spans="2:10" x14ac:dyDescent="0.25">
      <c r="B325" s="27"/>
      <c r="C325" s="27"/>
      <c r="D325"/>
      <c r="E325" s="150"/>
      <c r="F325" s="150"/>
      <c r="G325" s="30"/>
      <c r="H325" s="416"/>
      <c r="I325" s="414"/>
      <c r="J325" s="415"/>
    </row>
    <row r="326" spans="2:10" x14ac:dyDescent="0.25">
      <c r="B326" s="27"/>
      <c r="C326" s="27"/>
      <c r="D326"/>
      <c r="E326" s="150"/>
      <c r="F326" s="150"/>
      <c r="G326" s="5"/>
      <c r="H326" s="414"/>
      <c r="I326" s="414"/>
      <c r="J326" s="415"/>
    </row>
    <row r="327" spans="2:10" x14ac:dyDescent="0.25">
      <c r="B327" s="643" t="s">
        <v>210</v>
      </c>
      <c r="C327" s="643"/>
      <c r="D327" s="643"/>
      <c r="E327" s="417" t="s">
        <v>211</v>
      </c>
      <c r="F327" s="417" t="s">
        <v>211</v>
      </c>
      <c r="G327" s="417" t="s">
        <v>211</v>
      </c>
      <c r="H327" s="414"/>
      <c r="I327" s="417" t="s">
        <v>211</v>
      </c>
      <c r="J327" s="415"/>
    </row>
    <row r="328" spans="2:10" x14ac:dyDescent="0.25">
      <c r="B328" s="56"/>
      <c r="C328" s="56"/>
      <c r="D328" s="54"/>
      <c r="E328" s="337"/>
      <c r="F328" s="337"/>
      <c r="G328" s="5"/>
      <c r="H328" s="414"/>
      <c r="I328" s="414"/>
      <c r="J328" s="415"/>
    </row>
    <row r="329" spans="2:10" x14ac:dyDescent="0.25">
      <c r="B329" s="658" t="s">
        <v>212</v>
      </c>
      <c r="C329" s="658" t="s">
        <v>202</v>
      </c>
      <c r="D329" s="658" t="s">
        <v>203</v>
      </c>
      <c r="E329" s="647" t="s">
        <v>213</v>
      </c>
      <c r="F329" s="647"/>
      <c r="G329" s="5"/>
      <c r="H329" s="5"/>
      <c r="I329" s="5"/>
      <c r="J329"/>
    </row>
    <row r="330" spans="2:10" ht="25.5" x14ac:dyDescent="0.25">
      <c r="B330" s="659"/>
      <c r="C330" s="659"/>
      <c r="D330" s="659"/>
      <c r="E330" s="299" t="s">
        <v>330</v>
      </c>
      <c r="F330" s="299" t="s">
        <v>331</v>
      </c>
      <c r="G330" s="5"/>
      <c r="H330" s="5"/>
      <c r="I330" s="5"/>
      <c r="J330"/>
    </row>
    <row r="331" spans="2:10" x14ac:dyDescent="0.25">
      <c r="B331" s="602" t="s">
        <v>315</v>
      </c>
      <c r="C331" s="602" t="s">
        <v>315</v>
      </c>
      <c r="D331" s="602" t="s">
        <v>315</v>
      </c>
      <c r="E331" s="603">
        <v>0</v>
      </c>
      <c r="F331" s="604">
        <v>0</v>
      </c>
      <c r="G331" s="9"/>
      <c r="H331" s="9"/>
      <c r="I331" s="9"/>
    </row>
    <row r="332" spans="2:10" x14ac:dyDescent="0.25">
      <c r="B332" s="228" t="s">
        <v>97</v>
      </c>
      <c r="C332" s="228"/>
      <c r="D332" s="228"/>
      <c r="E332" s="238">
        <v>0</v>
      </c>
      <c r="F332" s="238">
        <v>0</v>
      </c>
      <c r="G332" s="9"/>
      <c r="H332" s="9"/>
      <c r="I332" s="9"/>
    </row>
    <row r="333" spans="2:10" x14ac:dyDescent="0.25">
      <c r="B333" s="34"/>
      <c r="C333" s="34"/>
      <c r="D333" s="31"/>
      <c r="E333" s="340"/>
      <c r="F333" s="340"/>
      <c r="G333" s="5"/>
      <c r="H333" s="5"/>
      <c r="I333" s="5"/>
      <c r="J333"/>
    </row>
    <row r="334" spans="2:10" x14ac:dyDescent="0.25">
      <c r="B334" s="33"/>
      <c r="C334" s="33"/>
      <c r="D334"/>
      <c r="E334" s="150"/>
      <c r="F334" s="150"/>
      <c r="G334" s="5"/>
      <c r="H334" s="5"/>
      <c r="I334" s="5"/>
      <c r="J334"/>
    </row>
    <row r="335" spans="2:10" x14ac:dyDescent="0.25">
      <c r="B335" s="643" t="s">
        <v>214</v>
      </c>
      <c r="C335" s="643"/>
      <c r="D335" s="643"/>
      <c r="E335" s="417" t="s">
        <v>211</v>
      </c>
      <c r="F335" s="417" t="s">
        <v>211</v>
      </c>
      <c r="G335" s="417" t="s">
        <v>211</v>
      </c>
      <c r="H335" s="5"/>
      <c r="I335" s="5"/>
      <c r="J335"/>
    </row>
    <row r="336" spans="2:10" x14ac:dyDescent="0.25">
      <c r="B336" s="56"/>
      <c r="C336" s="56"/>
      <c r="D336" s="54"/>
      <c r="E336" s="150"/>
      <c r="F336" s="150"/>
      <c r="G336" s="30"/>
      <c r="H336" s="30"/>
      <c r="I336" s="5"/>
      <c r="J336"/>
    </row>
    <row r="337" spans="2:10" ht="25.5" x14ac:dyDescent="0.25">
      <c r="B337" s="40" t="s">
        <v>215</v>
      </c>
      <c r="C337" s="40" t="s">
        <v>323</v>
      </c>
      <c r="D337" s="40" t="s">
        <v>96</v>
      </c>
      <c r="E337" s="299" t="s">
        <v>216</v>
      </c>
      <c r="F337" s="299" t="s">
        <v>265</v>
      </c>
      <c r="H337" s="5"/>
      <c r="I337" s="5"/>
      <c r="J337"/>
    </row>
    <row r="338" spans="2:10" x14ac:dyDescent="0.25">
      <c r="B338" s="602" t="s">
        <v>315</v>
      </c>
      <c r="C338" s="602" t="s">
        <v>315</v>
      </c>
      <c r="D338" s="602" t="s">
        <v>315</v>
      </c>
      <c r="E338" s="236">
        <v>0</v>
      </c>
      <c r="F338" s="236">
        <v>0</v>
      </c>
      <c r="H338" s="9"/>
      <c r="I338" s="9"/>
      <c r="J338" s="9"/>
    </row>
    <row r="339" spans="2:10" x14ac:dyDescent="0.25">
      <c r="B339" s="605" t="s">
        <v>315</v>
      </c>
      <c r="C339" s="605" t="s">
        <v>315</v>
      </c>
      <c r="D339" s="605" t="s">
        <v>315</v>
      </c>
      <c r="E339" s="237">
        <v>0</v>
      </c>
      <c r="F339" s="237">
        <v>0</v>
      </c>
      <c r="H339" s="9"/>
      <c r="I339" s="9"/>
      <c r="J339" s="9"/>
    </row>
    <row r="340" spans="2:10" x14ac:dyDescent="0.25">
      <c r="B340" s="228" t="s">
        <v>518</v>
      </c>
      <c r="C340" s="228"/>
      <c r="D340" s="228"/>
      <c r="E340" s="238">
        <v>0</v>
      </c>
      <c r="F340" s="238">
        <v>0</v>
      </c>
      <c r="H340" s="9"/>
      <c r="I340" s="9"/>
      <c r="J340" s="9"/>
    </row>
    <row r="341" spans="2:10" x14ac:dyDescent="0.25">
      <c r="B341" s="228" t="s">
        <v>430</v>
      </c>
      <c r="C341" s="228"/>
      <c r="D341" s="228"/>
      <c r="E341" s="234">
        <v>0</v>
      </c>
      <c r="F341" s="239">
        <v>0</v>
      </c>
      <c r="H341" s="9"/>
      <c r="I341" s="9"/>
      <c r="J341" s="9"/>
    </row>
    <row r="342" spans="2:10" x14ac:dyDescent="0.25">
      <c r="B342" s="33"/>
      <c r="C342" s="33"/>
      <c r="D342"/>
      <c r="E342" s="150"/>
      <c r="F342" s="150"/>
      <c r="G342" s="5"/>
      <c r="H342" s="5"/>
      <c r="I342" s="5"/>
      <c r="J342" s="5"/>
    </row>
    <row r="343" spans="2:10" x14ac:dyDescent="0.25">
      <c r="B343" s="643" t="s">
        <v>217</v>
      </c>
      <c r="C343" s="643"/>
      <c r="D343" s="643"/>
      <c r="E343" s="7"/>
      <c r="F343" s="7"/>
      <c r="H343" s="5"/>
      <c r="I343" s="5"/>
      <c r="J343" s="5"/>
    </row>
    <row r="344" spans="2:10" ht="15.75" x14ac:dyDescent="0.25">
      <c r="B344" s="56"/>
      <c r="C344" s="56"/>
      <c r="D344" s="54"/>
      <c r="E344" s="337"/>
      <c r="F344" s="337"/>
      <c r="G344" s="28"/>
      <c r="H344" s="5"/>
      <c r="I344" s="5"/>
      <c r="J344" s="5"/>
    </row>
    <row r="345" spans="2:10" ht="27" customHeight="1" x14ac:dyDescent="0.25">
      <c r="B345" s="235" t="s">
        <v>96</v>
      </c>
      <c r="C345" s="235" t="s">
        <v>420</v>
      </c>
      <c r="D345" s="235" t="s">
        <v>190</v>
      </c>
      <c r="E345" s="299" t="s">
        <v>218</v>
      </c>
      <c r="F345" s="299" t="s">
        <v>508</v>
      </c>
      <c r="G345" s="28"/>
      <c r="H345" s="5"/>
      <c r="I345" s="5"/>
      <c r="J345" s="5"/>
    </row>
    <row r="346" spans="2:10" x14ac:dyDescent="0.25">
      <c r="B346" s="240" t="s">
        <v>219</v>
      </c>
      <c r="C346" s="241">
        <v>22000000000</v>
      </c>
      <c r="D346" s="546">
        <f>+F346-C346</f>
        <v>0</v>
      </c>
      <c r="E346" s="611">
        <v>0</v>
      </c>
      <c r="F346" s="341">
        <v>22000000000</v>
      </c>
      <c r="G346" s="107"/>
      <c r="H346" s="5"/>
      <c r="I346" s="5"/>
      <c r="J346" s="5"/>
    </row>
    <row r="347" spans="2:10" x14ac:dyDescent="0.25">
      <c r="B347" s="243" t="s">
        <v>220</v>
      </c>
      <c r="C347" s="242">
        <v>30347973</v>
      </c>
      <c r="D347" s="242">
        <f t="shared" ref="D347:D353" si="4">+F347-C347</f>
        <v>0</v>
      </c>
      <c r="E347" s="612">
        <v>0</v>
      </c>
      <c r="F347" s="341">
        <v>30347973</v>
      </c>
      <c r="G347" s="123"/>
      <c r="H347" s="5"/>
      <c r="I347" s="5"/>
      <c r="J347" s="5"/>
    </row>
    <row r="348" spans="2:10" x14ac:dyDescent="0.25">
      <c r="B348" s="244" t="s">
        <v>332</v>
      </c>
      <c r="C348" s="242">
        <v>100000</v>
      </c>
      <c r="D348" s="242">
        <f t="shared" si="4"/>
        <v>0</v>
      </c>
      <c r="E348" s="612">
        <v>0</v>
      </c>
      <c r="F348" s="341">
        <v>100000</v>
      </c>
      <c r="G348" s="107"/>
      <c r="H348" s="5"/>
      <c r="I348" s="5"/>
      <c r="J348" s="5"/>
    </row>
    <row r="349" spans="2:10" x14ac:dyDescent="0.25">
      <c r="B349" s="243" t="s">
        <v>221</v>
      </c>
      <c r="C349" s="242">
        <v>1043266173</v>
      </c>
      <c r="D349" s="242">
        <f t="shared" si="4"/>
        <v>0</v>
      </c>
      <c r="E349" s="612">
        <v>0</v>
      </c>
      <c r="F349" s="341">
        <v>1043266173</v>
      </c>
      <c r="G349" s="107"/>
      <c r="H349" s="5"/>
      <c r="I349" s="5"/>
      <c r="J349" s="5"/>
    </row>
    <row r="350" spans="2:10" x14ac:dyDescent="0.25">
      <c r="B350" s="243" t="s">
        <v>222</v>
      </c>
      <c r="C350" s="242">
        <v>12200185955</v>
      </c>
      <c r="D350" s="242">
        <f t="shared" si="4"/>
        <v>0</v>
      </c>
      <c r="E350" s="612">
        <v>0</v>
      </c>
      <c r="F350" s="341">
        <v>12200185955</v>
      </c>
      <c r="G350" s="107"/>
      <c r="H350" s="5"/>
      <c r="I350" s="5"/>
      <c r="J350" s="5"/>
    </row>
    <row r="351" spans="2:10" x14ac:dyDescent="0.25">
      <c r="B351" s="243" t="s">
        <v>223</v>
      </c>
      <c r="C351" s="242">
        <v>35747498</v>
      </c>
      <c r="D351" s="242">
        <f t="shared" si="4"/>
        <v>0</v>
      </c>
      <c r="E351" s="612">
        <v>0</v>
      </c>
      <c r="F351" s="341">
        <v>35747498</v>
      </c>
      <c r="G351" s="107"/>
      <c r="H351" s="5"/>
      <c r="I351" s="5"/>
      <c r="J351" s="5"/>
    </row>
    <row r="352" spans="2:10" x14ac:dyDescent="0.25">
      <c r="B352" s="243" t="s">
        <v>224</v>
      </c>
      <c r="C352" s="242">
        <v>0</v>
      </c>
      <c r="D352" s="242">
        <v>8810386420</v>
      </c>
      <c r="E352" s="612">
        <v>0</v>
      </c>
      <c r="F352" s="341">
        <f>+D352</f>
        <v>8810386420</v>
      </c>
      <c r="G352" s="107"/>
      <c r="H352" s="5"/>
      <c r="I352" s="5"/>
      <c r="J352" s="5"/>
    </row>
    <row r="353" spans="2:10" x14ac:dyDescent="0.25">
      <c r="B353" s="245" t="s">
        <v>225</v>
      </c>
      <c r="C353" s="246">
        <v>8810386420</v>
      </c>
      <c r="D353" s="547">
        <v>0</v>
      </c>
      <c r="E353" s="242">
        <v>8810386420</v>
      </c>
      <c r="F353" s="341">
        <v>1057549895</v>
      </c>
      <c r="G353" s="123"/>
      <c r="H353" s="5"/>
      <c r="I353" s="5"/>
      <c r="J353" s="5"/>
    </row>
    <row r="354" spans="2:10" x14ac:dyDescent="0.25">
      <c r="B354" s="186" t="s">
        <v>73</v>
      </c>
      <c r="C354" s="247">
        <f>SUM(C346:C353)</f>
        <v>44120034019</v>
      </c>
      <c r="D354" s="247">
        <f t="shared" ref="D354:F354" si="5">SUM(D346:D353)</f>
        <v>8810386420</v>
      </c>
      <c r="E354" s="247">
        <f t="shared" si="5"/>
        <v>8810386420</v>
      </c>
      <c r="F354" s="247">
        <f t="shared" si="5"/>
        <v>45177583914</v>
      </c>
      <c r="G354" s="107"/>
      <c r="H354" s="5"/>
      <c r="I354" s="5"/>
      <c r="J354" s="5"/>
    </row>
    <row r="355" spans="2:10" x14ac:dyDescent="0.25">
      <c r="B355" s="58"/>
      <c r="C355" s="58"/>
      <c r="D355" s="59"/>
      <c r="E355" s="342"/>
      <c r="F355" s="342"/>
      <c r="G355" s="5"/>
      <c r="H355" s="5"/>
      <c r="I355" s="96"/>
      <c r="J355" s="5"/>
    </row>
    <row r="356" spans="2:10" x14ac:dyDescent="0.25">
      <c r="B356" s="643" t="s">
        <v>226</v>
      </c>
      <c r="C356" s="643"/>
      <c r="D356" s="643"/>
      <c r="E356" s="337"/>
      <c r="F356" s="337"/>
      <c r="G356" s="35"/>
      <c r="H356" s="5"/>
      <c r="I356" s="5"/>
      <c r="J356" s="5"/>
    </row>
    <row r="357" spans="2:10" ht="25.5" x14ac:dyDescent="0.25">
      <c r="B357" s="235" t="s">
        <v>162</v>
      </c>
      <c r="C357" s="235" t="s">
        <v>431</v>
      </c>
      <c r="D357" s="235" t="s">
        <v>190</v>
      </c>
      <c r="E357" s="299" t="s">
        <v>227</v>
      </c>
      <c r="F357" s="299" t="s">
        <v>521</v>
      </c>
      <c r="G357" s="35"/>
      <c r="H357" s="5"/>
      <c r="I357" s="5"/>
      <c r="J357" s="5"/>
    </row>
    <row r="358" spans="2:10" x14ac:dyDescent="0.25">
      <c r="B358" s="248" t="s">
        <v>228</v>
      </c>
      <c r="C358" s="249">
        <v>136321260</v>
      </c>
      <c r="D358" s="249">
        <v>0</v>
      </c>
      <c r="E358" s="343">
        <v>0</v>
      </c>
      <c r="F358" s="343">
        <v>136321260</v>
      </c>
      <c r="G358" s="35"/>
      <c r="H358" s="5"/>
      <c r="I358" s="5"/>
      <c r="J358" s="5"/>
    </row>
    <row r="359" spans="2:10" ht="15.75" x14ac:dyDescent="0.25">
      <c r="B359" s="250" t="s">
        <v>229</v>
      </c>
      <c r="C359" s="251">
        <v>0</v>
      </c>
      <c r="D359" s="251">
        <v>0</v>
      </c>
      <c r="E359" s="344">
        <v>0</v>
      </c>
      <c r="F359" s="524">
        <v>0</v>
      </c>
      <c r="G359" s="28"/>
      <c r="H359" s="5"/>
      <c r="I359" s="5"/>
      <c r="J359" s="5"/>
    </row>
    <row r="360" spans="2:10" ht="15.75" x14ac:dyDescent="0.25">
      <c r="B360" s="42" t="s">
        <v>73</v>
      </c>
      <c r="C360" s="43">
        <f>+C358</f>
        <v>136321260</v>
      </c>
      <c r="D360" s="43">
        <v>0</v>
      </c>
      <c r="E360" s="234">
        <v>0</v>
      </c>
      <c r="F360" s="234">
        <v>136321260</v>
      </c>
      <c r="G360" s="28"/>
      <c r="H360" s="5"/>
      <c r="I360" s="5"/>
      <c r="J360" s="5"/>
    </row>
    <row r="361" spans="2:10" ht="15.75" x14ac:dyDescent="0.25">
      <c r="B361" s="60"/>
      <c r="C361" s="60"/>
      <c r="D361" s="60"/>
      <c r="E361" s="345"/>
      <c r="F361" s="345"/>
      <c r="G361" s="28"/>
      <c r="H361" s="5"/>
      <c r="I361" s="5"/>
      <c r="J361" s="5"/>
    </row>
    <row r="362" spans="2:10" x14ac:dyDescent="0.25">
      <c r="B362" s="643" t="s">
        <v>230</v>
      </c>
      <c r="C362" s="643"/>
      <c r="D362" s="643"/>
      <c r="E362" s="346"/>
      <c r="F362" s="346"/>
      <c r="G362" s="36"/>
      <c r="H362" s="5"/>
      <c r="I362" s="5"/>
      <c r="J362" s="5"/>
    </row>
    <row r="363" spans="2:10" x14ac:dyDescent="0.25">
      <c r="B363" s="643" t="s">
        <v>413</v>
      </c>
      <c r="C363" s="643"/>
      <c r="D363" s="643"/>
      <c r="E363" s="347"/>
      <c r="F363" s="347"/>
      <c r="G363" s="36"/>
      <c r="H363" s="5"/>
      <c r="I363" s="5"/>
      <c r="J363" s="5"/>
    </row>
    <row r="364" spans="2:10" x14ac:dyDescent="0.25">
      <c r="B364" s="61"/>
      <c r="C364" s="61"/>
      <c r="D364" s="61"/>
      <c r="E364" s="347"/>
      <c r="F364" s="347"/>
      <c r="G364" s="37"/>
      <c r="H364" s="37"/>
      <c r="I364" s="5"/>
      <c r="J364" s="5"/>
    </row>
    <row r="365" spans="2:10" x14ac:dyDescent="0.25">
      <c r="B365" s="635" t="s">
        <v>74</v>
      </c>
      <c r="C365" s="636" t="s">
        <v>333</v>
      </c>
      <c r="D365" s="636"/>
      <c r="E365" s="347"/>
      <c r="F365" s="347"/>
      <c r="G365" s="37"/>
      <c r="H365" s="37"/>
      <c r="I365" s="5"/>
      <c r="J365" s="5"/>
    </row>
    <row r="366" spans="2:10" x14ac:dyDescent="0.25">
      <c r="B366" s="635"/>
      <c r="C366" s="252">
        <v>43921</v>
      </c>
      <c r="D366" s="252">
        <v>43555</v>
      </c>
      <c r="E366" s="150"/>
      <c r="F366" s="150"/>
      <c r="G366" s="37"/>
      <c r="H366" s="37"/>
      <c r="I366" s="5"/>
      <c r="J366" s="5"/>
    </row>
    <row r="367" spans="2:10" x14ac:dyDescent="0.25">
      <c r="B367" s="525" t="s">
        <v>82</v>
      </c>
      <c r="C367" s="526">
        <v>0</v>
      </c>
      <c r="D367" s="526">
        <v>0</v>
      </c>
      <c r="E367" s="347"/>
      <c r="F367" s="347"/>
      <c r="G367" s="37"/>
      <c r="H367" s="37"/>
      <c r="I367" s="5"/>
      <c r="J367" s="5"/>
    </row>
    <row r="368" spans="2:10" x14ac:dyDescent="0.25">
      <c r="B368" s="253" t="s">
        <v>80</v>
      </c>
      <c r="C368" s="254">
        <v>0</v>
      </c>
      <c r="D368" s="254">
        <v>0</v>
      </c>
      <c r="E368" s="347"/>
      <c r="F368" s="347"/>
      <c r="G368" s="37"/>
      <c r="H368" s="37"/>
      <c r="I368" s="5"/>
      <c r="J368" s="5"/>
    </row>
    <row r="369" spans="2:10" ht="15.75" x14ac:dyDescent="0.25">
      <c r="B369" s="26"/>
      <c r="C369" s="26"/>
      <c r="D369" s="26"/>
      <c r="E369" s="347"/>
      <c r="F369" s="347"/>
      <c r="G369" s="37"/>
      <c r="H369" s="37"/>
      <c r="I369" s="5"/>
      <c r="J369" s="5"/>
    </row>
    <row r="370" spans="2:10" ht="15.75" x14ac:dyDescent="0.25">
      <c r="B370" s="648" t="s">
        <v>409</v>
      </c>
      <c r="C370" s="648"/>
      <c r="D370" s="648"/>
      <c r="E370" s="347"/>
      <c r="F370" s="347"/>
      <c r="G370" s="5"/>
      <c r="H370" s="5"/>
      <c r="I370" s="5"/>
      <c r="J370" s="5"/>
    </row>
    <row r="371" spans="2:10" x14ac:dyDescent="0.25">
      <c r="B371" s="39"/>
      <c r="C371" s="39"/>
      <c r="D371" s="39"/>
      <c r="E371" s="347"/>
      <c r="F371" s="347"/>
      <c r="G371" s="37"/>
      <c r="H371" s="255"/>
      <c r="I371" s="9"/>
      <c r="J371" s="9"/>
    </row>
    <row r="372" spans="2:10" x14ac:dyDescent="0.25">
      <c r="B372" s="635" t="s">
        <v>96</v>
      </c>
      <c r="C372" s="636" t="s">
        <v>333</v>
      </c>
      <c r="D372" s="636"/>
      <c r="E372" s="347"/>
      <c r="F372" s="347"/>
      <c r="G372" s="37"/>
      <c r="H372" s="255"/>
      <c r="I372" s="9"/>
      <c r="J372" s="9"/>
    </row>
    <row r="373" spans="2:10" x14ac:dyDescent="0.25">
      <c r="B373" s="635"/>
      <c r="C373" s="252">
        <v>43921</v>
      </c>
      <c r="D373" s="252">
        <v>43555</v>
      </c>
      <c r="E373" s="150"/>
      <c r="F373" s="150"/>
      <c r="G373" s="37"/>
      <c r="H373" s="255"/>
      <c r="I373" s="9"/>
      <c r="J373" s="9"/>
    </row>
    <row r="374" spans="2:10" x14ac:dyDescent="0.25">
      <c r="B374" s="258" t="s">
        <v>76</v>
      </c>
      <c r="C374" s="259">
        <v>1300872049</v>
      </c>
      <c r="D374" s="259">
        <v>828607535</v>
      </c>
      <c r="E374" s="150"/>
      <c r="F374" s="150"/>
      <c r="G374" s="37"/>
      <c r="H374" s="255"/>
      <c r="I374" s="9"/>
      <c r="J374" s="9"/>
    </row>
    <row r="375" spans="2:10" x14ac:dyDescent="0.25">
      <c r="B375" s="260" t="s">
        <v>78</v>
      </c>
      <c r="C375" s="259">
        <v>453336236</v>
      </c>
      <c r="D375" s="259">
        <v>58636293</v>
      </c>
      <c r="E375" s="150"/>
      <c r="F375" s="150"/>
      <c r="G375" s="5"/>
      <c r="H375" s="9"/>
      <c r="I375" s="9"/>
      <c r="J375" s="9"/>
    </row>
    <row r="376" spans="2:10" x14ac:dyDescent="0.25">
      <c r="B376" s="260" t="s">
        <v>79</v>
      </c>
      <c r="C376" s="259">
        <v>417520452</v>
      </c>
      <c r="D376" s="259">
        <v>688780493</v>
      </c>
      <c r="E376" s="150"/>
      <c r="F376" s="150"/>
      <c r="G376" s="5"/>
      <c r="H376" s="256"/>
      <c r="I376" s="9"/>
      <c r="J376" s="9"/>
    </row>
    <row r="377" spans="2:10" x14ac:dyDescent="0.25">
      <c r="B377" s="453" t="s">
        <v>404</v>
      </c>
      <c r="C377" s="454">
        <v>0</v>
      </c>
      <c r="D377" s="613">
        <v>0</v>
      </c>
      <c r="E377" s="150"/>
      <c r="F377" s="150"/>
      <c r="G377" s="5"/>
      <c r="H377" s="256"/>
      <c r="I377" s="9"/>
      <c r="J377" s="9"/>
    </row>
    <row r="378" spans="2:10" x14ac:dyDescent="0.25">
      <c r="B378" s="253" t="s">
        <v>80</v>
      </c>
      <c r="C378" s="254">
        <f>SUM(C374:C377)</f>
        <v>2171728737</v>
      </c>
      <c r="D378" s="254">
        <f>SUM(D374:D377)</f>
        <v>1576024321</v>
      </c>
      <c r="E378" s="150"/>
      <c r="F378" s="150"/>
      <c r="G378" s="5"/>
      <c r="H378" s="5"/>
      <c r="I378" s="5"/>
      <c r="J378" s="5"/>
    </row>
    <row r="379" spans="2:10" x14ac:dyDescent="0.25">
      <c r="J379" s="5"/>
    </row>
    <row r="380" spans="2:10" ht="15.75" x14ac:dyDescent="0.25">
      <c r="B380" s="648" t="s">
        <v>81</v>
      </c>
      <c r="C380" s="648"/>
      <c r="D380" s="648"/>
      <c r="J380" s="9"/>
    </row>
    <row r="381" spans="2:10" x14ac:dyDescent="0.25">
      <c r="J381" s="9"/>
    </row>
    <row r="382" spans="2:10" x14ac:dyDescent="0.25">
      <c r="B382" s="635" t="s">
        <v>96</v>
      </c>
      <c r="C382" s="636" t="s">
        <v>333</v>
      </c>
      <c r="D382" s="636"/>
      <c r="E382" s="347"/>
      <c r="F382" s="347"/>
      <c r="G382" s="37"/>
      <c r="H382" s="255"/>
      <c r="I382" s="9"/>
      <c r="J382" s="9"/>
    </row>
    <row r="383" spans="2:10" x14ac:dyDescent="0.25">
      <c r="B383" s="635"/>
      <c r="C383" s="252">
        <v>43921</v>
      </c>
      <c r="D383" s="252">
        <v>43555</v>
      </c>
      <c r="E383" s="150"/>
      <c r="F383" s="150"/>
      <c r="G383" s="37"/>
      <c r="H383" s="255"/>
      <c r="I383" s="9"/>
      <c r="J383" s="9"/>
    </row>
    <row r="384" spans="2:10" ht="18" customHeight="1" x14ac:dyDescent="0.25">
      <c r="B384" s="527" t="s">
        <v>81</v>
      </c>
      <c r="C384" s="614">
        <v>0</v>
      </c>
      <c r="D384" s="614">
        <v>0</v>
      </c>
    </row>
    <row r="385" spans="2:10" ht="18" customHeight="1" x14ac:dyDescent="0.25">
      <c r="B385" s="257" t="s">
        <v>80</v>
      </c>
      <c r="C385" s="254">
        <f>+C384</f>
        <v>0</v>
      </c>
      <c r="D385" s="254">
        <v>0</v>
      </c>
    </row>
    <row r="387" spans="2:10" ht="15.75" x14ac:dyDescent="0.25">
      <c r="B387" s="261" t="s">
        <v>231</v>
      </c>
      <c r="C387" s="261"/>
      <c r="D387" s="261"/>
    </row>
    <row r="389" spans="2:10" ht="15.75" x14ac:dyDescent="0.25">
      <c r="B389" s="261" t="s">
        <v>339</v>
      </c>
      <c r="C389" s="261"/>
      <c r="D389" s="261"/>
    </row>
    <row r="390" spans="2:10" x14ac:dyDescent="0.25">
      <c r="B390" s="635" t="s">
        <v>96</v>
      </c>
      <c r="C390" s="636" t="s">
        <v>333</v>
      </c>
      <c r="D390" s="636"/>
      <c r="E390" s="347"/>
      <c r="F390" s="347"/>
      <c r="G390" s="37"/>
      <c r="H390" s="255"/>
      <c r="I390" s="9"/>
      <c r="J390" s="9"/>
    </row>
    <row r="391" spans="2:10" x14ac:dyDescent="0.25">
      <c r="B391" s="635"/>
      <c r="C391" s="252">
        <v>43921</v>
      </c>
      <c r="D391" s="252">
        <v>43555</v>
      </c>
      <c r="E391" s="150"/>
      <c r="F391" s="150"/>
      <c r="G391" s="37"/>
      <c r="H391" s="255"/>
      <c r="I391" s="9"/>
      <c r="J391" s="9"/>
    </row>
    <row r="392" spans="2:10" x14ac:dyDescent="0.25">
      <c r="B392" s="276" t="s">
        <v>83</v>
      </c>
      <c r="C392" s="277">
        <f>2530170</f>
        <v>2530170</v>
      </c>
      <c r="D392" s="277">
        <v>2437560</v>
      </c>
    </row>
    <row r="393" spans="2:10" x14ac:dyDescent="0.25">
      <c r="B393" s="548" t="s">
        <v>109</v>
      </c>
      <c r="C393" s="549">
        <v>0</v>
      </c>
      <c r="D393" s="549">
        <v>6334773</v>
      </c>
    </row>
    <row r="394" spans="2:10" x14ac:dyDescent="0.25">
      <c r="B394" s="548" t="s">
        <v>108</v>
      </c>
      <c r="C394" s="549">
        <v>13727468</v>
      </c>
      <c r="D394" s="549">
        <v>813989</v>
      </c>
    </row>
    <row r="395" spans="2:10" x14ac:dyDescent="0.25">
      <c r="B395" s="548" t="s">
        <v>110</v>
      </c>
      <c r="C395" s="549">
        <v>3336439</v>
      </c>
      <c r="D395" s="549">
        <v>811389</v>
      </c>
    </row>
    <row r="396" spans="2:10" x14ac:dyDescent="0.25">
      <c r="B396" s="550" t="s">
        <v>338</v>
      </c>
      <c r="C396" s="551">
        <v>7682815</v>
      </c>
      <c r="D396" s="551">
        <v>16314189</v>
      </c>
    </row>
    <row r="397" spans="2:10" x14ac:dyDescent="0.25">
      <c r="B397" s="263" t="s">
        <v>97</v>
      </c>
      <c r="C397" s="264">
        <f>SUM(C392:C396)</f>
        <v>27276892</v>
      </c>
      <c r="D397" s="264">
        <f>SUM(D392:D396)</f>
        <v>26711900</v>
      </c>
    </row>
    <row r="398" spans="2:10" x14ac:dyDescent="0.25">
      <c r="B398" s="136"/>
      <c r="C398" s="64"/>
      <c r="D398" s="64"/>
    </row>
    <row r="399" spans="2:10" ht="15.75" x14ac:dyDescent="0.25">
      <c r="B399" s="261" t="s">
        <v>340</v>
      </c>
      <c r="C399" s="261"/>
      <c r="D399" s="261"/>
    </row>
    <row r="400" spans="2:10" x14ac:dyDescent="0.25">
      <c r="B400" s="635" t="s">
        <v>96</v>
      </c>
      <c r="C400" s="636" t="s">
        <v>333</v>
      </c>
      <c r="D400" s="636"/>
      <c r="E400" s="347"/>
      <c r="F400" s="347"/>
      <c r="G400" s="37"/>
      <c r="H400" s="255"/>
      <c r="I400" s="9"/>
      <c r="J400" s="9"/>
    </row>
    <row r="401" spans="2:10" x14ac:dyDescent="0.25">
      <c r="B401" s="635"/>
      <c r="C401" s="252">
        <v>43921</v>
      </c>
      <c r="D401" s="252">
        <v>43555</v>
      </c>
      <c r="E401" s="150"/>
      <c r="F401" s="150"/>
      <c r="G401" s="37"/>
      <c r="H401" s="255"/>
      <c r="I401" s="9"/>
      <c r="J401" s="9"/>
    </row>
    <row r="402" spans="2:10" x14ac:dyDescent="0.25">
      <c r="B402" s="265" t="s">
        <v>107</v>
      </c>
      <c r="C402" s="266">
        <v>6289091</v>
      </c>
      <c r="D402" s="266">
        <v>1045455</v>
      </c>
    </row>
    <row r="403" spans="2:10" x14ac:dyDescent="0.25">
      <c r="B403" s="267" t="s">
        <v>84</v>
      </c>
      <c r="C403" s="268">
        <v>2118890</v>
      </c>
      <c r="D403" s="268">
        <v>454545</v>
      </c>
    </row>
    <row r="404" spans="2:10" x14ac:dyDescent="0.25">
      <c r="B404" s="263" t="s">
        <v>97</v>
      </c>
      <c r="C404" s="264">
        <f>SUM(C402:C403)</f>
        <v>8407981</v>
      </c>
      <c r="D404" s="264">
        <f>SUM(D402:D403)</f>
        <v>1500000</v>
      </c>
    </row>
    <row r="405" spans="2:10" s="136" customFormat="1" x14ac:dyDescent="0.25">
      <c r="C405" s="64"/>
      <c r="D405" s="64"/>
      <c r="E405" s="305"/>
      <c r="F405" s="305"/>
    </row>
    <row r="406" spans="2:10" ht="15.75" x14ac:dyDescent="0.25">
      <c r="B406" s="261" t="s">
        <v>405</v>
      </c>
      <c r="C406" s="261"/>
      <c r="D406" s="261"/>
    </row>
    <row r="407" spans="2:10" x14ac:dyDescent="0.25">
      <c r="B407" s="635" t="s">
        <v>96</v>
      </c>
      <c r="C407" s="636" t="s">
        <v>333</v>
      </c>
      <c r="D407" s="636"/>
      <c r="E407" s="347"/>
      <c r="F407" s="347"/>
      <c r="G407" s="37"/>
      <c r="H407" s="255"/>
      <c r="I407" s="9"/>
      <c r="J407" s="9"/>
    </row>
    <row r="408" spans="2:10" x14ac:dyDescent="0.25">
      <c r="B408" s="635"/>
      <c r="C408" s="252">
        <v>43921</v>
      </c>
      <c r="D408" s="252">
        <v>43555</v>
      </c>
      <c r="E408" s="150"/>
      <c r="F408" s="150"/>
      <c r="G408" s="37"/>
      <c r="H408" s="255"/>
      <c r="I408" s="9"/>
      <c r="J408" s="9"/>
    </row>
    <row r="409" spans="2:10" x14ac:dyDescent="0.25">
      <c r="B409" s="265" t="s">
        <v>260</v>
      </c>
      <c r="C409" s="266">
        <v>40500000</v>
      </c>
      <c r="D409" s="266">
        <v>25500000</v>
      </c>
      <c r="E409" s="150"/>
      <c r="F409" s="150"/>
      <c r="G409" s="37"/>
      <c r="H409" s="255"/>
      <c r="I409" s="9"/>
      <c r="J409" s="9"/>
    </row>
    <row r="410" spans="2:10" x14ac:dyDescent="0.25">
      <c r="B410" s="265" t="s">
        <v>341</v>
      </c>
      <c r="C410" s="266">
        <v>275961576</v>
      </c>
      <c r="D410" s="266">
        <v>125332977</v>
      </c>
      <c r="E410" s="150"/>
      <c r="F410" s="150"/>
      <c r="G410" s="37"/>
      <c r="H410" s="255"/>
      <c r="I410" s="9"/>
      <c r="J410" s="9"/>
    </row>
    <row r="411" spans="2:10" x14ac:dyDescent="0.25">
      <c r="B411" s="265" t="s">
        <v>94</v>
      </c>
      <c r="C411" s="266">
        <v>442954564</v>
      </c>
      <c r="D411" s="266">
        <v>257462478</v>
      </c>
      <c r="E411" s="150"/>
      <c r="F411" s="150"/>
      <c r="G411" s="37"/>
      <c r="H411" s="255"/>
      <c r="I411" s="9"/>
      <c r="J411" s="9"/>
    </row>
    <row r="412" spans="2:10" x14ac:dyDescent="0.25">
      <c r="B412" s="265" t="s">
        <v>105</v>
      </c>
      <c r="C412" s="266">
        <v>0</v>
      </c>
      <c r="D412" s="266">
        <v>0</v>
      </c>
      <c r="E412" s="150"/>
      <c r="F412" s="150"/>
      <c r="G412" s="37"/>
      <c r="H412" s="255"/>
      <c r="I412" s="9"/>
      <c r="J412" s="9"/>
    </row>
    <row r="413" spans="2:10" x14ac:dyDescent="0.25">
      <c r="B413" s="265" t="s">
        <v>88</v>
      </c>
      <c r="C413" s="266">
        <v>39912880</v>
      </c>
      <c r="D413" s="266">
        <v>21455206</v>
      </c>
      <c r="E413" s="150"/>
      <c r="F413" s="150"/>
      <c r="G413" s="37"/>
      <c r="H413" s="255"/>
      <c r="I413" s="9"/>
      <c r="J413" s="9"/>
    </row>
    <row r="414" spans="2:10" x14ac:dyDescent="0.25">
      <c r="B414" s="265" t="s">
        <v>95</v>
      </c>
      <c r="C414" s="266">
        <v>73087504</v>
      </c>
      <c r="D414" s="266">
        <v>42481307</v>
      </c>
      <c r="E414" s="150"/>
      <c r="F414" s="150"/>
      <c r="G414" s="37"/>
      <c r="H414" s="255"/>
      <c r="I414" s="9"/>
      <c r="J414" s="9"/>
    </row>
    <row r="415" spans="2:10" x14ac:dyDescent="0.25">
      <c r="B415" s="265" t="s">
        <v>90</v>
      </c>
      <c r="C415" s="266">
        <v>100250982</v>
      </c>
      <c r="D415" s="266">
        <v>112036484</v>
      </c>
      <c r="E415" s="150"/>
      <c r="F415" s="150"/>
      <c r="G415" s="37"/>
      <c r="H415" s="255"/>
      <c r="I415" s="9"/>
      <c r="J415" s="9"/>
    </row>
    <row r="416" spans="2:10" x14ac:dyDescent="0.25">
      <c r="B416" s="265" t="s">
        <v>342</v>
      </c>
      <c r="C416" s="266">
        <v>22996798</v>
      </c>
      <c r="D416" s="266">
        <v>10450248</v>
      </c>
      <c r="E416" s="150"/>
      <c r="F416" s="150"/>
      <c r="G416" s="37"/>
      <c r="H416" s="255"/>
      <c r="I416" s="9"/>
      <c r="J416" s="9"/>
    </row>
    <row r="417" spans="2:10" x14ac:dyDescent="0.25">
      <c r="B417" s="265" t="s">
        <v>86</v>
      </c>
      <c r="C417" s="266">
        <v>7419797</v>
      </c>
      <c r="D417" s="266">
        <v>0</v>
      </c>
      <c r="E417" s="150"/>
      <c r="F417" s="150"/>
      <c r="G417" s="37"/>
      <c r="H417" s="255"/>
      <c r="I417" s="9"/>
      <c r="J417" s="9"/>
    </row>
    <row r="418" spans="2:10" x14ac:dyDescent="0.25">
      <c r="B418" s="265" t="s">
        <v>283</v>
      </c>
      <c r="C418" s="266">
        <v>6599000</v>
      </c>
      <c r="D418" s="266">
        <v>6363636</v>
      </c>
      <c r="E418" s="150"/>
      <c r="F418" s="150"/>
      <c r="G418" s="37"/>
      <c r="H418" s="255"/>
      <c r="I418" s="9"/>
      <c r="J418" s="9"/>
    </row>
    <row r="419" spans="2:10" x14ac:dyDescent="0.25">
      <c r="B419" s="265" t="s">
        <v>335</v>
      </c>
      <c r="C419" s="266">
        <v>240000</v>
      </c>
      <c r="D419" s="266">
        <v>0</v>
      </c>
      <c r="E419" s="150"/>
      <c r="F419" s="150"/>
      <c r="G419" s="37"/>
      <c r="H419" s="255"/>
      <c r="I419" s="9"/>
      <c r="J419" s="9"/>
    </row>
    <row r="420" spans="2:10" x14ac:dyDescent="0.25">
      <c r="B420" s="265" t="s">
        <v>91</v>
      </c>
      <c r="C420" s="266">
        <v>26000000</v>
      </c>
      <c r="D420" s="266">
        <v>0</v>
      </c>
    </row>
    <row r="421" spans="2:10" x14ac:dyDescent="0.25">
      <c r="B421" s="265" t="s">
        <v>282</v>
      </c>
      <c r="C421" s="266">
        <v>40114000</v>
      </c>
      <c r="D421" s="266">
        <v>33281181</v>
      </c>
    </row>
    <row r="422" spans="2:10" x14ac:dyDescent="0.25">
      <c r="B422" s="265" t="s">
        <v>343</v>
      </c>
      <c r="C422" s="266">
        <v>0</v>
      </c>
      <c r="D422" s="266">
        <v>0</v>
      </c>
    </row>
    <row r="423" spans="2:10" x14ac:dyDescent="0.25">
      <c r="B423" s="265" t="s">
        <v>344</v>
      </c>
      <c r="C423" s="266">
        <v>0</v>
      </c>
      <c r="D423" s="266">
        <v>0</v>
      </c>
    </row>
    <row r="424" spans="2:10" x14ac:dyDescent="0.25">
      <c r="B424" s="265" t="s">
        <v>106</v>
      </c>
      <c r="C424" s="266">
        <v>3961973</v>
      </c>
      <c r="D424" s="266">
        <v>1735174</v>
      </c>
    </row>
    <row r="425" spans="2:10" x14ac:dyDescent="0.25">
      <c r="B425" s="265" t="s">
        <v>101</v>
      </c>
      <c r="C425" s="266">
        <v>4272727</v>
      </c>
      <c r="D425" s="266">
        <v>4738442</v>
      </c>
    </row>
    <row r="426" spans="2:10" x14ac:dyDescent="0.25">
      <c r="B426" s="265" t="s">
        <v>87</v>
      </c>
      <c r="C426" s="266">
        <v>0</v>
      </c>
      <c r="D426" s="266">
        <v>0</v>
      </c>
    </row>
    <row r="427" spans="2:10" x14ac:dyDescent="0.25">
      <c r="B427" s="265" t="s">
        <v>102</v>
      </c>
      <c r="C427" s="266">
        <v>9922832</v>
      </c>
      <c r="D427" s="266">
        <v>8943934</v>
      </c>
      <c r="G427" s="49"/>
      <c r="H427" s="49"/>
    </row>
    <row r="428" spans="2:10" x14ac:dyDescent="0.25">
      <c r="B428" s="265" t="s">
        <v>100</v>
      </c>
      <c r="C428" s="266">
        <v>8328815</v>
      </c>
      <c r="D428" s="266">
        <v>10325068</v>
      </c>
      <c r="G428" s="49"/>
      <c r="H428" s="49"/>
    </row>
    <row r="429" spans="2:10" x14ac:dyDescent="0.25">
      <c r="B429" s="265" t="s">
        <v>103</v>
      </c>
      <c r="C429" s="266">
        <v>6639091</v>
      </c>
      <c r="D429" s="266">
        <v>6021818</v>
      </c>
      <c r="G429" s="49"/>
      <c r="H429" s="49"/>
    </row>
    <row r="430" spans="2:10" x14ac:dyDescent="0.25">
      <c r="B430" s="265" t="s">
        <v>89</v>
      </c>
      <c r="C430" s="266">
        <v>3853145</v>
      </c>
      <c r="D430" s="266">
        <v>2634562</v>
      </c>
      <c r="G430" s="49"/>
      <c r="H430" s="49"/>
    </row>
    <row r="431" spans="2:10" x14ac:dyDescent="0.25">
      <c r="B431" s="265" t="s">
        <v>104</v>
      </c>
      <c r="C431" s="266">
        <v>86024825</v>
      </c>
      <c r="D431" s="266">
        <v>79002031</v>
      </c>
      <c r="G431" s="49"/>
      <c r="H431" s="49"/>
    </row>
    <row r="432" spans="2:10" x14ac:dyDescent="0.25">
      <c r="B432" s="265" t="s">
        <v>85</v>
      </c>
      <c r="C432" s="266">
        <v>9218421</v>
      </c>
      <c r="D432" s="266">
        <v>129500</v>
      </c>
      <c r="G432" s="49"/>
      <c r="H432" s="49"/>
    </row>
    <row r="433" spans="2:10" x14ac:dyDescent="0.25">
      <c r="B433" s="265" t="s">
        <v>337</v>
      </c>
      <c r="C433" s="266">
        <v>0</v>
      </c>
      <c r="D433" s="266">
        <v>0</v>
      </c>
      <c r="G433" s="49"/>
      <c r="H433" s="49"/>
    </row>
    <row r="434" spans="2:10" x14ac:dyDescent="0.25">
      <c r="B434" s="265" t="s">
        <v>336</v>
      </c>
      <c r="C434" s="266">
        <v>0</v>
      </c>
      <c r="D434" s="266">
        <v>217500</v>
      </c>
    </row>
    <row r="435" spans="2:10" x14ac:dyDescent="0.25">
      <c r="B435" s="265" t="s">
        <v>361</v>
      </c>
      <c r="C435" s="266">
        <v>5395380</v>
      </c>
      <c r="D435" s="266">
        <v>3248931</v>
      </c>
    </row>
    <row r="436" spans="2:10" x14ac:dyDescent="0.25">
      <c r="B436" s="265" t="s">
        <v>408</v>
      </c>
      <c r="C436" s="266">
        <v>11538098</v>
      </c>
      <c r="D436" s="528">
        <v>0</v>
      </c>
    </row>
    <row r="437" spans="2:10" x14ac:dyDescent="0.25">
      <c r="B437" s="265" t="s">
        <v>334</v>
      </c>
      <c r="C437" s="266">
        <v>9147134</v>
      </c>
      <c r="D437" s="266">
        <v>0</v>
      </c>
      <c r="G437" s="49"/>
      <c r="H437" s="49"/>
    </row>
    <row r="438" spans="2:10" x14ac:dyDescent="0.25">
      <c r="B438" s="263" t="s">
        <v>80</v>
      </c>
      <c r="C438" s="264">
        <f>SUM(C409:C437)</f>
        <v>1234339542</v>
      </c>
      <c r="D438" s="264">
        <f>SUM(D409:D437)</f>
        <v>751360477</v>
      </c>
      <c r="G438" s="49"/>
      <c r="H438" s="17"/>
    </row>
    <row r="439" spans="2:10" x14ac:dyDescent="0.25">
      <c r="G439" s="49"/>
      <c r="H439" s="49"/>
    </row>
    <row r="440" spans="2:10" x14ac:dyDescent="0.25">
      <c r="B440" s="136"/>
      <c r="C440" s="64"/>
      <c r="D440" s="64"/>
      <c r="F440" s="150"/>
      <c r="G440" s="49"/>
      <c r="H440" s="49"/>
    </row>
    <row r="441" spans="2:10" ht="15.75" x14ac:dyDescent="0.25">
      <c r="B441" s="648" t="s">
        <v>232</v>
      </c>
      <c r="C441" s="648"/>
      <c r="D441" s="648"/>
      <c r="F441" s="150"/>
      <c r="G441" s="49"/>
      <c r="H441" s="49"/>
    </row>
    <row r="442" spans="2:10" x14ac:dyDescent="0.25">
      <c r="F442" s="150"/>
      <c r="G442" s="49"/>
      <c r="H442" s="49"/>
    </row>
    <row r="443" spans="2:10" x14ac:dyDescent="0.25">
      <c r="B443" s="6" t="s">
        <v>22</v>
      </c>
      <c r="F443" s="150"/>
      <c r="G443" s="49"/>
      <c r="H443" s="49"/>
    </row>
    <row r="444" spans="2:10" ht="15.75" thickBot="1" x14ac:dyDescent="0.3">
      <c r="G444" s="49"/>
      <c r="H444" s="49"/>
    </row>
    <row r="445" spans="2:10" x14ac:dyDescent="0.25">
      <c r="B445" s="668" t="s">
        <v>96</v>
      </c>
      <c r="C445" s="670" t="s">
        <v>333</v>
      </c>
      <c r="D445" s="671"/>
      <c r="E445" s="347"/>
      <c r="F445" s="347"/>
      <c r="G445" s="37"/>
      <c r="H445" s="255"/>
      <c r="I445" s="9"/>
      <c r="J445" s="9"/>
    </row>
    <row r="446" spans="2:10" x14ac:dyDescent="0.25">
      <c r="B446" s="669"/>
      <c r="C446" s="252">
        <v>43921</v>
      </c>
      <c r="D446" s="252">
        <v>43555</v>
      </c>
      <c r="E446" s="150"/>
      <c r="F446" s="150"/>
      <c r="G446" s="37"/>
      <c r="H446" s="255"/>
      <c r="I446" s="9"/>
      <c r="J446" s="9"/>
    </row>
    <row r="447" spans="2:10" x14ac:dyDescent="0.25">
      <c r="B447" s="552" t="s">
        <v>98</v>
      </c>
      <c r="C447" s="553">
        <f>+C448</f>
        <v>16010011</v>
      </c>
      <c r="D447" s="553">
        <f>+D448</f>
        <v>590910</v>
      </c>
      <c r="F447" s="150"/>
      <c r="G447" s="49"/>
      <c r="H447" s="49"/>
    </row>
    <row r="448" spans="2:10" x14ac:dyDescent="0.25">
      <c r="B448" s="554" t="s">
        <v>72</v>
      </c>
      <c r="C448" s="549">
        <v>16010011</v>
      </c>
      <c r="D448" s="549">
        <v>590910</v>
      </c>
      <c r="F448" s="150"/>
      <c r="G448" s="49"/>
      <c r="H448" s="49"/>
    </row>
    <row r="449" spans="2:10" x14ac:dyDescent="0.25">
      <c r="B449" s="555" t="s">
        <v>99</v>
      </c>
      <c r="C449" s="556">
        <f>+C450</f>
        <v>3292179</v>
      </c>
      <c r="D449" s="556">
        <f>+D450</f>
        <v>1857708</v>
      </c>
      <c r="F449" s="150"/>
      <c r="G449" s="5"/>
      <c r="H449" s="5"/>
      <c r="I449" s="5"/>
    </row>
    <row r="450" spans="2:10" ht="15.75" thickBot="1" x14ac:dyDescent="0.3">
      <c r="B450" s="557" t="s">
        <v>92</v>
      </c>
      <c r="C450" s="558">
        <v>3292179</v>
      </c>
      <c r="D450" s="558">
        <v>1857708</v>
      </c>
      <c r="F450" s="150"/>
      <c r="G450" s="5"/>
      <c r="H450" s="5"/>
      <c r="I450" s="5"/>
    </row>
    <row r="451" spans="2:10" x14ac:dyDescent="0.25">
      <c r="F451" s="150"/>
      <c r="G451" s="5"/>
      <c r="H451" s="5"/>
      <c r="I451" s="5"/>
    </row>
    <row r="452" spans="2:10" x14ac:dyDescent="0.25">
      <c r="F452" s="150"/>
      <c r="G452" s="5"/>
      <c r="H452" s="5"/>
      <c r="I452" s="5"/>
    </row>
    <row r="453" spans="2:10" x14ac:dyDescent="0.25">
      <c r="F453" s="150"/>
      <c r="G453" s="5"/>
      <c r="H453" s="5"/>
      <c r="I453" s="5"/>
    </row>
    <row r="454" spans="2:10" x14ac:dyDescent="0.25">
      <c r="B454" s="6" t="s">
        <v>233</v>
      </c>
      <c r="F454" s="150"/>
      <c r="G454" s="5"/>
      <c r="H454" s="5"/>
      <c r="I454" s="5"/>
    </row>
    <row r="455" spans="2:10" x14ac:dyDescent="0.25">
      <c r="B455" s="7" t="s">
        <v>345</v>
      </c>
      <c r="F455" s="150"/>
      <c r="G455" s="5"/>
      <c r="H455" s="5"/>
      <c r="I455" s="5"/>
    </row>
    <row r="456" spans="2:10" x14ac:dyDescent="0.25">
      <c r="B456" s="635" t="s">
        <v>96</v>
      </c>
      <c r="C456" s="636" t="s">
        <v>333</v>
      </c>
      <c r="D456" s="636"/>
      <c r="E456" s="347"/>
      <c r="F456" s="347"/>
      <c r="G456" s="37"/>
      <c r="H456" s="255"/>
      <c r="I456" s="9"/>
      <c r="J456" s="9"/>
    </row>
    <row r="457" spans="2:10" x14ac:dyDescent="0.25">
      <c r="B457" s="635"/>
      <c r="C457" s="252">
        <v>43921</v>
      </c>
      <c r="D457" s="252">
        <v>43555</v>
      </c>
      <c r="E457" s="150"/>
      <c r="F457" s="150"/>
      <c r="G457" s="37"/>
      <c r="H457" s="255"/>
      <c r="I457" s="9"/>
      <c r="J457" s="9"/>
    </row>
    <row r="458" spans="2:10" x14ac:dyDescent="0.25">
      <c r="B458" s="276" t="s">
        <v>77</v>
      </c>
      <c r="C458" s="277">
        <v>124139493</v>
      </c>
      <c r="D458" s="277">
        <v>40963183</v>
      </c>
      <c r="F458" s="150"/>
      <c r="G458" s="5"/>
      <c r="H458" s="5"/>
      <c r="I458" s="5"/>
    </row>
    <row r="459" spans="2:10" x14ac:dyDescent="0.25">
      <c r="B459" s="278" t="s">
        <v>75</v>
      </c>
      <c r="C459" s="268">
        <f>340053798-C458</f>
        <v>215914305</v>
      </c>
      <c r="D459" s="268">
        <v>279410875</v>
      </c>
      <c r="F459" s="150"/>
      <c r="G459" s="5"/>
      <c r="H459" s="5"/>
      <c r="I459" s="5"/>
    </row>
    <row r="460" spans="2:10" x14ac:dyDescent="0.25">
      <c r="B460" s="279" t="s">
        <v>80</v>
      </c>
      <c r="C460" s="280">
        <f>SUM(C458:C459)</f>
        <v>340053798</v>
      </c>
      <c r="D460" s="280">
        <f>SUM(D458:D459)</f>
        <v>320374058</v>
      </c>
      <c r="F460" s="150"/>
      <c r="G460" s="5"/>
      <c r="H460" s="5"/>
      <c r="I460" s="5"/>
    </row>
    <row r="461" spans="2:10" s="195" customFormat="1" x14ac:dyDescent="0.25">
      <c r="B461" s="269"/>
      <c r="C461" s="270"/>
      <c r="D461" s="270"/>
      <c r="E461" s="348"/>
      <c r="F461" s="349"/>
      <c r="G461" s="271"/>
      <c r="H461" s="271"/>
      <c r="I461" s="271"/>
    </row>
    <row r="462" spans="2:10" s="195" customFormat="1" x14ac:dyDescent="0.25">
      <c r="B462" s="269" t="s">
        <v>346</v>
      </c>
      <c r="C462" s="270"/>
      <c r="D462" s="270"/>
      <c r="E462" s="348"/>
      <c r="F462" s="349"/>
      <c r="G462" s="271"/>
      <c r="H462" s="271"/>
      <c r="I462" s="271"/>
    </row>
    <row r="463" spans="2:10" x14ac:dyDescent="0.25">
      <c r="B463" s="635" t="s">
        <v>96</v>
      </c>
      <c r="C463" s="636" t="s">
        <v>333</v>
      </c>
      <c r="D463" s="636"/>
      <c r="E463" s="347"/>
      <c r="F463" s="347"/>
      <c r="G463" s="37"/>
      <c r="H463" s="255"/>
      <c r="I463" s="9"/>
      <c r="J463" s="9"/>
    </row>
    <row r="464" spans="2:10" x14ac:dyDescent="0.25">
      <c r="B464" s="635"/>
      <c r="C464" s="252">
        <v>43921</v>
      </c>
      <c r="D464" s="252">
        <v>43555</v>
      </c>
      <c r="E464" s="150"/>
      <c r="F464" s="150"/>
      <c r="G464" s="37"/>
      <c r="H464" s="255"/>
      <c r="I464" s="9"/>
      <c r="J464" s="9"/>
    </row>
    <row r="465" spans="1:10" x14ac:dyDescent="0.25">
      <c r="B465" s="262" t="s">
        <v>93</v>
      </c>
      <c r="C465" s="684">
        <v>21318961</v>
      </c>
      <c r="D465" s="684">
        <v>808209</v>
      </c>
      <c r="F465" s="150"/>
      <c r="G465" s="5"/>
      <c r="H465" s="5"/>
      <c r="I465" s="5"/>
    </row>
    <row r="466" spans="1:10" x14ac:dyDescent="0.25">
      <c r="B466" s="616" t="s">
        <v>80</v>
      </c>
      <c r="C466" s="280">
        <f>+C465</f>
        <v>21318961</v>
      </c>
      <c r="D466" s="280">
        <f>+D465</f>
        <v>808209</v>
      </c>
      <c r="F466" s="150"/>
      <c r="G466" s="5"/>
      <c r="H466" s="5"/>
      <c r="I466" s="5"/>
    </row>
    <row r="467" spans="1:10" x14ac:dyDescent="0.25">
      <c r="F467" s="150"/>
      <c r="G467" s="5"/>
      <c r="H467" s="5"/>
      <c r="I467" s="5"/>
    </row>
    <row r="468" spans="1:10" x14ac:dyDescent="0.25">
      <c r="F468" s="150"/>
      <c r="G468" s="5"/>
      <c r="H468" s="5"/>
      <c r="I468" s="5"/>
    </row>
    <row r="469" spans="1:10" ht="15.75" x14ac:dyDescent="0.25">
      <c r="B469" s="6" t="s">
        <v>234</v>
      </c>
      <c r="C469" s="29"/>
      <c r="D469" s="29"/>
      <c r="F469" s="150"/>
      <c r="G469" s="5"/>
      <c r="H469" s="5"/>
      <c r="I469" s="5"/>
    </row>
    <row r="470" spans="1:10" ht="15.75" x14ac:dyDescent="0.25">
      <c r="A470" s="7" t="s">
        <v>347</v>
      </c>
      <c r="B470" s="6"/>
      <c r="C470" s="29"/>
      <c r="D470" s="29"/>
      <c r="F470" s="150"/>
      <c r="G470" s="5"/>
      <c r="H470" s="5"/>
      <c r="I470" s="5"/>
    </row>
    <row r="471" spans="1:10" x14ac:dyDescent="0.25">
      <c r="B471" s="635" t="s">
        <v>96</v>
      </c>
      <c r="C471" s="636" t="s">
        <v>333</v>
      </c>
      <c r="D471" s="636"/>
      <c r="E471" s="347"/>
      <c r="F471" s="347"/>
      <c r="G471" s="37"/>
      <c r="H471" s="255"/>
      <c r="I471" s="9"/>
      <c r="J471" s="9"/>
    </row>
    <row r="472" spans="1:10" x14ac:dyDescent="0.25">
      <c r="B472" s="635"/>
      <c r="C472" s="252">
        <v>43921</v>
      </c>
      <c r="D472" s="252">
        <v>43555</v>
      </c>
      <c r="E472" s="150"/>
      <c r="F472" s="150"/>
      <c r="G472" s="37"/>
      <c r="H472" s="255"/>
      <c r="I472" s="9"/>
      <c r="J472" s="9"/>
    </row>
    <row r="473" spans="1:10" x14ac:dyDescent="0.25">
      <c r="B473" s="559" t="s">
        <v>434</v>
      </c>
      <c r="C473" s="275">
        <v>0</v>
      </c>
      <c r="D473" s="275">
        <v>0</v>
      </c>
      <c r="F473" s="150"/>
      <c r="G473" s="5"/>
      <c r="H473" s="5"/>
      <c r="I473" s="5"/>
    </row>
    <row r="474" spans="1:10" x14ac:dyDescent="0.25">
      <c r="B474" s="272" t="s">
        <v>73</v>
      </c>
      <c r="C474" s="220">
        <f>+C473</f>
        <v>0</v>
      </c>
      <c r="D474" s="220">
        <f>+D473</f>
        <v>0</v>
      </c>
      <c r="F474" s="150"/>
      <c r="G474" s="5"/>
      <c r="H474" s="5"/>
      <c r="I474" s="5"/>
    </row>
    <row r="475" spans="1:10" s="141" customFormat="1" x14ac:dyDescent="0.25">
      <c r="B475" s="273"/>
      <c r="C475" s="274"/>
      <c r="D475" s="274"/>
      <c r="E475" s="325"/>
      <c r="F475" s="292"/>
      <c r="G475" s="281"/>
      <c r="H475" s="281"/>
      <c r="I475" s="281"/>
    </row>
    <row r="476" spans="1:10" s="195" customFormat="1" x14ac:dyDescent="0.25">
      <c r="A476" s="195" t="s">
        <v>348</v>
      </c>
      <c r="B476" s="273"/>
      <c r="C476" s="274"/>
      <c r="D476" s="274"/>
      <c r="E476" s="348"/>
      <c r="F476" s="349"/>
      <c r="G476" s="271"/>
      <c r="H476" s="271"/>
      <c r="I476" s="271"/>
    </row>
    <row r="477" spans="1:10" x14ac:dyDescent="0.25">
      <c r="B477" s="635" t="s">
        <v>96</v>
      </c>
      <c r="C477" s="636" t="s">
        <v>333</v>
      </c>
      <c r="D477" s="636"/>
      <c r="E477" s="347"/>
      <c r="F477" s="347"/>
      <c r="G477" s="37"/>
      <c r="H477" s="255"/>
      <c r="I477" s="9"/>
      <c r="J477" s="9"/>
    </row>
    <row r="478" spans="1:10" x14ac:dyDescent="0.25">
      <c r="B478" s="635"/>
      <c r="C478" s="252">
        <v>43921</v>
      </c>
      <c r="D478" s="252">
        <v>43830</v>
      </c>
      <c r="E478" s="150"/>
      <c r="F478" s="150"/>
      <c r="G478" s="37"/>
      <c r="H478" s="255"/>
      <c r="I478" s="9"/>
      <c r="J478" s="9"/>
    </row>
    <row r="479" spans="1:10" x14ac:dyDescent="0.25">
      <c r="B479" s="560" t="s">
        <v>315</v>
      </c>
      <c r="C479" s="275">
        <v>0</v>
      </c>
      <c r="D479" s="275">
        <v>0</v>
      </c>
      <c r="F479" s="150"/>
      <c r="G479" s="5"/>
      <c r="H479" s="5"/>
      <c r="I479" s="5"/>
    </row>
    <row r="480" spans="1:10" x14ac:dyDescent="0.25">
      <c r="F480" s="150"/>
      <c r="G480" s="5"/>
      <c r="H480" s="5"/>
      <c r="I480" s="5"/>
    </row>
    <row r="481" spans="2:10" x14ac:dyDescent="0.25">
      <c r="F481" s="150"/>
      <c r="G481" s="5"/>
      <c r="H481" s="5"/>
      <c r="I481" s="5"/>
    </row>
    <row r="482" spans="2:10" x14ac:dyDescent="0.25">
      <c r="B482" s="46" t="s">
        <v>235</v>
      </c>
      <c r="C482" s="46"/>
      <c r="D482" s="45"/>
      <c r="E482" s="329"/>
      <c r="G482" s="9"/>
      <c r="H482" s="9"/>
      <c r="I482" s="9"/>
    </row>
    <row r="483" spans="2:10" x14ac:dyDescent="0.25">
      <c r="B483" s="45"/>
      <c r="C483" s="45"/>
      <c r="D483" s="45"/>
      <c r="E483" s="329"/>
      <c r="G483" s="9"/>
      <c r="H483" s="9"/>
      <c r="I483" s="9"/>
      <c r="J483"/>
    </row>
    <row r="484" spans="2:10" x14ac:dyDescent="0.25">
      <c r="B484" s="45" t="s">
        <v>236</v>
      </c>
      <c r="C484" s="529" t="s">
        <v>454</v>
      </c>
      <c r="D484" s="45"/>
      <c r="E484" s="329"/>
      <c r="G484" s="47"/>
      <c r="H484" s="9"/>
      <c r="I484" s="9"/>
      <c r="J484"/>
    </row>
    <row r="485" spans="2:10" x14ac:dyDescent="0.25">
      <c r="B485" s="45" t="s">
        <v>237</v>
      </c>
      <c r="C485" s="529" t="s">
        <v>454</v>
      </c>
      <c r="D485" s="45"/>
      <c r="E485" s="329"/>
      <c r="G485" s="44"/>
      <c r="H485" s="9"/>
      <c r="I485" s="9"/>
      <c r="J485"/>
    </row>
    <row r="486" spans="2:10" x14ac:dyDescent="0.25">
      <c r="B486" s="48" t="s">
        <v>238</v>
      </c>
      <c r="C486" s="529"/>
      <c r="D486" s="45"/>
      <c r="G486" s="9"/>
      <c r="H486" s="9"/>
      <c r="I486" s="9"/>
      <c r="J486"/>
    </row>
    <row r="487" spans="2:10" x14ac:dyDescent="0.25">
      <c r="B487" s="40" t="s">
        <v>239</v>
      </c>
      <c r="C487" s="40" t="s">
        <v>270</v>
      </c>
      <c r="D487" s="299" t="s">
        <v>241</v>
      </c>
      <c r="E487" s="40" t="s">
        <v>240</v>
      </c>
      <c r="G487" s="9"/>
      <c r="H487" s="9"/>
      <c r="I487" s="9"/>
      <c r="J487"/>
    </row>
    <row r="488" spans="2:10" s="534" customFormat="1" ht="33.75" customHeight="1" x14ac:dyDescent="0.25">
      <c r="B488" s="561" t="s">
        <v>269</v>
      </c>
      <c r="C488" s="562" t="s">
        <v>522</v>
      </c>
      <c r="D488" s="563" t="s">
        <v>467</v>
      </c>
      <c r="E488" s="564">
        <v>528140500</v>
      </c>
      <c r="F488" s="565"/>
      <c r="G488" s="566"/>
      <c r="H488" s="566"/>
      <c r="I488" s="566"/>
      <c r="J488" s="567"/>
    </row>
    <row r="489" spans="2:10" x14ac:dyDescent="0.25">
      <c r="B489" s="48"/>
      <c r="C489" s="48"/>
      <c r="D489" s="45"/>
      <c r="E489" s="329"/>
      <c r="F489" s="329"/>
      <c r="G489" s="9"/>
      <c r="H489" s="9"/>
      <c r="I489" s="9"/>
      <c r="J489"/>
    </row>
    <row r="490" spans="2:10" x14ac:dyDescent="0.25">
      <c r="B490" s="46" t="s">
        <v>242</v>
      </c>
      <c r="C490" s="46"/>
      <c r="D490" s="45"/>
      <c r="E490" s="329"/>
      <c r="F490" s="329"/>
      <c r="G490" s="9"/>
      <c r="H490" s="9"/>
      <c r="I490" s="9"/>
      <c r="J490"/>
    </row>
    <row r="491" spans="2:10" ht="32.25" customHeight="1" x14ac:dyDescent="0.25">
      <c r="B491" s="666" t="s">
        <v>243</v>
      </c>
      <c r="C491" s="666"/>
      <c r="D491" s="666"/>
      <c r="E491" s="666"/>
      <c r="G491" s="9"/>
      <c r="H491" s="9"/>
      <c r="I491" s="9"/>
      <c r="J491"/>
    </row>
    <row r="492" spans="2:10" x14ac:dyDescent="0.25">
      <c r="B492" s="45"/>
      <c r="C492" s="45"/>
      <c r="D492" s="45"/>
      <c r="E492" s="329"/>
      <c r="G492" s="9"/>
      <c r="H492" s="9"/>
      <c r="I492" s="9"/>
      <c r="J492"/>
    </row>
    <row r="493" spans="2:10" x14ac:dyDescent="0.25">
      <c r="B493" s="46" t="s">
        <v>244</v>
      </c>
      <c r="C493" s="46"/>
      <c r="D493" s="45"/>
      <c r="E493" s="329"/>
      <c r="G493" s="9"/>
      <c r="H493" s="9"/>
      <c r="I493" s="9"/>
      <c r="J493"/>
    </row>
    <row r="494" spans="2:10" x14ac:dyDescent="0.25">
      <c r="B494" s="45" t="s">
        <v>245</v>
      </c>
      <c r="C494" s="45"/>
      <c r="D494" s="45"/>
      <c r="E494" s="329"/>
      <c r="G494" s="9"/>
      <c r="H494" s="9"/>
      <c r="I494" s="9"/>
      <c r="J494"/>
    </row>
    <row r="495" spans="2:10" x14ac:dyDescent="0.25">
      <c r="B495" s="45"/>
      <c r="C495" s="45"/>
      <c r="D495" s="45"/>
      <c r="E495" s="329"/>
      <c r="G495" s="9"/>
      <c r="H495" s="9"/>
      <c r="I495" s="9"/>
      <c r="J495"/>
    </row>
    <row r="496" spans="2:10" x14ac:dyDescent="0.25">
      <c r="B496" s="46" t="s">
        <v>246</v>
      </c>
      <c r="C496" s="46"/>
      <c r="D496" s="45"/>
      <c r="E496" s="329"/>
      <c r="G496" s="9"/>
      <c r="H496" s="9"/>
      <c r="I496" s="9"/>
      <c r="J496"/>
    </row>
    <row r="497" spans="2:10" x14ac:dyDescent="0.25">
      <c r="B497" s="45" t="s">
        <v>247</v>
      </c>
      <c r="C497" s="45"/>
      <c r="D497" s="45"/>
      <c r="E497" s="329"/>
      <c r="G497" s="9"/>
      <c r="H497" s="9"/>
      <c r="I497" s="9"/>
      <c r="J497"/>
    </row>
    <row r="498" spans="2:10" x14ac:dyDescent="0.25">
      <c r="B498" s="45"/>
      <c r="C498" s="45"/>
      <c r="D498" s="45"/>
      <c r="E498" s="329"/>
      <c r="G498" s="9"/>
      <c r="H498" s="9"/>
      <c r="I498" s="9"/>
      <c r="J498"/>
    </row>
    <row r="499" spans="2:10" x14ac:dyDescent="0.25">
      <c r="B499" s="46" t="s">
        <v>248</v>
      </c>
      <c r="C499" s="46"/>
      <c r="D499" s="45"/>
      <c r="E499" s="329"/>
      <c r="G499" s="9"/>
      <c r="H499" s="9"/>
      <c r="I499" s="9"/>
      <c r="J499"/>
    </row>
    <row r="500" spans="2:10" x14ac:dyDescent="0.25">
      <c r="B500" s="45" t="s">
        <v>247</v>
      </c>
      <c r="C500" s="45"/>
      <c r="D500" s="45"/>
      <c r="E500" s="329"/>
      <c r="F500" s="326"/>
      <c r="G500" s="9"/>
      <c r="H500" s="9"/>
      <c r="I500" s="9"/>
      <c r="J500"/>
    </row>
    <row r="501" spans="2:10" x14ac:dyDescent="0.25">
      <c r="B501" s="45"/>
      <c r="C501" s="45"/>
      <c r="D501" s="45"/>
      <c r="E501" s="329"/>
      <c r="G501" s="9"/>
      <c r="H501" s="9"/>
      <c r="I501" s="9"/>
      <c r="J501"/>
    </row>
    <row r="502" spans="2:10" x14ac:dyDescent="0.25">
      <c r="B502" s="46" t="s">
        <v>249</v>
      </c>
      <c r="C502" s="46"/>
      <c r="D502" s="45"/>
      <c r="E502" s="329"/>
      <c r="G502" s="9"/>
      <c r="H502" s="9"/>
      <c r="I502" s="9"/>
      <c r="J502"/>
    </row>
    <row r="503" spans="2:10" x14ac:dyDescent="0.25">
      <c r="B503" s="45" t="s">
        <v>250</v>
      </c>
      <c r="C503" s="45"/>
      <c r="D503" s="45"/>
      <c r="E503" s="326"/>
      <c r="F503" s="326"/>
      <c r="G503" s="9"/>
      <c r="H503" s="9"/>
      <c r="I503" s="9"/>
      <c r="J503"/>
    </row>
    <row r="504" spans="2:10" x14ac:dyDescent="0.25">
      <c r="J504"/>
    </row>
  </sheetData>
  <mergeCells count="101">
    <mergeCell ref="B441:D441"/>
    <mergeCell ref="B335:D335"/>
    <mergeCell ref="B343:D343"/>
    <mergeCell ref="B356:D356"/>
    <mergeCell ref="B362:D362"/>
    <mergeCell ref="B363:D363"/>
    <mergeCell ref="B370:D370"/>
    <mergeCell ref="B282:D282"/>
    <mergeCell ref="B290:D290"/>
    <mergeCell ref="B297:D297"/>
    <mergeCell ref="B365:B366"/>
    <mergeCell ref="B372:B373"/>
    <mergeCell ref="C372:D372"/>
    <mergeCell ref="B382:B383"/>
    <mergeCell ref="B400:B401"/>
    <mergeCell ref="C400:D400"/>
    <mergeCell ref="B407:B408"/>
    <mergeCell ref="B491:E491"/>
    <mergeCell ref="B25:E25"/>
    <mergeCell ref="B26:E26"/>
    <mergeCell ref="B27:E27"/>
    <mergeCell ref="B29:E29"/>
    <mergeCell ref="B30:E30"/>
    <mergeCell ref="B20:E20"/>
    <mergeCell ref="B21:E21"/>
    <mergeCell ref="B22:E22"/>
    <mergeCell ref="B23:E23"/>
    <mergeCell ref="B24:E24"/>
    <mergeCell ref="B456:B457"/>
    <mergeCell ref="C456:D456"/>
    <mergeCell ref="B463:B464"/>
    <mergeCell ref="C463:D463"/>
    <mergeCell ref="B445:B446"/>
    <mergeCell ref="C445:D445"/>
    <mergeCell ref="C407:D407"/>
    <mergeCell ref="B34:C34"/>
    <mergeCell ref="B40:C40"/>
    <mergeCell ref="B42:D42"/>
    <mergeCell ref="B64:D64"/>
    <mergeCell ref="B241:D241"/>
    <mergeCell ref="B220:D220"/>
    <mergeCell ref="B1:E1"/>
    <mergeCell ref="B2:E2"/>
    <mergeCell ref="B3:E3"/>
    <mergeCell ref="B4:E4"/>
    <mergeCell ref="B5:E5"/>
    <mergeCell ref="B12:E12"/>
    <mergeCell ref="B13:E13"/>
    <mergeCell ref="B14:E14"/>
    <mergeCell ref="B15:E15"/>
    <mergeCell ref="B6:E6"/>
    <mergeCell ref="B7:E7"/>
    <mergeCell ref="B8:E8"/>
    <mergeCell ref="B10:E10"/>
    <mergeCell ref="B11:E11"/>
    <mergeCell ref="B16:E16"/>
    <mergeCell ref="B17:E17"/>
    <mergeCell ref="H130:J130"/>
    <mergeCell ref="B155:E155"/>
    <mergeCell ref="B156:E156"/>
    <mergeCell ref="B157:E157"/>
    <mergeCell ref="B146:E146"/>
    <mergeCell ref="B329:B330"/>
    <mergeCell ref="C329:C330"/>
    <mergeCell ref="D329:D330"/>
    <mergeCell ref="B252:B253"/>
    <mergeCell ref="C252:C253"/>
    <mergeCell ref="B272:D272"/>
    <mergeCell ref="B260:D260"/>
    <mergeCell ref="B314:D314"/>
    <mergeCell ref="B327:D327"/>
    <mergeCell ref="B18:E18"/>
    <mergeCell ref="B19:E19"/>
    <mergeCell ref="B243:B244"/>
    <mergeCell ref="C243:C244"/>
    <mergeCell ref="D243:F243"/>
    <mergeCell ref="B32:E32"/>
    <mergeCell ref="B471:B472"/>
    <mergeCell ref="C471:D471"/>
    <mergeCell ref="B477:B478"/>
    <mergeCell ref="C477:D477"/>
    <mergeCell ref="B130:G130"/>
    <mergeCell ref="D252:F252"/>
    <mergeCell ref="C262:D262"/>
    <mergeCell ref="B262:B263"/>
    <mergeCell ref="B168:D168"/>
    <mergeCell ref="B184:E184"/>
    <mergeCell ref="B169:D169"/>
    <mergeCell ref="C382:D382"/>
    <mergeCell ref="B390:B391"/>
    <mergeCell ref="C390:D390"/>
    <mergeCell ref="B309:D309"/>
    <mergeCell ref="B304:D304"/>
    <mergeCell ref="B277:D277"/>
    <mergeCell ref="B222:B223"/>
    <mergeCell ref="C222:G222"/>
    <mergeCell ref="B231:B232"/>
    <mergeCell ref="C231:G231"/>
    <mergeCell ref="E329:F329"/>
    <mergeCell ref="B380:D380"/>
    <mergeCell ref="C365:D365"/>
  </mergeCells>
  <pageMargins left="0.70866141732283472" right="0.70866141732283472" top="0.74803149606299213" bottom="0.74803149606299213" header="0.31496062992125984" footer="0.31496062992125984"/>
  <pageSetup paperSize="9" scale="60" orientation="landscape" r:id="rId1"/>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kY9LwRT10T3gzJmgjn0CBhTE3PiL1KJIDQY98PQxidU=</DigestValue>
    </Reference>
    <Reference Type="http://www.w3.org/2000/09/xmldsig#Object" URI="#idOfficeObject">
      <DigestMethod Algorithm="http://www.w3.org/2001/04/xmlenc#sha256"/>
      <DigestValue>mae/Y6aCGzC+X+Z80EKsVMeeY0a7PAO8e2XsN15BsiY=</DigestValue>
    </Reference>
    <Reference Type="http://uri.etsi.org/01903#SignedProperties" URI="#idSignedProperties">
      <Transforms>
        <Transform Algorithm="http://www.w3.org/TR/2001/REC-xml-c14n-20010315"/>
      </Transforms>
      <DigestMethod Algorithm="http://www.w3.org/2001/04/xmlenc#sha256"/>
      <DigestValue>vGtA6c54Es4H6iH3RsWz20OgQ5e7ejO1ljOTg/FI62U=</DigestValue>
    </Reference>
    <Reference Type="http://www.w3.org/2000/09/xmldsig#Object" URI="#idValidSigLnImg">
      <DigestMethod Algorithm="http://www.w3.org/2001/04/xmlenc#sha256"/>
      <DigestValue>TSVCDudXwtH3Udmr4gnn7+s8zSyJfKb77SZFsA/51l4=</DigestValue>
    </Reference>
    <Reference Type="http://www.w3.org/2000/09/xmldsig#Object" URI="#idInvalidSigLnImg">
      <DigestMethod Algorithm="http://www.w3.org/2001/04/xmlenc#sha256"/>
      <DigestValue>vYWB1pOilL1R7g1ftL0R38NcES96LgoalME3MrkE/bA=</DigestValue>
    </Reference>
  </SignedInfo>
  <SignatureValue>Hnhw4F4ZS7aITZX1U2Q/7AulrwoQz+uDKu40TE8j7LY8x5QVgKTJJy+G9cSCDyjcWvn0uCh5CwRe
ddoIGjH9H3kouBjTjej+ggWUmk427pGmEODeASgVOZ0O/H7LhJnVqh2Eay8b6ZmQCxfXiwZfI0Ip
EKaAvIef9QIxPhbUxRyCc/JKgjp9irr2vHSmuMyqM0fsB73EmbVmXb3Xw1qUm5WmINiZaCPcvwn3
2VwCf2s7+0p14vLu8gaPPsPGgu/mmNZKJ+YZ0HziebTNSCiM3o4W+Mwo+/S/6fYY2+baoh6I6idW
3DrENRlb2CN+u5O8Hkt7T4loIyxruw2otewCVw==</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2020-06-22T15:01:59Z</mdssi:Value>
        </mdssi:SignatureTime>
      </SignatureProperty>
    </SignatureProperties>
  </Object>
  <Object Id="idOfficeObject">
    <SignatureProperties>
      <SignatureProperty Id="idOfficeV1Details" Target="#idPackageSignature">
        <SignatureInfoV1 xmlns="http://schemas.microsoft.com/office/2006/digsig">
          <SetupID>{DD37BE19-3FFC-4E87-BDD9-3408AF05AF1D}</SetupID>
          <SignatureText>Gustavo Segovia</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2020-06-22T15:01:59Z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nW8vt/AAAAAAAAAAAAACgSAAAAAAAAQAAAwPt/AADARiXw+38AAD6cMZD7fwAABAAAAAAAAADARiXw+38AACm93j/AAAAAAAAAAAAAAABA8AdnKgIAAAAAAAAqAgAASAAAAAAAAACQYpGQ+38AACBTmpD7fwAAwL9okAAAAAABAAAAAAAAAG5+kZD7fwAAAAAl8Pt/AAAAAAAAAAAAAAAAAAAAAAAAAAAAAAAAAABazl1S+JsAAHALAAAAAAAAQPdxZyoCAAB4v94/wAAAAAAAAAAAAAAAAAAAAAAAAAAAAAAAAAAAAAAAAAAAAAAA2b7eP8AAAADfdTGQZHYACAAAAAAlAAAADAAAAAEAAAAYAAAADAAAAAAAAAASAAAADAAAAAEAAAAeAAAAGAAAAMMAAAAEAAAA9wAAABEAAAAlAAAADAAAAAEAAABUAAAAhAAAAMQAAAAEAAAA9QAAABAAAAABAAAA0XbJQasKyUHEAAAABAAAAAkAAABMAAAAAAAAAAAAAAAAAAAA//////////9gAAAAMgAyAC8ANg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P///wEAAABQViXw+38AAAkAAAAAAAAACQAAACoCAAClmzGQ+38AAAAAAAAAAAAA/////wAAAABY394/wAAAAHBE6W0qAgAAEQAAAPt/AAAAAAAAAAAAAAAAAAAAAAAAAAAAAAAAAAAgB3fv+38AABEAAAAAAAAAcEbobQAAAADIsILv+38AAAAAAAAAAAAA/v////////+rTpXX+38AAAAAAAAAAAAAAAAAAAAAAAAqr11S+JsAALZ6Y+8AAAAAdHtI0l9bAABAn1teKgIAAED3cWcqAgAAsODeP8AAAAAAAAAAAAAAAAcAAAAAAAAAAAAAAAAAAADs394/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ECk7BgqAgAAAAAAAAAAAAABAAAAAAAAAMDicWcqAgAAcBHpcyoCAADp+SgBlU/WAQIAAAAAAAAAAEq9j/t/AADISr2P+38AAAMAAAAAAAAAKNrCj/t/AADo3sKP+38AACAHd+/7fwAAYO30eCoCAAACAAAAAAAAAMiwgu/7fwAAAAAAAAAAAAA5j6wHweQAAAIAAAAAAAAAAAAAAAAAAAAAAAAAAAAAAKq1XlL4mwAAAAAAAAAAAADo3sKP+38AAOD///8AAAAAQPdxZyoCAABIy90/wAAAAAAAAAAAAAAABgAAAAAAAAAAAAAAAAAAAGzK3T9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gD2ReAAAgD8cPACPAACAPwAAgD8AAIA//v////////9A090/wAAAAIA9kXgAAAAA/////wAAAAAAAAAAAAAAAAgAAAAAAAAAIAd37/t/AABgT5F4AACAPxw8AI8AAAAAyLCC7/t/AAAAAAAAAAAAANmPrAfB5AAAAAgAAAAAAAAAAAAAAAAAAAAAAAAAAAAAyrpeUvibAAAAAAAAAAAAALB11xgAAIA/8P///wAAAABA93FnKgIAAOjL3T/AAAAAAAAAAAAAAAAJAAAAAAAAAAAAAAAAAAAADMvdP2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p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zp4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1vL7fwAAAAAAAAAAAAAoEgAAAAAAAEAAAMD7fwAAwEYl8Pt/AAA+nDGQ+38AAAQAAAAAAAAAwEYl8Pt/AAApvd4/wAAAAAAAAAAAAAAAQPAHZyoCAAAAAAAAKgIAAEgAAAAAAAAAkGKRkPt/AAAgU5qQ+38AAMC/aJAAAAAAAQAAAAAAAABufpGQ+38AAAAAJfD7fwAAAAAAAAAAAAAAAAAAAAAAAAAAAAAAAAAAWs5dUvibAABwCwAAAAAAAED3cWcqAgAAeL/eP8AAAAAAAAAAAAAAAAAAAAAAAAAAAAAAAAAAAAAAAAAAAAAAANm+3j/AAAAA33Uxk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D///8BAAAAUFYl8Pt/AAAJAAAAAAAAAAkAAAAqAgAApZsxkPt/AAAAAAAAAAAAAP////8AAAAAWN/eP8AAAABwROltKgIAABEAAAD7fwAAAAAAAAAAAAAAAAAAAAAAAAAAAAAAAAAAIAd37/t/AAARAAAAAAAAAHBG6G0AAAAAyLCC7/t/AAAAAAAAAAAAAP7/////////q06V1/t/AAAAAAAAAAAAAAAAAAAAAAAAKq9dUvibAAC2emPvAAAAAHR7SNJfWwAAQJ9bXioCAABA93FnKgIAALDg3j/AAAAAAAAAAAAAAAAHAAAAAAAAAAAAAAAAAAAA7N/eP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pOwYKgIAAAAAAAAAAAAAAQAAAAAAAADA4nFnKgIAAHAR6XMqAgAA6fkoAZVP1gECAAAAAAAAAABKvY/7fwAAyEq9j/t/AAADAAAAAAAAACjawo/7fwAA6N7Cj/t/AAAgB3fv+38AAGDt9HgqAgAAAgAAAAAAAADIsILv+38AAAAAAAAAAAAAOY+sB8HkAAACAAAAAAAAAAAAAAAAAAAAAAAAAAAAAACqtV5S+JsAAAAAAAAAAAAA6N7Cj/t/AADg////AAAAAED3cWcqAgAASMvdP8AAAAAAAAAAAAAAAAYAAAAAAAAAAAAAAAAAAABsyt0/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IA9kXgAAIA/HDwAjwAAgD8AAIA/AACAP/7/////////QNPdP8AAAACAPZF4AAAAAP////8AAAAAAAAAAAAAAAAIAAAAAAAAACAHd+/7fwAAYE+ReAAAgD8cPACPAAAAAMiwgu/7fwAAAAAAAAAAAADZj6wHweQAAAAIAAAAAAAAAAAAAAAAAAAAAAAAAAAAAMq6XlL4mwAAAAAAAAAAAACwddcYAACAP/D///8AAAAAQPdxZyoCAADoy90/wAAAAAAAAAAAAAAACQAAAAAAAAAAAAAAAAAAAAzL3T9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8GM14WvL/JS6xGb7rb8UYM4Nc5unBJpIXPb2f5fzmBM=</DigestValue>
    </Reference>
    <Reference Type="http://www.w3.org/2000/09/xmldsig#Object" URI="#idOfficeObject">
      <DigestMethod Algorithm="http://www.w3.org/2001/04/xmlenc#sha256"/>
      <DigestValue>z17a0YllWjjWobhREPGKpFYC547Ha2uhAG7YXLJQJSA=</DigestValue>
    </Reference>
    <Reference Type="http://uri.etsi.org/01903#SignedProperties" URI="#idSignedProperties">
      <Transforms>
        <Transform Algorithm="http://www.w3.org/TR/2001/REC-xml-c14n-20010315"/>
      </Transforms>
      <DigestMethod Algorithm="http://www.w3.org/2001/04/xmlenc#sha256"/>
      <DigestValue>4DmE2yF+2viLwB57vuBuCx98ZSDGEYO7ujaha5/nQs0=</DigestValue>
    </Reference>
    <Reference Type="http://www.w3.org/2000/09/xmldsig#Object" URI="#idValidSigLnImg">
      <DigestMethod Algorithm="http://www.w3.org/2001/04/xmlenc#sha256"/>
      <DigestValue>PeUN25yVD57CmrtaIJNLe/G6sykYLlnZWNx1AMXrKqo=</DigestValue>
    </Reference>
    <Reference Type="http://www.w3.org/2000/09/xmldsig#Object" URI="#idInvalidSigLnImg">
      <DigestMethod Algorithm="http://www.w3.org/2001/04/xmlenc#sha256"/>
      <DigestValue>+Lok4MOtqBgphdJHDKK/WF8qAkmfWDe2x/4MRCOxQbs=</DigestValue>
    </Reference>
  </SignedInfo>
  <SignatureValue>d/mA8kGxaXGa6wKyLXUEtBEUtKKckFJD+yQ2H/96aNqshAyK2IrKBC5JZnhRlXLWmilDRKaD6TxX
EgLOxDDdY9eQncAT8Iu3SEqbMjky8cw33YqaggmpbZ78g2baBLeh1J7jmM9JSMDcrITWWuSkKTjt
LXb90+fXGnB2Nb4F0yRFxEHZDUUfVjqVcnI0YkCnOPaP+bIk9mAcm7eRypCm/iMT90RQI/lTOA71
PPsxHqTsJE7+D77IlkFYHajUU+T7kBiC+7sfYcxnOyhhO4x3A3rW6BiviXRZXedHaB8afES1bzVB
NvCExFVvojz52O5QEeOyI/yADQNuxQTGAtqTiw==</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2020-06-22T16:40:11Z</mdssi:Value>
        </mdssi:SignatureTime>
      </SignatureProperty>
    </SignatureProperties>
  </Object>
  <Object Id="idOfficeObject">
    <SignatureProperties>
      <SignatureProperty Id="idOfficeV1Details" Target="#idPackageSignature">
        <SignatureInfoV1 xmlns="http://schemas.microsoft.com/office/2006/digsig">
          <SetupID>{2D6A3C12-0BC2-4985-B29D-8A823B5EC3A6}</SetupID>
          <SignatureText>Eduardo Laran</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2020-06-22T16:40:11Z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n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Pm9bwIJAAAAAAAAAAAAAADwrOrciQEAAAAAAACJAQAASAAAAAAAAACQYlSJ/38AACBTXYn/fwAAwL8riQAAAAABAAAAAAAAAG5+VIn/fwAAAABm0/9/AAAAAAAAAAAAAAAAAAAAAAAAAAAAAAAAAADTFUizvHYAAHALAAAAAAAAkNze3IkBAABIwG8CCQAAAAAAAAAAAAAAAAAAAAAAAAAAAAAAAAAAAAAAAAAAAAAAqb9vAgk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Object Id="idInvalidSigLnImg">AQAAAGwAAAAAAAAAAAAAAP8AAAB/AAAAAAAAAAAAAACfFgAARAsAACBFTUYAAAEAO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e8QAAAAcKDQcKDQcJDQ4WMShFrjFU1TJV1gECBAIDBAECBQoRKyZBowsTMQAAAAAAfqbJd6PIeqDCQFZ4JTd0Lk/HMVPSGy5uFiE4GypVJ0KnHjN9AAABHvEAAACcz+7S6ffb7fnC0t1haH0hMm8aLXIuT8ggOIwoRKslP58cK08AAAEAAAAAAMHg9P///////////+bm5k9SXjw/SzBRzTFU0y1NwSAyVzFGXwEBAkEACA8mnM/u69/SvI9jt4tgjIR9FBosDBEjMVTUMlXWMVPRKUSeDxk4AAAAAAAAAADT6ff///////+Tk5MjK0krSbkvUcsuT8YVJFoTIFIrSbgtTcEQHEcAAAAAAJzP7vT6/bTa8kRleixHhy1Nwi5PxiQtTnBwcJKSki81SRwtZAgOI0UAAAAAweD02+35gsLqZ5q6Jz1jNEJyOUZ4qamp+/v7////wdPeVnCJAQECAAAAAACv1/Ho8/ubzu6CwuqMudS3u769vb3////////////L5fZymsABAgMgAAAAAK/X8fz9/uLx+snk9uTy+vz9/v///////////////8vl9nKawAECAx7xAAAAotHvtdryxOL1xOL1tdry0+r32+350+r3tdryxOL1pdPvc5rAAQIDAAAAAABpj7ZnjrZqj7Zqj7ZnjrZtkbdukrdtkbdnjrZqj7ZojrZ3rdUCAwRP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5vW8CCQAAAAAAAAAAAAAA8Kzq3IkBAAAAAAAAiQEAAEgAAAAAAAAAkGJUif9/AAAgU12J/38AAMC/K4kAAAAAAQAAAAAAAABuflSJ/38AAAAAZtP/fwAAAAAAAAAAAAAAAAAAAAAAAAAAAAAAAAAA0xVIs7x2AABwCwAAAAAAAJDc3tyJAQAASMBvAgkAAAAAAAAAAAAAAAAAAAAAAAAAAAAAAAAAAAAAAAAAAAAAAKm/bwIJ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vpdQQGTror1R8ezVbHuqznWmhmBT0vRHcz2VQ4q4T1Y=</DigestValue>
    </Reference>
    <Reference Type="http://www.w3.org/2000/09/xmldsig#Object" URI="#idOfficeObject">
      <DigestMethod Algorithm="http://www.w3.org/2001/04/xmlenc#sha256"/>
      <DigestValue>lV/gmkACmFNAmXyHXIBs1VBfwBb43N+obvNfRQZMeW8=</DigestValue>
    </Reference>
    <Reference Type="http://uri.etsi.org/01903#SignedProperties" URI="#idSignedProperties">
      <Transforms>
        <Transform Algorithm="http://www.w3.org/TR/2001/REC-xml-c14n-20010315"/>
      </Transforms>
      <DigestMethod Algorithm="http://www.w3.org/2001/04/xmlenc#sha256"/>
      <DigestValue>EEfOD9C4B7kpB73JIsh7oHUfXPiyi6MbFRI9Ii4Z6G4=</DigestValue>
    </Reference>
    <Reference Type="http://www.w3.org/2000/09/xmldsig#Object" URI="#idValidSigLnImg">
      <DigestMethod Algorithm="http://www.w3.org/2001/04/xmlenc#sha256"/>
      <DigestValue>hhj1nF5mxTkfKBRgsvkjaTfMD6VG1Y38lNF9ajcb9XY=</DigestValue>
    </Reference>
    <Reference Type="http://www.w3.org/2000/09/xmldsig#Object" URI="#idInvalidSigLnImg">
      <DigestMethod Algorithm="http://www.w3.org/2001/04/xmlenc#sha256"/>
      <DigestValue>kJAMrTNuMD9cH/GG3ho2pR/efji75stum69Ln0hh2U8=</DigestValue>
    </Reference>
  </SignedInfo>
  <SignatureValue>g7/roMYX8MQ5FdSrgWw+hI/q/XuMPbFirWGf/V6J2sVtgA+xstGDcBF+81fyH6v8QQR0ORPsr0HA
fmyHAVZF7z/ZAZMWJzt+tWKyCqVQ/a7/G0DGc6yz3kNOIzx+7xzkA7pIjhy1h1wXV93olvuZUdJl
bTdke4lFCiDIHXPgz0TtkbcZLizoYtRLw7iqTuzaL4D+UkunJ0ikwOwmoiZw3uxSKFNC/Hk+Q1te
dpb9ar7AKlCnBPPAoJOjs+J2tjZCOoZ5C3Ic0pu73nPSnovI8kdaVeaLhhIjPeBaGi4A8Xz4/pqC
BxCn4mOBfBdEhs0CJ7XkpBwE/aB+BzSiA8ZAFQ==</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2020-06-22T20:55:24Z</mdssi:Value>
        </mdssi:SignatureTime>
      </SignatureProperty>
    </SignatureProperties>
  </Object>
  <Object Id="idOfficeObject">
    <SignatureProperties>
      <SignatureProperty Id="idOfficeV1Details" Target="#idPackageSignature">
        <SignatureInfoV1 xmlns="http://schemas.microsoft.com/office/2006/digsig">
          <SetupID>{D61EA595-0BF0-45F2-9704-3A9D404C9A29}</SetupID>
          <SignatureText>Eduardo Apud</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2020-06-22T20:55:24Z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Om+ECyyAAAAAAAAAAAAAADgverkBwIAAAAAAAAHAgAASAAAAAAAAACQYlSJ/38AACBTXYn/fwAAwL8riQAAAAABAAAAAAAAAG5+VIn/fwAAAABm0/9/AAAAAAAAAAAAAAAAAAAAAAAAAAAAAAAAAAC6qhjOTt8AAHALAAAAAAAAIKAX4gcCAAA4wRAssgAAAAAAAAAAAAAAAAAAAAAAAAAAAAAAAAAAAAAAAAAAAAAAmcAQLLI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Dt1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L8QAAAAcKDQcKDQcJDQ4WMShFrjFU1TJV1gECBAIDBAECBQoRKyZBowsTMQAAAAAAfqbJd6PIeqDCQFZ4JTd0Lk/HMVPSGy5uFiE4GypVJ0KnHjN9AAABPfEAAACcz+7S6ffb7fnC0t1haH0hMm8aLXIuT8ggOIwoRKslP58cK08AAAEAAAAAAMHg9P///////////+bm5k9SXjw/SzBRzTFU0y1NwSAyVzFGXwEBAkzxCA8mnM/u69/SvI9jt4tgjIR9FBosDBEjMVTUMlXWMVPRKUSeDxk4AAAAAAAAAADT6ff///////+Tk5MjK0krSbkvUcsuT8YVJFoTIFIrSbgtTcEQHEc98QAAAJzP7vT6/bTa8kRleixHhy1Nwi5PxiQtTnBwcJKSki81SRwtZAgOIwAAAAAAweD02+35gsLqZ5q6Jz1jNEJyOUZ4qamp+/v7////wdPeVnCJAQECS/EAAACv1/Ho8/ubzu6CwuqMudS3u769vb3////////////L5fZymsABAgMAAAAAAK/X8fz9/uLx+snk9uTy+vz9/v///////////////8vl9nKawAECA1/xAAAAotHvtdryxOL1xOL1tdry0+r32+350+r3tdryxOL1pdPvc5rAAQIDAAAAAABpj7ZnjrZqj7Zqj7ZnjrZtkbdukrdtkbdnjrZqj7ZojrZ3rdUCAwRL8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pvhAssgAAAAAAAAAAAAAA4L3q5AcCAAAAAAAABwIAAEgAAAAAAAAAkGJUif9/AAAgU12J/38AAMC/K4kAAAAAAQAAAAAAAABuflSJ/38AAAAAZtP/fwAAAAAAAAAAAAAAAAAAAAAAAAAAAAAAAAAAuqoYzk7fAABwCwAAAAAAACCgF+IHAgAAOMEQLLIAAAAAAAAAAAAAAAAAAAAAAAAAAAAAAAAAAAAAAAAAAAAAAJnAECyy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pviwiuv7EOMMJhqVILShonl/SEdelwgcE4zQfSNhscA=</DigestValue>
    </Reference>
    <Reference Type="http://www.w3.org/2000/09/xmldsig#Object" URI="#idOfficeObject">
      <DigestMethod Algorithm="http://www.w3.org/2001/04/xmlenc#sha256"/>
      <DigestValue>zXUKqdq2MVWpCemHMkRD+9/PQvJsVlok+KIAGGf5Djw=</DigestValue>
    </Reference>
    <Reference Type="http://uri.etsi.org/01903#SignedProperties" URI="#idSignedProperties">
      <Transforms>
        <Transform Algorithm="http://www.w3.org/TR/2001/REC-xml-c14n-20010315"/>
      </Transforms>
      <DigestMethod Algorithm="http://www.w3.org/2001/04/xmlenc#sha256"/>
      <DigestValue>ruQs8ivA02TU8aiDlvGHR8WezwtIpywS8wTncdNgdb8=</DigestValue>
    </Reference>
    <Reference Type="http://www.w3.org/2000/09/xmldsig#Object" URI="#idValidSigLnImg">
      <DigestMethod Algorithm="http://www.w3.org/2001/04/xmlenc#sha256"/>
      <DigestValue>a5I5gp7pjiD1UtybGuoB2l45uYoPJXAu/tu/kG5HN4M=</DigestValue>
    </Reference>
    <Reference Type="http://www.w3.org/2000/09/xmldsig#Object" URI="#idInvalidSigLnImg">
      <DigestMethod Algorithm="http://www.w3.org/2001/04/xmlenc#sha256"/>
      <DigestValue>Dnf6l7wflL9YVlVu2J9qq3q9tjo6njS8LHcVCB438ok=</DigestValue>
    </Reference>
  </SignedInfo>
  <SignatureValue>RgV4yiG5wdGj8N/hX+mvAAS7a2k4xtVlwllMaj/XVYyGmuSj8oENQS4/ZIzVkwAVUUDqYlECFpbq
6f7Fpx9+flgM5cKzp7UGQvxTnFJ4VlBjmhpAQEIfUXun+wsgjSQ0kAKGCj5UQKXOrwvcRb5lDwEb
+/Bu/NykEKTwqSitLEgAijB9/UT9qllWw9hyuH7m38BFK38VCQm+Su46z94y6+GBfo2Bt46TbzKX
Kn8v6e0ao+GA3YJSQI9UYF3oWOKR3wvu+vUtxTIGXUwnknfu5t4FeyMy+VZP9uSYlQ6wpP+Ar2BH
i8OdojJYkpEQtUHPZeM942MbAuPTsG3ZIQfDbg==</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2020-06-22T20:55:59Z</mdssi:Value>
        </mdssi:SignatureTime>
      </SignatureProperty>
    </SignatureProperties>
  </Object>
  <Object Id="idOfficeObject">
    <SignatureProperties>
      <SignatureProperty Id="idOfficeV1Details" Target="#idPackageSignature">
        <SignatureInfoV1 xmlns="http://schemas.microsoft.com/office/2006/digsig">
          <SetupID>{3A9BACB5-16B5-4EFA-A3DC-582852CADACD}</SetupID>
          <SignatureText>Eduardo Apud</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2020-06-22T20:55:59Z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Om+ECyyAAAAAAAAAAAAAADgverkBwIAAAAAAAAHAgAASAAAAAAAAACQYlSJ/38AACBTXYn/fwAAwL8riQAAAAABAAAAAAAAAG5+VIn/fwAAAABm0/9/AAAAAAAAAAAAAAAAAAAAAAAAAAAAAAAAAAC6qhjOTt8AAHALAAAAAAAAIKAX4gcCAAA4wRAssgAAAAAAAAAAAAAAAAAAAAAAAAAAAAAAAAAAAAAAAAAAAAAAmcAQLLI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Px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pvhAssgAAAAAAAAAAAAAA4L3q5AcCAAAAAAAABwIAAEgAAAAAAAAAkGJUif9/AAAgU12J/38AAMC/K4kAAAAAAQAAAAAAAABuflSJ/38AAAAAZtP/fwAAAAAAAAAAAAAAAAAAAAAAAAAAAAAAAAAAuqoYzk7fAABwCwAAAAAAACCgF+IHAgAAOMEQLLIAAAAAAAAAAAAAAAAAAAAAAAAAAAAAAAAAAAAAAAAAAAAAAJnAECyy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Q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ENUMadJnaGu5uxc8RLJ1PzMLA3JG+NgAa54XpTXaTv0=</DigestValue>
    </Reference>
    <Reference Type="http://www.w3.org/2000/09/xmldsig#Object" URI="#idOfficeObject">
      <DigestMethod Algorithm="http://www.w3.org/2001/04/xmlenc#sha256"/>
      <DigestValue>IOPCj8GVNdli8byE2roPH1nZhreE3Lnu+IoIPSxSGZs=</DigestValue>
    </Reference>
    <Reference Type="http://uri.etsi.org/01903#SignedProperties" URI="#idSignedProperties">
      <Transforms>
        <Transform Algorithm="http://www.w3.org/TR/2001/REC-xml-c14n-20010315"/>
      </Transforms>
      <DigestMethod Algorithm="http://www.w3.org/2001/04/xmlenc#sha256"/>
      <DigestValue>k1ExV12Hf0k4UnQS3n1v/i9+xW9S9B7WBCdU1w6BIC4=</DigestValue>
    </Reference>
    <Reference Type="http://www.w3.org/2000/09/xmldsig#Object" URI="#idValidSigLnImg">
      <DigestMethod Algorithm="http://www.w3.org/2001/04/xmlenc#sha256"/>
      <DigestValue>a5I5gp7pjiD1UtybGuoB2l45uYoPJXAu/tu/kG5HN4M=</DigestValue>
    </Reference>
    <Reference Type="http://www.w3.org/2000/09/xmldsig#Object" URI="#idInvalidSigLnImg">
      <DigestMethod Algorithm="http://www.w3.org/2001/04/xmlenc#sha256"/>
      <DigestValue>Dnf6l7wflL9YVlVu2J9qq3q9tjo6njS8LHcVCB438ok=</DigestValue>
    </Reference>
  </SignedInfo>
  <SignatureValue>Z9tMeICNDNACP8WkiW9jlyupN++tvHYAtKu2oM5aaRm+0qA1IHEfJSBv6gocuCydC6d+vjt5bSEF
vpXXxIDR7/aZ1mj0q0QVZkMb6nGZHieq/vPLEQe6ppS/z1cJP1DjzVXMXeE//p+7EFJpuXKiKJ6/
vpH8jc2wSNkR9BDtoOGYbo/g/nn+MDh4jJJ6dgQP5pj0JQU08QrXixcPs49IG2mT9bIGXXpqISx4
FMfW8yBkx2OvsVCYxmP71ob42Qv3/ndo63VbBQVd/828PGd4WgmgURF4r3VCz0ZK3DDp0LyyefOb
b55dvgWqtxsxdyqaeXdSLwBCuI+1hAOhbnkC4g==</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2020-06-22T20:56:13Z</mdssi:Value>
        </mdssi:SignatureTime>
      </SignatureProperty>
    </SignatureProperties>
  </Object>
  <Object Id="idOfficeObject">
    <SignatureProperties>
      <SignatureProperty Id="idOfficeV1Details" Target="#idPackageSignature">
        <SignatureInfoV1 xmlns="http://schemas.microsoft.com/office/2006/digsig">
          <SetupID>{5962CDFC-225A-4877-A58E-D49C5C9D28F1}</SetupID>
          <SignatureText>Eduardo Apud</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2020-06-22T20:56:13Z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Om+ECyyAAAAAAAAAAAAAADgverkBwIAAAAAAAAHAgAASAAAAAAAAACQYlSJ/38AACBTXYn/fwAAwL8riQAAAAABAAAAAAAAAG5+VIn/fwAAAABm0/9/AAAAAAAAAAAAAAAAAAAAAAAAAAAAAAAAAAC6qhjOTt8AAHALAAAAAAAAIKAX4gcCAAA4wRAssgAAAAAAAAAAAAAAAAAAAAAAAAAAAAAAAAAAAAAAAAAAAAAAmcAQLLI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Px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pvhAssgAAAAAAAAAAAAAA4L3q5AcCAAAAAAAABwIAAEgAAAAAAAAAkGJUif9/AAAgU12J/38AAMC/K4kAAAAAAQAAAAAAAABuflSJ/38AAAAAZtP/fwAAAAAAAAAAAAAAAAAAAAAAAAAAAAAAAAAAuqoYzk7fAABwCwAAAAAAACCgF+IHAgAAOMEQLLIAAAAAAAAAAAAAAAAAAAAAAAAAAAAAAAAAAAAAAAAAAAAAAJnAECyy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Q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BBjsvqAXQI/0NZR5UhdJVjct7JA+FbLmAw9qK1oxzGk=</DigestValue>
    </Reference>
    <Reference Type="http://www.w3.org/2000/09/xmldsig#Object" URI="#idOfficeObject">
      <DigestMethod Algorithm="http://www.w3.org/2001/04/xmlenc#sha256"/>
      <DigestValue>SFMyBiLYKGnVYq5HCXyGQmmsb6bgUqBhvHyMOVQoLLo=</DigestValue>
    </Reference>
    <Reference Type="http://uri.etsi.org/01903#SignedProperties" URI="#idSignedProperties">
      <Transforms>
        <Transform Algorithm="http://www.w3.org/TR/2001/REC-xml-c14n-20010315"/>
      </Transforms>
      <DigestMethod Algorithm="http://www.w3.org/2001/04/xmlenc#sha256"/>
      <DigestValue>qrW8y8PuHTdf/V9han6Sbt4OfPoAOUtJXj9x72zPeDw=</DigestValue>
    </Reference>
    <Reference Type="http://www.w3.org/2000/09/xmldsig#Object" URI="#idValidSigLnImg">
      <DigestMethod Algorithm="http://www.w3.org/2001/04/xmlenc#sha256"/>
      <DigestValue>a5I5gp7pjiD1UtybGuoB2l45uYoPJXAu/tu/kG5HN4M=</DigestValue>
    </Reference>
    <Reference Type="http://www.w3.org/2000/09/xmldsig#Object" URI="#idInvalidSigLnImg">
      <DigestMethod Algorithm="http://www.w3.org/2001/04/xmlenc#sha256"/>
      <DigestValue>tlCh4RszsHGZlBcLxE6bS1ltZleyhQ2qQuLmhUbiUZE=</DigestValue>
    </Reference>
  </SignedInfo>
  <SignatureValue>g9pHgbsBAQxEGU2ol6r6VhA2d+jcpuxSIjPRLN2I8s0lfzmEouEAIu1iSO2GgEOkRd4pch+NRcsH
1H8CsFf83IqpYZtRlvsIV5xhE4XoCNK/GuSrqqxktjBgAq0HmlQzJF1+LZyHhMKRIV3vlVpuiyAo
hEnkovqJZ89UIj54Mi+3sN1CsyBaERpRo4Qbs+n0nTmnp/MTwnKVocw/Mgc0P00Ekqh2tSL6IOp8
r7vmDruhm36mcvB64aDzKwLjpHAfB+Y935Dn4M4Gymsh64xYRphF7O7nS9n5vxgBEiZdEwpz1GPH
lqvXpLWzJM8l3x6YkhladtheyMKslrJ6Hj5xNw==</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2020-06-22T20:56:24Z</mdssi:Value>
        </mdssi:SignatureTime>
      </SignatureProperty>
    </SignatureProperties>
  </Object>
  <Object Id="idOfficeObject">
    <SignatureProperties>
      <SignatureProperty Id="idOfficeV1Details" Target="#idPackageSignature">
        <SignatureInfoV1 xmlns="http://schemas.microsoft.com/office/2006/digsig">
          <SetupID>{293CC028-E920-43E7-AA1C-30E20B08E326}</SetupID>
          <SignatureText>Eduardo Apud</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2020-06-22T20:56:24Z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Om+ECyyAAAAAAAAAAAAAADgverkBwIAAAAAAAAHAgAASAAAAAAAAACQYlSJ/38AACBTXYn/fwAAwL8riQAAAAABAAAAAAAAAG5+VIn/fwAAAABm0/9/AAAAAAAAAAAAAAAAAAAAAAAAAAAAAAAAAAC6qhjOTt8AAHALAAAAAAAAIKAX4gcCAAA4wRAssgAAAAAAAAAAAAAAAAAAAAAAAAAAAAAAAAAAAAAAAAAAAAAAmcAQLLI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N8QAAAAcKDQcKDQcJDQ4WMShFrjFU1TJV1gECBAIDBAECBQoRKyZBowsTMQAAAAAAfqbJd6PIeqDCQFZ4JTd0Lk/HMVPSGy5uFiE4GypVJ0KnHjN9AAABPfEAAACcz+7S6ffb7fnC0t1haH0hMm8aLXIuT8ggOIwoRKslP58cK08AAAEAAAAAAMHg9P///////////+bm5k9SXjw/SzBRzTFU0y1NwSAyVzFGXwEBAk3xCA8mnM/u69/SvI9jt4tgjIR9FBosDBEjMVTUMlXWMVPRKUSeDxk4AAAAAAAAAADT6ff///////+Tk5MjK0krSbkvUcsuT8YVJFoTIFIrSbgtTcEQHEc98QAAAJzP7vT6/bTa8kRleixHhy1Nwi5PxiQtTnBwcJKSki81SRwtZAgOIwAAAAAAweD02+35gsLqZ5q6Jz1jNEJyOUZ4qamp+/v7////wdPeVnCJAQECTfEAAACv1/Ho8/ubzu6CwuqMudS3u769vb3////////////L5fZymsABAgMAAAAAAK/X8fz9/uLx+snk9uTy+vz9/v///////////////8vl9nKawAECA1/xAAAAotHvtdryxOL1xOL1tdry0+r32+350+r3tdryxOL1pdPvc5rAAQIDAAAAAABpj7ZnjrZqj7Zqj7ZnjrZtkbdukrdtkbdnjrZqj7ZojrZ3rdUCAwRN8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pvhAssgAAAAAAAAAAAAAA4L3q5AcCAAAAAAAABwIAAEgAAAAAAAAAkGJUif9/AAAgU12J/38AAMC/K4kAAAAAAQAAAAAAAABuflSJ/38AAAAAZtP/fwAAAAAAAAAAAAAAAAAAAAAAAAAAAAAAAAAAuqoYzk7fAABwCwAAAAAAACCgF+IHAgAAOMEQLLIAAAAAAAAAAAAAAAAAAAAAAAAAAAAAAAAAAAAAAAAAAAAAAJnAECyy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Q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APfkfp3Pr5enp5ZDj6m5GEn+fmhddYyL0lGRU5htPMo=</DigestValue>
    </Reference>
    <Reference Type="http://www.w3.org/2000/09/xmldsig#Object" URI="#idOfficeObject">
      <DigestMethod Algorithm="http://www.w3.org/2001/04/xmlenc#sha256"/>
      <DigestValue>njMGojDDd4AXkVMkBYFvWeD5iopBqFfrhk56Rx5PcnU=</DigestValue>
    </Reference>
    <Reference Type="http://uri.etsi.org/01903#SignedProperties" URI="#idSignedProperties">
      <Transforms>
        <Transform Algorithm="http://www.w3.org/TR/2001/REC-xml-c14n-20010315"/>
      </Transforms>
      <DigestMethod Algorithm="http://www.w3.org/2001/04/xmlenc#sha256"/>
      <DigestValue>uUjhrNCL4SebckGP0wsS+/jTTtkrHRgvl27E2CrkmoY=</DigestValue>
    </Reference>
    <Reference Type="http://www.w3.org/2000/09/xmldsig#Object" URI="#idValidSigLnImg">
      <DigestMethod Algorithm="http://www.w3.org/2001/04/xmlenc#sha256"/>
      <DigestValue>a5I5gp7pjiD1UtybGuoB2l45uYoPJXAu/tu/kG5HN4M=</DigestValue>
    </Reference>
    <Reference Type="http://www.w3.org/2000/09/xmldsig#Object" URI="#idInvalidSigLnImg">
      <DigestMethod Algorithm="http://www.w3.org/2001/04/xmlenc#sha256"/>
      <DigestValue>Dnf6l7wflL9YVlVu2J9qq3q9tjo6njS8LHcVCB438ok=</DigestValue>
    </Reference>
  </SignedInfo>
  <SignatureValue>HE7hK/qQ0rWuH0MDS5lvesysjKhO4EWuEuB3YjrQUNBvhmwvQxO7I+MyUr6Bvb72eI4eJLjAkwxY
0o5w5Bufh+RKeReJLePvGWSG90Z42/12NBoUh2otFrMLG6TEe7xaHVkdg4IFoe+n5Ac0VIaL1rH/
ZAoCE6RDxWyv21za0WMzF8iiks7CnNo5Mds/nzbs3lkq0gIufE8hNEheZaXqOV2s49zi/SAvAMET
AZkA4PX12X43bx56xbOoRVxFlm/HoE/Ve0UiVnXE/wCj58UJ0zXpzq8/IaDYfY37OZ02OHQaI9kW
QRNjfvM87dQnVQHBa9cbIOxSsPDiUfCLBh2d9w==</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2020-06-22T20:56:35Z</mdssi:Value>
        </mdssi:SignatureTime>
      </SignatureProperty>
    </SignatureProperties>
  </Object>
  <Object Id="idOfficeObject">
    <SignatureProperties>
      <SignatureProperty Id="idOfficeV1Details" Target="#idPackageSignature">
        <SignatureInfoV1 xmlns="http://schemas.microsoft.com/office/2006/digsig">
          <SetupID>{6457F7F3-3BC8-4F48-A405-E8266B4BCE91}</SetupID>
          <SignatureText>Eduardo Apud</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2020-06-22T20:56:35Z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r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Om+ECyyAAAAAAAAAAAAAADgverkBwIAAAAAAAAHAgAASAAAAAAAAACQYlSJ/38AACBTXYn/fwAAwL8riQAAAAABAAAAAAAAAG5+VIn/fwAAAABm0/9/AAAAAAAAAAAAAAAAAAAAAAAAAAAAAAAAAAC6qhjOTt8AAHALAAAAAAAAIKAX4gcCAAA4wRAssgAAAAAAAAAAAAAAAAAAAAAAAAAAAAAAAAAAAAAAAAAAAAAAmcAQLLI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GAAARAsAACBFTUYAAAEASB8AALA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Px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pvhAssgAAAAAAAAAAAAAA4L3q5AcCAAAAAAAABwIAAEgAAAAAAAAAkGJUif9/AAAgU12J/38AAMC/K4kAAAAAAQAAAAAAAABuflSJ/38AAAAAZtP/fwAAAAAAAAAAAAAAAAAAAAAAAAAAAAAAAAAAuqoYzk7fAABwCwAAAAAAACCgF+IHAgAAOMEQLLIAAAAAAAAAAAAAAAAAAAAAAAAAAAAAAAAAAAAAAAAAAAAAAJnAECyy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D///8CAAAAYFZm0/9/AAAJAAAAAAAAAAkAAAAHAgAApZv0iP9/AAAAAAAAAAAAAP////8AAAAAWLgPLLIAAABQi6HkBwIAABEAAAD/fwAAAAAAAAAAAAAAAAAAAAAAAAAAAAAAAAAAYAfL0P9/AAARAAAAAAAAAGC2h+0AAAAAyLDW0P9/AAAAAAAAAAAAAP7/////////e0ymx/9/AAAAAAAAAAAAAAAAAAAAAAAACqEHzk7fAABGf7fQAAAAAKpzlHZ6KQAAAAFU2QcCAAAgoBfiBwIAALC5DyyyAAAAAAAAAAAAAAAHAAAAAAAAAAAAAAAAAAAA7LgPL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DwnZDxBwIAAAAAAAAAAAAAAQAAAAAAAADggxLiBwIAAFAtZOoHAgAAV97mN/k71gECAAAAAAAAAABKxoP/fwAAyErGg/9/AAADAAAAAAAAACjay4P/fwAA6N7Lg/9/AABgB8vQ/38AAAB6bfEHAgAAAgAAAAAAAADIsNbQ/38AAAAAAAAAAAAApLOQeqMLAAACAAAAAAAAAAAAAAAAAAAAAAAAAAAAAADaswfOTt8AAAAAAAAAAAAA6N7Lg/9/AADg////AAAAACCgF+IHAgAAGKgPLLIAAAAAAAAAAAAAAAYAAAAAAAAAAAAAAAAAAAA8pw8s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PBbbfEAAIA/HDwAgwAAgD8AAIA/AACAP/7/////////ELAPLLIAAADwW23xAAAAAP////8AAAAAAAAAAAAAAAAIAAAAAAAAAGAHy9D/fwAAIFtt8QAAgD8cPACDAAAAAMiw1tD/fwAAAAAAAAAAAAAEs5B6owsAAAAIAAAAAAAAAAAAAAAAAAAAAAAAAAAAADqyB85O3wAAAAAAAAAAAAAALDPxAACAP/D///8AAAAAIKAX4gcCAAC4qA8ssgAAAAAAAAAAAAAACQAAAAAAAAAAAAAAAAAAANynDyxkdgAIAAAAACUAAAAMAAAABAAAABgAAAAMAAAAAAAAABIAAAAMAAAAAQAAAB4AAAAYAAAAKQAAADMAAACOAAAASAAAACUAAAAMAAAABAAAAFQAAACUAAAAKgAAADMAAACMAAAARwAAAAEAAABh97RBVTW0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Yfe0QVU1tE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Yfe0QVU1tEEKAAAAYAAAAA8AAABMAAAAAAAAAAAAAAAAAAAA//////////9sAAAAUwBpAG4AZABpAGMAbwAgAFQAaQB0AHUAbABhAHIAaQ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Bh97RBVTW0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P62Ow19PMsB4fpv9D0YJpgEuG+UYiWEsVcBnUT86rnk=</DigestValue>
    </Reference>
    <Reference Type="http://www.w3.org/2000/09/xmldsig#Object" URI="#idOfficeObject">
      <DigestMethod Algorithm="http://www.w3.org/2001/04/xmlenc#sha256"/>
      <DigestValue>gJz8fJMlzvIGBLcHUrVc2FzG3NjxWVZ3cb7CJ10Ovl4=</DigestValue>
    </Reference>
    <Reference Type="http://uri.etsi.org/01903#SignedProperties" URI="#idSignedProperties">
      <Transforms>
        <Transform Algorithm="http://www.w3.org/TR/2001/REC-xml-c14n-20010315"/>
      </Transforms>
      <DigestMethod Algorithm="http://www.w3.org/2001/04/xmlenc#sha256"/>
      <DigestValue>sLcciG1Pl589N7VK9tvStyS4Wm5AUilSnOT1mjvoeAw=</DigestValue>
    </Reference>
    <Reference Type="http://www.w3.org/2000/09/xmldsig#Object" URI="#idValidSigLnImg">
      <DigestMethod Algorithm="http://www.w3.org/2001/04/xmlenc#sha256"/>
      <DigestValue>TSVCDudXwtH3Udmr4gnn7+s8zSyJfKb77SZFsA/51l4=</DigestValue>
    </Reference>
    <Reference Type="http://www.w3.org/2000/09/xmldsig#Object" URI="#idInvalidSigLnImg">
      <DigestMethod Algorithm="http://www.w3.org/2001/04/xmlenc#sha256"/>
      <DigestValue>G3dIuyHWQSTxM3lF3AOWplNdi9mG8b6mqgpjwQG2RJI=</DigestValue>
    </Reference>
  </SignedInfo>
  <SignatureValue>nJwP5uMsDX3xt/1xvFsNFoPWqAsMOOvoXP4DNW27K8eUeqlXunku4WtmHLeK5e95HhS6bV3tLr3c
rpDFtjb1Pb0oP3y/dGXp/qnmbh+t+Ty1QcJtYGW2wfVpWto0yEIJ9hbeDd0xuG/3keRkN9Sq+FEY
N6f687Bb0YkjGf4nPmI91YEz6X0t6vO4zha0tSJQGZOJDPVDm9xOCTOBKTi8lQfzJVAPNbYFJyN8
KH+ruiFmsr1EWbhUbDqB+B6SOwJCH45bzVywTh6gf960rjcnLQBy4C+7h6DcyWxedCRQIlGM8Jhd
JtmKdnonvG8tPDicWyP2CMF0aq2BsOimnoehTA==</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2020-06-22T15:02:25Z</mdssi:Value>
        </mdssi:SignatureTime>
      </SignatureProperty>
    </SignatureProperties>
  </Object>
  <Object Id="idOfficeObject">
    <SignatureProperties>
      <SignatureProperty Id="idOfficeV1Details" Target="#idPackageSignature">
        <SignatureInfoV1 xmlns="http://schemas.microsoft.com/office/2006/digsig">
          <SetupID>{6110ACDB-F4C0-4337-9EA6-1D6A08A0C4E4}</SetupID>
          <SignatureText>Gustavo Segovia</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2020-06-22T15:02:25Z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nW8vt/AAAAAAAAAAAAACgSAAAAAAAAQAAAwPt/AADARiXw+38AAD6cMZD7fwAABAAAAAAAAADARiXw+38AACm93j/AAAAAAAAAAAAAAABA8AdnKgIAAAAAAAAqAgAASAAAAAAAAACQYpGQ+38AACBTmpD7fwAAwL9okAAAAAABAAAAAAAAAG5+kZD7fwAAAAAl8Pt/AAAAAAAAAAAAAAAAAAAAAAAAAAAAAAAAAABazl1S+JsAAHALAAAAAAAAQPdxZyoCAAB4v94/wAAAAAAAAAAAAAAAAAAAAAAAAAAAAAAAAAAAAAAAAAAAAAAA2b7eP8AAAADfdTGQZHYACAAAAAAlAAAADAAAAAEAAAAYAAAADAAAAAAAAAASAAAADAAAAAEAAAAeAAAAGAAAAMMAAAAEAAAA9wAAABEAAAAlAAAADAAAAAEAAABUAAAAhAAAAMQAAAAEAAAA9QAAABAAAAABAAAA0XbJQasKyUHEAAAABAAAAAkAAABMAAAAAAAAAAAAAAAAAAAA//////////9gAAAAMgAyAC8ANg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P///wEAAABQViXw+38AAAkAAAAAAAAACQAAACoCAAClmzGQ+38AAAAAAAAAAAAA/////wAAAABY394/wAAAAHBE6W0qAgAAEQAAAPt/AAAAAAAAAAAAAAAAAAAAAAAAAAAAAAAAAAAgB3fv+38AABEAAAAAAAAAcEbobQAAAADIsILv+38AAAAAAAAAAAAA/v////////+rTpXX+38AAAAAAAAAAAAAAAAAAAAAAAAqr11S+JsAALZ6Y+8AAAAAdHtI0l9bAABAn1teKgIAAED3cWcqAgAAsODeP8AAAAAAAAAAAAAAAAcAAAAAAAAAAAAAAAAAAADs394/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ECk7BgqAgAAAAAAAAAAAAABAAAAAAAAAMDicWcqAgAAcBHpcyoCAADp+SgBlU/WAQIAAAAAAAAAAEq9j/t/AADISr2P+38AAAMAAAAAAAAAKNrCj/t/AADo3sKP+38AACAHd+/7fwAAYO30eCoCAAACAAAAAAAAAMiwgu/7fwAAAAAAAAAAAAA5j6wHweQAAAIAAAAAAAAAAAAAAAAAAAAAAAAAAAAAAKq1XlL4mwAAAAAAAAAAAADo3sKP+38AAOD///8AAAAAQPdxZyoCAABIy90/wAAAAAAAAAAAAAAABgAAAAAAAAAAAAAAAAAAAGzK3T9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gD2ReAAAgD8cPACPAACAPwAAgD8AAIA//v////////9A090/wAAAAIA9kXgAAAAA/////wAAAAAAAAAAAAAAAAgAAAAAAAAAIAd37/t/AABgT5F4AACAPxw8AI8AAAAAyLCC7/t/AAAAAAAAAAAAANmPrAfB5AAAAAgAAAAAAAAAAAAAAAAAAAAAAAAAAAAAyrpeUvibAAAAAAAAAAAAALB11xgAAIA/8P///wAAAABA93FnKgIAAOjL3T/AAAAAAAAAAAAAAAAJAAAAAAAAAAAAAAAAAAAADMvdP2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p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1QY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1vL7fwAAAAAAAAAAAAAoEgAAAAAAAEAAAMD7fwAAwEYl8Pt/AAA+nDGQ+38AAAQAAAAAAAAAwEYl8Pt/AAApvd4/wAAAAAAAAAAAAAAAQPAHZyoCAAAAAAAAKgIAAEgAAAAAAAAAkGKRkPt/AAAgU5qQ+38AAMC/aJAAAAAAAQAAAAAAAABufpGQ+38AAAAAJfD7fwAAAAAAAAAAAAAAAAAAAAAAAAAAAAAAAAAAWs5dUvibAABwCwAAAAAAAED3cWcqAgAAeL/eP8AAAAAAAAAAAAAAAAAAAAAAAAAAAAAAAAAAAAAAAAAAAAAAANm+3j/AAAAA33Uxk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D///8BAAAAUFYl8Pt/AAAJAAAAAAAAAAkAAAAqAgAApZsxkPt/AAAAAAAAAAAAAP////8AAAAAWN/eP8AAAABwROltKgIAABEAAAD7fwAAAAAAAAAAAAAAAAAAAAAAAAAAAAAAAAAAIAd37/t/AAARAAAAAAAAAHBG6G0AAAAAyLCC7/t/AAAAAAAAAAAAAP7/////////q06V1/t/AAAAAAAAAAAAAAAAAAAAAAAAKq9dUvibAAC2emPvAAAAAHR7SNJfWwAAQJ9bXioCAABA93FnKgIAALDg3j/AAAAAAAAAAAAAAAAHAAAAAAAAAAAAAAAAAAAA7N/eP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pOwYKgIAAAAAAAAAAAAAAQAAAAAAAADA4nFnKgIAAHAR6XMqAgAA6fkoAZVP1gECAAAAAAAAAABKvY/7fwAAyEq9j/t/AAADAAAAAAAAACjawo/7fwAA6N7Cj/t/AAAgB3fv+38AAGDt9HgqAgAAAgAAAAAAAADIsILv+38AAAAAAAAAAAAAOY+sB8HkAAACAAAAAAAAAAAAAAAAAAAAAAAAAAAAAACqtV5S+JsAAAAAAAAAAAAA6N7Cj/t/AADg////AAAAAED3cWcqAgAASMvdP8AAAAAAAAAAAAAAAAYAAAAAAAAAAAAAAAAAAABsyt0/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IA9kXgAAIA/HDwAjwAAgD8AAIA/AACAP/7/////////QNPdP8AAAACAPZF4AAAAAP////8AAAAAAAAAAAAAAAAIAAAAAAAAACAHd+/7fwAAYE+ReAAAgD8cPACPAAAAAMiwgu/7fwAAAAAAAAAAAADZj6wHweQAAAAIAAAAAAAAAAAAAAAAAAAAAAAAAAAAAMq6XlL4mwAAAAAAAAAAAACwddcYAACAP/D///8AAAAAQPdxZyoCAADoy90/wAAAAAAAAAAAAAAACQAAAAAAAAAAAAAAAAAAAAzL3T9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V2XIThoDo2KU92rT0H18QJsWYB8hxMKoEKsZRGsVaVw=</DigestValue>
    </Reference>
    <Reference Type="http://www.w3.org/2000/09/xmldsig#Object" URI="#idOfficeObject">
      <DigestMethod Algorithm="http://www.w3.org/2001/04/xmlenc#sha256"/>
      <DigestValue>sCUlJgZJRT7MlJ0A4Z4wdb1X2duxLwOPFe4m4RgA7/c=</DigestValue>
    </Reference>
    <Reference Type="http://uri.etsi.org/01903#SignedProperties" URI="#idSignedProperties">
      <Transforms>
        <Transform Algorithm="http://www.w3.org/TR/2001/REC-xml-c14n-20010315"/>
      </Transforms>
      <DigestMethod Algorithm="http://www.w3.org/2001/04/xmlenc#sha256"/>
      <DigestValue>iFpKutYh8DZw2/Ycp1M74p31mAEqAOr143j3R/SswHY=</DigestValue>
    </Reference>
    <Reference Type="http://www.w3.org/2000/09/xmldsig#Object" URI="#idValidSigLnImg">
      <DigestMethod Algorithm="http://www.w3.org/2001/04/xmlenc#sha256"/>
      <DigestValue>TSVCDudXwtH3Udmr4gnn7+s8zSyJfKb77SZFsA/51l4=</DigestValue>
    </Reference>
    <Reference Type="http://www.w3.org/2000/09/xmldsig#Object" URI="#idInvalidSigLnImg">
      <DigestMethod Algorithm="http://www.w3.org/2001/04/xmlenc#sha256"/>
      <DigestValue>PnwOxVCKCzirbmZD6pxxWtQJsYhYL88jaDPTPYpHnyA=</DigestValue>
    </Reference>
  </SignedInfo>
  <SignatureValue>FSaFa/IYygsYSTSnsVCKn5I4VocwQnaqRc36rW9ui2SU4QXyYkcBF4dek/MuvX9Lto+Sk8eg2p54
aV0HirJvr+lU2E86nU+f8pA2gJ+MrtYffwtjZKdWB5OoJZ5PEQKcvyhA8JplUUuGjfzeU8FmEL0U
Kgj/XXzXJfYL7VvdBUyBasME7Jn5MggPn5eljnscHM9CkOtVlN2g8QjrLON9H+JpNMjsNRuneUaK
zBsiszfE9jrXOLYN+DP7ruylvpQRpMWvLXj8UnwJNoNeSCGPzkX9T2qd37L9sRg0qinOnKZe6tcZ
10bAaFFzScz49NPf6Mfi5wREXvFAafHs2qH0Sg==</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2020-06-22T15:02:51Z</mdssi:Value>
        </mdssi:SignatureTime>
      </SignatureProperty>
    </SignatureProperties>
  </Object>
  <Object Id="idOfficeObject">
    <SignatureProperties>
      <SignatureProperty Id="idOfficeV1Details" Target="#idPackageSignature">
        <SignatureInfoV1 xmlns="http://schemas.microsoft.com/office/2006/digsig">
          <SetupID>{956094DB-C4D3-4D68-A2E8-FCB9D662A2E8}</SetupID>
          <SignatureText>Gustavo Segovia</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2020-06-22T15:02:51Z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nW8vt/AAAAAAAAAAAAACgSAAAAAAAAQAAAwPt/AADARiXw+38AAD6cMZD7fwAABAAAAAAAAADARiXw+38AACm93j/AAAAAAAAAAAAAAABA8AdnKgIAAAAAAAAqAgAASAAAAAAAAACQYpGQ+38AACBTmpD7fwAAwL9okAAAAAABAAAAAAAAAG5+kZD7fwAAAAAl8Pt/AAAAAAAAAAAAAAAAAAAAAAAAAAAAAAAAAABazl1S+JsAAHALAAAAAAAAQPdxZyoCAAB4v94/wAAAAAAAAAAAAAAAAAAAAAAAAAAAAAAAAAAAAAAAAAAAAAAA2b7eP8AAAADfdTGQZHYACAAAAAAlAAAADAAAAAEAAAAYAAAADAAAAAAAAAASAAAADAAAAAEAAAAeAAAAGAAAAMMAAAAEAAAA9wAAABEAAAAlAAAADAAAAAEAAABUAAAAhAAAAMQAAAAEAAAA9QAAABAAAAABAAAA0XbJQasKyUHEAAAABAAAAAkAAABMAAAAAAAAAAAAAAAAAAAA//////////9gAAAAMgAyAC8ANg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P///wEAAABQViXw+38AAAkAAAAAAAAACQAAACoCAAClmzGQ+38AAAAAAAAAAAAA/////wAAAABY394/wAAAAHBE6W0qAgAAEQAAAPt/AAAAAAAAAAAAAAAAAAAAAAAAAAAAAAAAAAAgB3fv+38AABEAAAAAAAAAcEbobQAAAADIsILv+38AAAAAAAAAAAAA/v////////+rTpXX+38AAAAAAAAAAAAAAAAAAAAAAAAqr11S+JsAALZ6Y+8AAAAAdHtI0l9bAABAn1teKgIAAED3cWcqAgAAsODeP8AAAAAAAAAAAAAAAAcAAAAAAAAAAAAAAAAAAADs394/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ECk7BgqAgAAAAAAAAAAAAABAAAAAAAAAMDicWcqAgAAcBHpcyoCAADp+SgBlU/WAQIAAAAAAAAAAEq9j/t/AADISr2P+38AAAMAAAAAAAAAKNrCj/t/AADo3sKP+38AACAHd+/7fwAAYO30eCoCAAACAAAAAAAAAMiwgu/7fwAAAAAAAAAAAAA5j6wHweQAAAIAAAAAAAAAAAAAAAAAAAAAAAAAAAAAAKq1XlL4mwAAAAAAAAAAAADo3sKP+38AAOD///8AAAAAQPdxZyoCAABIy90/wAAAAAAAAAAAAAAABgAAAAAAAAAAAAAAAAAAAGzK3T9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gD2ReAAAgD8cPACPAACAPwAAgD8AAIA//v////////9A090/wAAAAIA9kXgAAAAA/////wAAAAAAAAAAAAAAAAgAAAAAAAAAIAd37/t/AABgT5F4AACAPxw8AI8AAAAAyLCC7/t/AAAAAAAAAAAAANmPrAfB5AAAAAgAAAAAAAAAAAAAAAAAAAAAAAAAAAAAyrpeUvibAAAAAAAAAAAAALB11xgAAIA/8P///wAAAABA93FnKgIAAOjL3T/AAAAAAAAAAAAAAAAJAAAAAAAAAAAAAAAAAAAADMvdP2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p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4Zz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1vL7fwAAAAAAAAAAAAAoEgAAAAAAAEAAAMD7fwAAwEYl8Pt/AAA+nDGQ+38AAAQAAAAAAAAAwEYl8Pt/AAApvd4/wAAAAAAAAAAAAAAAQPAHZyoCAAAAAAAAKgIAAEgAAAAAAAAAkGKRkPt/AAAgU5qQ+38AAMC/aJAAAAAAAQAAAAAAAABufpGQ+38AAAAAJfD7fwAAAAAAAAAAAAAAAAAAAAAAAAAAAAAAAAAAWs5dUvibAABwCwAAAAAAAED3cWcqAgAAeL/eP8AAAAAAAAAAAAAAAAAAAAAAAAAAAAAAAAAAAAAAAAAAAAAAANm+3j/AAAAA33Uxk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D///8BAAAAUFYl8Pt/AAAJAAAAAAAAAAkAAAAqAgAApZsxkPt/AAAAAAAAAAAAAP////8AAAAAWN/eP8AAAABwROltKgIAABEAAAD7fwAAAAAAAAAAAAAAAAAAAAAAAAAAAAAAAAAAIAd37/t/AAARAAAAAAAAAHBG6G0AAAAAyLCC7/t/AAAAAAAAAAAAAP7/////////q06V1/t/AAAAAAAAAAAAAAAAAAAAAAAAKq9dUvibAAC2emPvAAAAAHR7SNJfWwAAQJ9bXioCAABA93FnKgIAALDg3j/AAAAAAAAAAAAAAAAHAAAAAAAAAAAAAAAAAAAA7N/eP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pOwYKgIAAAAAAAAAAAAAAQAAAAAAAADA4nFnKgIAAHAR6XMqAgAA6fkoAZVP1gECAAAAAAAAAABKvY/7fwAAyEq9j/t/AAADAAAAAAAAACjawo/7fwAA6N7Cj/t/AAAgB3fv+38AAGDt9HgqAgAAAgAAAAAAAADIsILv+38AAAAAAAAAAAAAOY+sB8HkAAACAAAAAAAAAAAAAAAAAAAAAAAAAAAAAACqtV5S+JsAAAAAAAAAAAAA6N7Cj/t/AADg////AAAAAED3cWcqAgAASMvdP8AAAAAAAAAAAAAAAAYAAAAAAAAAAAAAAAAAAABsyt0/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IA9kXgAAIA/HDwAjwAAgD8AAIA/AACAP/7/////////QNPdP8AAAACAPZF4AAAAAP////8AAAAAAAAAAAAAAAAIAAAAAAAAACAHd+/7fwAAYE+ReAAAgD8cPACPAAAAAMiwgu/7fwAAAAAAAAAAAADZj6wHweQAAAAIAAAAAAAAAAAAAAAAAAAAAAAAAAAAAMq6XlL4mwAAAAAAAAAAAACwddcYAACAP/D///8AAAAAQPdxZyoCAADoy90/wAAAAAAAAAAAAAAACQAAAAAAAAAAAAAAAAAAAAzL3T9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DBhWPkYfl/FRbsMlGstWDygXPmNrKZ93sA1tF5+VTRo=</DigestValue>
    </Reference>
    <Reference Type="http://www.w3.org/2000/09/xmldsig#Object" URI="#idOfficeObject">
      <DigestMethod Algorithm="http://www.w3.org/2001/04/xmlenc#sha256"/>
      <DigestValue>0GZog+cBJNGfyWMDjQ7x91qXwA358Rmu9wSY6bp36T4=</DigestValue>
    </Reference>
    <Reference Type="http://uri.etsi.org/01903#SignedProperties" URI="#idSignedProperties">
      <Transforms>
        <Transform Algorithm="http://www.w3.org/TR/2001/REC-xml-c14n-20010315"/>
      </Transforms>
      <DigestMethod Algorithm="http://www.w3.org/2001/04/xmlenc#sha256"/>
      <DigestValue>NC3d9gNHzNxQUOPnge5mV7GqJnAVUqCMKtzG0plPHx8=</DigestValue>
    </Reference>
    <Reference Type="http://www.w3.org/2000/09/xmldsig#Object" URI="#idValidSigLnImg">
      <DigestMethod Algorithm="http://www.w3.org/2001/04/xmlenc#sha256"/>
      <DigestValue>TSVCDudXwtH3Udmr4gnn7+s8zSyJfKb77SZFsA/51l4=</DigestValue>
    </Reference>
    <Reference Type="http://www.w3.org/2000/09/xmldsig#Object" URI="#idInvalidSigLnImg">
      <DigestMethod Algorithm="http://www.w3.org/2001/04/xmlenc#sha256"/>
      <DigestValue>G3dIuyHWQSTxM3lF3AOWplNdi9mG8b6mqgpjwQG2RJI=</DigestValue>
    </Reference>
  </SignedInfo>
  <SignatureValue>FwJSglMBEQTjwukUUixnCNPvzUb0PllSv3aWgazSZsx/+HOSbEHKh12hQdJdSTYJyRDT8yigl0jp
eE2UoDtqsFvYIXswcHqkCM5hbPJNNZHxNHZykD8YhgyaoRCWWnIS5ID5ULRjanrnyKDEM9trpW43
PNcCforAaVsD2vLv26BIpHpm8CxQBXPJ5BmrHHq8JMaIXKSNHOjSTE+I5RkRNk+Lb/wGcKl+lx6E
TVkKJYnlsrwmDuIWxilfPTzgaOxe5l0/3unDY7mEf18lb2lF0qmlfyyAPNc/3TdCvpr673m0WIIF
YdMTDSc8pKn7vldE4GakNtkDw3WtfyuLDdvPmA==</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2020-06-22T15:03:08Z</mdssi:Value>
        </mdssi:SignatureTime>
      </SignatureProperty>
    </SignatureProperties>
  </Object>
  <Object Id="idOfficeObject">
    <SignatureProperties>
      <SignatureProperty Id="idOfficeV1Details" Target="#idPackageSignature">
        <SignatureInfoV1 xmlns="http://schemas.microsoft.com/office/2006/digsig">
          <SetupID>{0FF81A41-9A26-464F-ADE8-3338319A197F}</SetupID>
          <SignatureText>Gustavo Segovia</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2020-06-22T15:03:08Z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nW8vt/AAAAAAAAAAAAACgSAAAAAAAAQAAAwPt/AADARiXw+38AAD6cMZD7fwAABAAAAAAAAADARiXw+38AACm93j/AAAAAAAAAAAAAAABA8AdnKgIAAAAAAAAqAgAASAAAAAAAAACQYpGQ+38AACBTmpD7fwAAwL9okAAAAAABAAAAAAAAAG5+kZD7fwAAAAAl8Pt/AAAAAAAAAAAAAAAAAAAAAAAAAAAAAAAAAABazl1S+JsAAHALAAAAAAAAQPdxZyoCAAB4v94/wAAAAAAAAAAAAAAAAAAAAAAAAAAAAAAAAAAAAAAAAAAAAAAA2b7eP8AAAADfdTGQZHYACAAAAAAlAAAADAAAAAEAAAAYAAAADAAAAAAAAAASAAAADAAAAAEAAAAeAAAAGAAAAMMAAAAEAAAA9wAAABEAAAAlAAAADAAAAAEAAABUAAAAhAAAAMQAAAAEAAAA9QAAABAAAAABAAAA0XbJQasKyUHEAAAABAAAAAkAAABMAAAAAAAAAAAAAAAAAAAA//////////9gAAAAMgAyAC8ANg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P///wEAAABQViXw+38AAAkAAAAAAAAACQAAACoCAAClmzGQ+38AAAAAAAAAAAAA/////wAAAABY394/wAAAAHBE6W0qAgAAEQAAAPt/AAAAAAAAAAAAAAAAAAAAAAAAAAAAAAAAAAAgB3fv+38AABEAAAAAAAAAcEbobQAAAADIsILv+38AAAAAAAAAAAAA/v////////+rTpXX+38AAAAAAAAAAAAAAAAAAAAAAAAqr11S+JsAALZ6Y+8AAAAAdHtI0l9bAABAn1teKgIAAED3cWcqAgAAsODeP8AAAAAAAAAAAAAAAAcAAAAAAAAAAAAAAAAAAADs394/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ECk7BgqAgAAAAAAAAAAAAABAAAAAAAAAMDicWcqAgAAcBHpcyoCAADp+SgBlU/WAQIAAAAAAAAAAEq9j/t/AADISr2P+38AAAMAAAAAAAAAKNrCj/t/AADo3sKP+38AACAHd+/7fwAAYO30eCoCAAACAAAAAAAAAMiwgu/7fwAAAAAAAAAAAAA5j6wHweQAAAIAAAAAAAAAAAAAAAAAAAAAAAAAAAAAAKq1XlL4mwAAAAAAAAAAAADo3sKP+38AAOD///8AAAAAQPdxZyoCAABIy90/wAAAAAAAAAAAAAAABgAAAAAAAAAAAAAAAAAAAGzK3T9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gD2ReAAAgD8cPACPAACAPwAAgD8AAIA//v////////9A090/wAAAAIA9kXgAAAAA/////wAAAAAAAAAAAAAAAAgAAAAAAAAAIAd37/t/AABgT5F4AACAPxw8AI8AAAAAyLCC7/t/AAAAAAAAAAAAANmPrAfB5AAAAAgAAAAAAAAAAAAAAAAAAAAAAAAAAAAAyrpeUvibAAAAAAAAAAAAALB11xgAAIA/8P///wAAAABA93FnKgIAAOjL3T/AAAAAAAAAAAAAAAAJAAAAAAAAAAAAAAAAAAAADMvdP2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p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1QY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1vL7fwAAAAAAAAAAAAAoEgAAAAAAAEAAAMD7fwAAwEYl8Pt/AAA+nDGQ+38AAAQAAAAAAAAAwEYl8Pt/AAApvd4/wAAAAAAAAAAAAAAAQPAHZyoCAAAAAAAAKgIAAEgAAAAAAAAAkGKRkPt/AAAgU5qQ+38AAMC/aJAAAAAAAQAAAAAAAABufpGQ+38AAAAAJfD7fwAAAAAAAAAAAAAAAAAAAAAAAAAAAAAAAAAAWs5dUvibAABwCwAAAAAAAED3cWcqAgAAeL/eP8AAAAAAAAAAAAAAAAAAAAAAAAAAAAAAAAAAAAAAAAAAAAAAANm+3j/AAAAA33Uxk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D///8BAAAAUFYl8Pt/AAAJAAAAAAAAAAkAAAAqAgAApZsxkPt/AAAAAAAAAAAAAP////8AAAAAWN/eP8AAAABwROltKgIAABEAAAD7fwAAAAAAAAAAAAAAAAAAAAAAAAAAAAAAAAAAIAd37/t/AAARAAAAAAAAAHBG6G0AAAAAyLCC7/t/AAAAAAAAAAAAAP7/////////q06V1/t/AAAAAAAAAAAAAAAAAAAAAAAAKq9dUvibAAC2emPvAAAAAHR7SNJfWwAAQJ9bXioCAABA93FnKgIAALDg3j/AAAAAAAAAAAAAAAAHAAAAAAAAAAAAAAAAAAAA7N/eP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pOwYKgIAAAAAAAAAAAAAAQAAAAAAAADA4nFnKgIAAHAR6XMqAgAA6fkoAZVP1gECAAAAAAAAAABKvY/7fwAAyEq9j/t/AAADAAAAAAAAACjawo/7fwAA6N7Cj/t/AAAgB3fv+38AAGDt9HgqAgAAAgAAAAAAAADIsILv+38AAAAAAAAAAAAAOY+sB8HkAAACAAAAAAAAAAAAAAAAAAAAAAAAAAAAAACqtV5S+JsAAAAAAAAAAAAA6N7Cj/t/AADg////AAAAAED3cWcqAgAASMvdP8AAAAAAAAAAAAAAAAYAAAAAAAAAAAAAAAAAAABsyt0/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IA9kXgAAIA/HDwAjwAAgD8AAIA/AACAP/7/////////QNPdP8AAAACAPZF4AAAAAP////8AAAAAAAAAAAAAAAAIAAAAAAAAACAHd+/7fwAAYE+ReAAAgD8cPACPAAAAAMiwgu/7fwAAAAAAAAAAAADZj6wHweQAAAAIAAAAAAAAAAAAAAAAAAAAAAAAAAAAAMq6XlL4mwAAAAAAAAAAAACwddcYAACAP/D///8AAAAAQPdxZyoCAADoy90/wAAAAAAAAAAAAAAACQAAAAAAAAAAAAAAAAAAAAzL3T9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ZGVHnEievrmq7IzoAbc8GfspBTOPP2dFr2Hr5+Q6RKo=</DigestValue>
    </Reference>
    <Reference Type="http://www.w3.org/2000/09/xmldsig#Object" URI="#idOfficeObject">
      <DigestMethod Algorithm="http://www.w3.org/2001/04/xmlenc#sha256"/>
      <DigestValue>sNpIecCZ+kLkpYaxXO9mzRD9vlHZHTzjhB7CNX/50UE=</DigestValue>
    </Reference>
    <Reference Type="http://uri.etsi.org/01903#SignedProperties" URI="#idSignedProperties">
      <Transforms>
        <Transform Algorithm="http://www.w3.org/TR/2001/REC-xml-c14n-20010315"/>
      </Transforms>
      <DigestMethod Algorithm="http://www.w3.org/2001/04/xmlenc#sha256"/>
      <DigestValue>bF2uPT22I4zcEJM6dnRc40/54G+p2zUI3gHzyE0RArU=</DigestValue>
    </Reference>
    <Reference Type="http://www.w3.org/2000/09/xmldsig#Object" URI="#idValidSigLnImg">
      <DigestMethod Algorithm="http://www.w3.org/2001/04/xmlenc#sha256"/>
      <DigestValue>TSVCDudXwtH3Udmr4gnn7+s8zSyJfKb77SZFsA/51l4=</DigestValue>
    </Reference>
    <Reference Type="http://www.w3.org/2000/09/xmldsig#Object" URI="#idInvalidSigLnImg">
      <DigestMethod Algorithm="http://www.w3.org/2001/04/xmlenc#sha256"/>
      <DigestValue>lnrSqLVXacB8/4uq2RRHijYNw3nenRrz3PERHva2I6s=</DigestValue>
    </Reference>
  </SignedInfo>
  <SignatureValue>lFSx0Fllgi/i+5kli6Pi6TanyoZEHxDWw1CGeo1b/J8p4ubNtKCvy52QPlYR73WDI8XTR9oKPHD1
xM87SyRkzxT2qL/tTq8BIwlxrfauDUJfUUd0XHPybYDQuNbZsNWkejV51JsFoTzNd3Rloplyf7Xr
9UlDYqKC/7R+rltNN4jfQRBg9hFaRRTyVR3eJklUZvSSi1hF3MCSxmuW9yQOb4iaY9rgULVT6isJ
dSU2CzG+bVObyHmGdpc7eqacm9zycwpLo0/JLXm7diiSlhcSHT73ZGen/zhKP2k0+ub6PzZDQKpW
M1nJqq8UUGDz2IMNy6mxIy2VJ0mxVGEeYhFpiA==</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2020-06-22T15:03:25Z</mdssi:Value>
        </mdssi:SignatureTime>
      </SignatureProperty>
    </SignatureProperties>
  </Object>
  <Object Id="idOfficeObject">
    <SignatureProperties>
      <SignatureProperty Id="idOfficeV1Details" Target="#idPackageSignature">
        <SignatureInfoV1 xmlns="http://schemas.microsoft.com/office/2006/digsig">
          <SetupID>{B277F15F-8CBA-48FE-BE86-0423F11272A1}</SetupID>
          <SignatureText>Gustavo Segovia</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2020-06-22T15:03:25Z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0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BnW8vt/AAAAAAAAAAAAACgSAAAAAAAAQAAAwPt/AADARiXw+38AAD6cMZD7fwAABAAAAAAAAADARiXw+38AACm93j/AAAAAAAAAAAAAAABA8AdnKgIAAAAAAAAqAgAASAAAAAAAAACQYpGQ+38AACBTmpD7fwAAwL9okAAAAAABAAAAAAAAAG5+kZD7fwAAAAAl8Pt/AAAAAAAAAAAAAAAAAAAAAAAAAAAAAAAAAABazl1S+JsAAHALAAAAAAAAQPdxZyoCAAB4v94/wAAAAAAAAAAAAAAAAAAAAAAAAAAAAAAAAAAAAAAAAAAAAAAA2b7eP8AAAADfdTGQZHYACAAAAAAlAAAADAAAAAEAAAAYAAAADAAAAAAAAAASAAAADAAAAAEAAAAeAAAAGAAAAMMAAAAEAAAA9wAAABEAAAAlAAAADAAAAAEAAABUAAAAhAAAAMQAAAAEAAAA9QAAABAAAAABAAAA0XbJQasKyUHEAAAABAAAAAkAAABMAAAAAAAAAAAAAAAAAAAA//////////9gAAAAMgAyAC8ANgAvADIAMAAyADAAAAAGAAAABgAAAAQAAAAGAAAABAAAAAYAAAAGAAAABgAAAAYAAABLAAAAQAAAADAAAAAFAAAAIAAAAAEAAAABAAAAEAAAAAAAAAAAAAAADwEAAIAAAAAAAAAAAAAAAA8BAACAAAAAUgAAAHABAAACAAAAEAAAAAcAAAAAAAAAAAAAALwCAAAAAAAAAQICIlMAeQBzAHQAZQBtAAAAAAAAAAAAAAAAAAAAAAAAAAAAAAAAAAAAAAAAAAAAAAAAAAAAAAAAAAAAAAAAAAAAAAAAAAAAAP///wEAAABQViXw+38AAAkAAAAAAAAACQAAACoCAAClmzGQ+38AAAAAAAAAAAAA/////wAAAABY394/wAAAAHBE6W0qAgAAEQAAAPt/AAAAAAAAAAAAAAAAAAAAAAAAAAAAAAAAAAAgB3fv+38AABEAAAAAAAAAcEbobQAAAADIsILv+38AAAAAAAAAAAAA/v////////+rTpXX+38AAAAAAAAAAAAAAAAAAAAAAAAqr11S+JsAALZ6Y+8AAAAAdHtI0l9bAABAn1teKgIAAED3cWcqAgAAsODeP8AAAAAAAAAAAAAAAAcAAAAAAAAAAAAAAAAAAADs394/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ECk7BgqAgAAAAAAAAAAAAABAAAAAAAAAMDicWcqAgAAcBHpcyoCAADp+SgBlU/WAQIAAAAAAAAAAEq9j/t/AADISr2P+38AAAMAAAAAAAAAKNrCj/t/AADo3sKP+38AACAHd+/7fwAAYO30eCoCAAACAAAAAAAAAMiwgu/7fwAAAAAAAAAAAAA5j6wHweQAAAIAAAAAAAAAAAAAAAAAAAAAAAAAAAAAAKq1XlL4mwAAAAAAAAAAAADo3sKP+38AAOD///8AAAAAQPdxZyoCAABIy90/wAAAAAAAAAAAAAAABgAAAAAAAAAAAAAAAAAAAGzK3T9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AAAAAAAAAAAgD2ReAAAgD8cPACPAACAPwAAgD8AAIA//v////////9A090/wAAAAIA9kXgAAAAA/////wAAAAAAAAAAAAAAAAgAAAAAAAAAIAd37/t/AABgT5F4AACAPxw8AI8AAAAAyLCC7/t/AAAAAAAAAAAAANmPrAfB5AAAAAgAAAAAAAAAAAAAAAAAAAAAAAAAAAAAyrpeUvibAAAAAAAAAAAAALB11xgAAIA/8P///wAAAABA93FnKgIAAOjL3T/AAAAAAAAAAAAAAAAJAAAAAAAAAAAAAAAAAAAADMvdP2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A8BAACAAAAAAAAAAAAAAAAPAQAAgAAAACUAAAAMAAAAAgAAACcAAAAYAAAABQAAAAAAAAD///8AAAAAACUAAAAMAAAABQAAAEwAAABkAAAAAAAAAFAAAAAOAQAAfAAAAAAAAABQAAAAD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A8BAACAAAAAAAAAAAAAAAAPAQAAgAAAACUAAAAMAAAAAgAAACcAAAAYAAAABQAAAAAAAAD///8AAAAAACUAAAAMAAAABQAAAEwAAABkAAAACQAAAHAAAAAFAQAAfAAAAAkAAABwAAAA/QAAAA0AAAAhAPAAAAAAAAAAAAAAAIA/AAAAAAAAAAAAAIA/AAAAAAAAAAAAAAAAAAAAAAAAAAAAAAAAAAAAAAAAAAAlAAAADAAAAAAAAIAoAAAADAAAAAUAAAAlAAAADAAAAAEAAAAYAAAADAAAAAAAAAASAAAADAAAAAEAAAAWAAAADAAAAAAAAABUAAAARAEAAAoAAABwAAAABAEAAHwAAAABAAAA0XbJQasKyUEKAAAAcAAAACkAAABMAAAABAAAAAkAAABwAAAABgEAAH0AAACgAAAARgBpAHIAbQBhAGQAbwAgAHAAbwByADoAIABHAFUAUwBUAEEAVgBPACAATABPAFIARQBOAFoATwAgAFMARQBHAE8AVgBJAEEAIABWAEUAUgBBAAAABgAAAAMAAAAEAAAACQAAAAYAAAAHAAAABwAAAAMAAAAHAAAABwAAAAQAAAADAAAAAwAAAAgAAAAIAAAABgAAAAUAAAAHAAAABwAAAAkAAAADAAAABQAAAAkAAAAHAAAABgAAAAgAAAAGAAAACQAAAAMAAAAGAAAABgAAAAgAAAAJAAAABwAAAAMAAAAHAAAAAwAAAAcAAAAGAAAABwAAAAcAAAAWAAAADAAAAAAAAAAlAAAADAAAAAIAAAAOAAAAFAAAAAAAAAAQAAAAFAAAAA==</Object>
  <Object Id="idInvalidSigLnImg">AQAAAGwAAAAAAAAAAAAAAA4BAAB/AAAAAAAAAAAAAACpGgAAkQwAACBFTUYAAAEAc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1vL7fwAAAAAAAAAAAAAoEgAAAAAAAEAAAMD7fwAAwEYl8Pt/AAA+nDGQ+38AAAQAAAAAAAAAwEYl8Pt/AAApvd4/wAAAAAAAAAAAAAAAQPAHZyoCAAAAAAAAKgIAAEgAAAAAAAAAkGKRkPt/AAAgU5qQ+38AAMC/aJAAAAAAAQAAAAAAAABufpGQ+38AAAAAJfD7fwAAAAAAAAAAAAAAAAAAAAAAAAAAAAAAAAAAWs5dUvibAABwCwAAAAAAAED3cWcqAgAAeL/eP8AAAAAAAAAAAAAAAAAAAAAAAAAAAAAAAAAAAAAAAAAAAAAAANm+3j/AAAAA33Uxk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D///8BAAAAUFYl8Pt/AAAJAAAAAAAAAAkAAAAqAgAApZsxkPt/AAAAAAAAAAAAAP////8AAAAAWN/eP8AAAABwROltKgIAABEAAAD7fwAAAAAAAAAAAAAAAAAAAAAAAAAAAAAAAAAAIAd37/t/AAARAAAAAAAAAHBG6G0AAAAAyLCC7/t/AAAAAAAAAAAAAP7/////////q06V1/t/AAAAAAAAAAAAAAAAAAAAAAAAKq9dUvibAAC2emPvAAAAAHR7SNJfWwAAQJ9bXioCAABA93FnKgIAALDg3j/AAAAAAAAAAAAAAAAHAAAAAAAAAAAAAAAAAAAA7N/eP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pOwYKgIAAAAAAAAAAAAAAQAAAAAAAADA4nFnKgIAAHAR6XMqAgAA6fkoAZVP1gECAAAAAAAAAABKvY/7fwAAyEq9j/t/AAADAAAAAAAAACjawo/7fwAA6N7Cj/t/AAAgB3fv+38AAGDt9HgqAgAAAgAAAAAAAADIsILv+38AAAAAAAAAAAAAOY+sB8HkAAACAAAAAAAAAAAAAAAAAAAAAAAAAAAAAACqtV5S+JsAAAAAAAAAAAAA6N7Cj/t/AADg////AAAAAED3cWcqAgAASMvdP8AAAAAAAAAAAAAAAAYAAAAAAAAAAAAAAAAAAABsyt0/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IA9kXgAAIA/HDwAjwAAgD8AAIA/AACAP/7/////////QNPdP8AAAACAPZF4AAAAAP////8AAAAAAAAAAAAAAAAIAAAAAAAAACAHd+/7fwAAYE+ReAAAgD8cPACPAAAAAMiwgu/7fwAAAAAAAAAAAADZj6wHweQAAAAIAAAAAAAAAAAAAAAAAAAAAAAAAAAAAMq6XlL4mwAAAAAAAAAAAACwddcYAACAP/D///8AAAAAQPdxZyoCAADoy90/wAAAAAAAAAAAAAAACQAAAAAAAAAAAAAAAAAAAAzL3T9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DwEAAIAAAAAAAAAAAAAAAA8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TiNrAvlytSz27hgvaSXR2RFsiRHOW3T0Y2XkTgzcLNQ=</DigestValue>
    </Reference>
    <Reference Type="http://www.w3.org/2000/09/xmldsig#Object" URI="#idOfficeObject">
      <DigestMethod Algorithm="http://www.w3.org/2001/04/xmlenc#sha256"/>
      <DigestValue>cK2Zwq0NhjYnG6tmApwfE6SWTZf2NlEmQiS9bHjIO6M=</DigestValue>
    </Reference>
    <Reference Type="http://uri.etsi.org/01903#SignedProperties" URI="#idSignedProperties">
      <Transforms>
        <Transform Algorithm="http://www.w3.org/TR/2001/REC-xml-c14n-20010315"/>
      </Transforms>
      <DigestMethod Algorithm="http://www.w3.org/2001/04/xmlenc#sha256"/>
      <DigestValue>PQbjklISKQVj/VrXZu0hicaDow52O3xCgXc/19ymlYY=</DigestValue>
    </Reference>
    <Reference Type="http://www.w3.org/2000/09/xmldsig#Object" URI="#idValidSigLnImg">
      <DigestMethod Algorithm="http://www.w3.org/2001/04/xmlenc#sha256"/>
      <DigestValue>PeUN25yVD57CmrtaIJNLe/G6sykYLlnZWNx1AMXrKqo=</DigestValue>
    </Reference>
    <Reference Type="http://www.w3.org/2000/09/xmldsig#Object" URI="#idInvalidSigLnImg">
      <DigestMethod Algorithm="http://www.w3.org/2001/04/xmlenc#sha256"/>
      <DigestValue>+Lok4MOtqBgphdJHDKK/WF8qAkmfWDe2x/4MRCOxQbs=</DigestValue>
    </Reference>
  </SignedInfo>
  <SignatureValue>A12Fi4T4+nj4Wx4vgEG5YYvkxLHBBnk2WMHYLP+KpHZGDyeIDK/2h5iphe+HLI5qPDoRixW6/TUS
wfDYSUtkV5RHjYoQLfKQ/874vR7hGt010FXJC9i9608nAdLzaUifneRn3SM3rwENeRAgspAeZ/R+
OT+vZUZct69oA4TbWqHSiZ9u0QI/QE4UoaehHRjH/2qJThiu7hjmxp3F0ssMx1Ov48wN+lyheGLU
+jpBYwh0CQCqSgjlHApGokCPEzaHqHMSGcLSvUOaoA66SNNEaVOw6uvBXFZAvAaBKwoAHsE8AFyc
VjMFMaFYnB8iSePpP1yO/SodbSJPJxUQAR5ypA==</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2020-06-22T16:38:59Z</mdssi:Value>
        </mdssi:SignatureTime>
      </SignatureProperty>
    </SignatureProperties>
  </Object>
  <Object Id="idOfficeObject">
    <SignatureProperties>
      <SignatureProperty Id="idOfficeV1Details" Target="#idPackageSignature">
        <SignatureInfoV1 xmlns="http://schemas.microsoft.com/office/2006/digsig">
          <SetupID>{7286F0FF-362C-48AE-88EF-41755820017E}</SetupID>
          <SignatureText>Eduardo Laran</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2020-06-22T16:38:59Z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n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Pm9bwIJAAAAAAAAAAAAAADwrOrciQEAAAAAAACJAQAASAAAAAAAAACQYlSJ/38AACBTXYn/fwAAwL8riQAAAAABAAAAAAAAAG5+VIn/fwAAAABm0/9/AAAAAAAAAAAAAAAAAAAAAAAAAAAAAAAAAADTFUizvHYAAHALAAAAAAAAkNze3IkBAABIwG8CCQAAAAAAAAAAAAAAAAAAAAAAAAAAAAAAAAAAAAAAAAAAAAAAqb9vAgk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Object Id="idInvalidSigLnImg">AQAAAGwAAAAAAAAAAAAAAP8AAAB/AAAAAAAAAAAAAACfFgAARAsAACBFTUYAAAEAO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e8QAAAAcKDQcKDQcJDQ4WMShFrjFU1TJV1gECBAIDBAECBQoRKyZBowsTMQAAAAAAfqbJd6PIeqDCQFZ4JTd0Lk/HMVPSGy5uFiE4GypVJ0KnHjN9AAABHvEAAACcz+7S6ffb7fnC0t1haH0hMm8aLXIuT8ggOIwoRKslP58cK08AAAEAAAAAAMHg9P///////////+bm5k9SXjw/SzBRzTFU0y1NwSAyVzFGXwEBAkEACA8mnM/u69/SvI9jt4tgjIR9FBosDBEjMVTUMlXWMVPRKUSeDxk4AAAAAAAAAADT6ff///////+Tk5MjK0krSbkvUcsuT8YVJFoTIFIrSbgtTcEQHEcAAAAAAJzP7vT6/bTa8kRleixHhy1Nwi5PxiQtTnBwcJKSki81SRwtZAgOI0UAAAAAweD02+35gsLqZ5q6Jz1jNEJyOUZ4qamp+/v7////wdPeVnCJAQECAAAAAACv1/Ho8/ubzu6CwuqMudS3u769vb3////////////L5fZymsABAgMgAAAAAK/X8fz9/uLx+snk9uTy+vz9/v///////////////8vl9nKawAECAx7xAAAAotHvtdryxOL1xOL1tdry0+r32+350+r3tdryxOL1pdPvc5rAAQIDAAAAAABpj7ZnjrZqj7Zqj7ZnjrZtkbdukrdtkbdnjrZqj7ZojrZ3rdUCAwRP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5vW8CCQAAAAAAAAAAAAAA8Kzq3IkBAAAAAAAAiQEAAEgAAAAAAAAAkGJUif9/AAAgU12J/38AAMC/K4kAAAAAAQAAAAAAAABuflSJ/38AAAAAZtP/fwAAAAAAAAAAAAAAAAAAAAAAAAAAAAAAAAAA0xVIs7x2AABwCwAAAAAAAJDc3tyJAQAASMBvAgkAAAAAAAAAAAAAAAAAAAAAAAAAAAAAAAAAAAAAAAAAAAAAAKm/bwIJ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Qrx0G5wZwSCi0rHq48XbNt+juQGKsknQ1bZOPpXAvTE=</DigestValue>
    </Reference>
    <Reference Type="http://www.w3.org/2000/09/xmldsig#Object" URI="#idOfficeObject">
      <DigestMethod Algorithm="http://www.w3.org/2001/04/xmlenc#sha256"/>
      <DigestValue>X0CwXXy6WyuPtBPlmjBYorWMyqY1gW3Etrse+9NTULU=</DigestValue>
    </Reference>
    <Reference Type="http://uri.etsi.org/01903#SignedProperties" URI="#idSignedProperties">
      <Transforms>
        <Transform Algorithm="http://www.w3.org/TR/2001/REC-xml-c14n-20010315"/>
      </Transforms>
      <DigestMethod Algorithm="http://www.w3.org/2001/04/xmlenc#sha256"/>
      <DigestValue>W4kr36u9wD8cmqQOI2UITvuo9MG9AKm2TmZHoFR6l6g=</DigestValue>
    </Reference>
    <Reference Type="http://www.w3.org/2000/09/xmldsig#Object" URI="#idValidSigLnImg">
      <DigestMethod Algorithm="http://www.w3.org/2001/04/xmlenc#sha256"/>
      <DigestValue>SO1qb9+mZ5mcQmlGu/6srFSGIH3jC7n9ZSnQjPDgeTU=</DigestValue>
    </Reference>
    <Reference Type="http://www.w3.org/2000/09/xmldsig#Object" URI="#idInvalidSigLnImg">
      <DigestMethod Algorithm="http://www.w3.org/2001/04/xmlenc#sha256"/>
      <DigestValue>+Lok4MOtqBgphdJHDKK/WF8qAkmfWDe2x/4MRCOxQbs=</DigestValue>
    </Reference>
  </SignedInfo>
  <SignatureValue>gKATb7n/ZAkAaNJVqG6cU01f6eq8foqs0V+tZRN4/Fkits5FRzb9b6KxeZg3BA6SXAtAZPYKG2YT
EKI/rUxjqYa8UWf35Sqb58eEfTZv9Qm9yd9yRMyqnfv8BOhfb1pYikcqN5blqxn1qNIhn+SEpYq/
7Ov5xDWOOTHFWeN0vcBqtcOc1fLqqWYo69dNN5zNDrNLMa+sa6kLMOo3RrEW8qkHlGN+xB5Rij8m
jtBWcW3r3XDNWCCB04D8V27rhnIFtZuxew2hsA4wGYi8Rz3e25oUfxE56xHLuZ61NlxqkWPNla9O
0F63yHhnc8bKxIblIAPC+kwlulRAAISQ+6O6UQ==</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2020-06-22T16:39:26Z</mdssi:Value>
        </mdssi:SignatureTime>
      </SignatureProperty>
    </SignatureProperties>
  </Object>
  <Object Id="idOfficeObject">
    <SignatureProperties>
      <SignatureProperty Id="idOfficeV1Details" Target="#idPackageSignature">
        <SignatureInfoV1 xmlns="http://schemas.microsoft.com/office/2006/digsig">
          <SetupID>{016DE0C3-FB93-4FAF-AEB2-C415FA3BB8F8}</SetupID>
          <SignatureText>Eduardo Laran</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2020-06-22T16:39:26Z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n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Pm9bwIJAAAAAAAAAAAAAADwrOrciQEAAAAAAACJAQAASAAAAAAAAACQYlSJ/38AACBTXYn/fwAAwL8riQAAAAABAAAAAAAAAG5+VIn/fwAAAABm0/9/AAAAAAAAAAAAAAAAAAAAAAAAAAAAAAAAAADTFUizvHYAAHALAAAAAAAAkNze3IkBAABIwG8CCQAAAAAAAAAAAAAAAAAAAAAAAAAAAAAAAAAAAAAAAAAAAAAAqb9vAgk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B6r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Object Id="idInvalidSigLnImg">AQAAAGwAAAAAAAAAAAAAAP8AAAB/AAAAAAAAAAAAAACfFgAARAsAACBFTUYAAAEAO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e8QAAAAcKDQcKDQcJDQ4WMShFrjFU1TJV1gECBAIDBAECBQoRKyZBowsTMQAAAAAAfqbJd6PIeqDCQFZ4JTd0Lk/HMVPSGy5uFiE4GypVJ0KnHjN9AAABHvEAAACcz+7S6ffb7fnC0t1haH0hMm8aLXIuT8ggOIwoRKslP58cK08AAAEAAAAAAMHg9P///////////+bm5k9SXjw/SzBRzTFU0y1NwSAyVzFGXwEBAkEACA8mnM/u69/SvI9jt4tgjIR9FBosDBEjMVTUMlXWMVPRKUSeDxk4AAAAAAAAAADT6ff///////+Tk5MjK0krSbkvUcsuT8YVJFoTIFIrSbgtTcEQHEcAAAAAAJzP7vT6/bTa8kRleixHhy1Nwi5PxiQtTnBwcJKSki81SRwtZAgOI0UAAAAAweD02+35gsLqZ5q6Jz1jNEJyOUZ4qamp+/v7////wdPeVnCJAQECAAAAAACv1/Ho8/ubzu6CwuqMudS3u769vb3////////////L5fZymsABAgMgAAAAAK/X8fz9/uLx+snk9uTy+vz9/v///////////////8vl9nKawAECAx7xAAAAotHvtdryxOL1xOL1tdry0+r32+350+r3tdryxOL1pdPvc5rAAQIDAAAAAABpj7ZnjrZqj7Zqj7ZnjrZtkbdukrdtkbdnjrZqj7ZojrZ3rdUCAwRP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5vW8CCQAAAAAAAAAAAAAA8Kzq3IkBAAAAAAAAiQEAAEgAAAAAAAAAkGJUif9/AAAgU12J/38AAMC/K4kAAAAAAQAAAAAAAABuflSJ/38AAAAAZtP/fwAAAAAAAAAAAAAAAAAAAAAAAAAAAAAAAAAA0xVIs7x2AABwCwAAAAAAAJDc3tyJAQAASMBvAgkAAAAAAAAAAAAAAAAAAAAAAAAAAAAAAAAAAAAAAAAAAAAAAKm/bwIJ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lxFGhomPmCM59ulgScbknRJAI6nHKgQkQObnZTzVh7g=</DigestValue>
    </Reference>
    <Reference Type="http://www.w3.org/2000/09/xmldsig#Object" URI="#idOfficeObject">
      <DigestMethod Algorithm="http://www.w3.org/2001/04/xmlenc#sha256"/>
      <DigestValue>4PI3MXIVKZVGYVjqObb73k9mdnn2se1vagAXr+VTuT0=</DigestValue>
    </Reference>
    <Reference Type="http://uri.etsi.org/01903#SignedProperties" URI="#idSignedProperties">
      <Transforms>
        <Transform Algorithm="http://www.w3.org/TR/2001/REC-xml-c14n-20010315"/>
      </Transforms>
      <DigestMethod Algorithm="http://www.w3.org/2001/04/xmlenc#sha256"/>
      <DigestValue>T9bNNW5v0BkO1Zt7d7ShmaONFQqd9kJRvgxnvz2U2zg=</DigestValue>
    </Reference>
    <Reference Type="http://www.w3.org/2000/09/xmldsig#Object" URI="#idValidSigLnImg">
      <DigestMethod Algorithm="http://www.w3.org/2001/04/xmlenc#sha256"/>
      <DigestValue>PeUN25yVD57CmrtaIJNLe/G6sykYLlnZWNx1AMXrKqo=</DigestValue>
    </Reference>
    <Reference Type="http://www.w3.org/2000/09/xmldsig#Object" URI="#idInvalidSigLnImg">
      <DigestMethod Algorithm="http://www.w3.org/2001/04/xmlenc#sha256"/>
      <DigestValue>l7997cbuYqD6IPxNK2TCJOzMoEkJN22JA6AFtW4mcrY=</DigestValue>
    </Reference>
  </SignedInfo>
  <SignatureValue>OD6tdnzqQid4t76okRb6vwn2wYyJsNvBYQpX7JCcg+THv092+ooESGZthSVh7rP9dTBHWFNOaLxz
FAeFZz83XnJOuAqjB5VqnaxfjMW7lKsVL8OMH4LnHvRJvqZ/Wk0OnRv/UWLO4rPcgnGHSz2sJ43+
BSrvR5i73KCR76qnWSFvai8B4ChF6BAqJJiZLqPguiMISVIIkwEBjDxkspIB41aiZA6k44v9LASZ
avFPhWvNlYhvmfAYd1Vv6RlEmhy1bMf2ujnTx7eK4Scj9elQStnssBFywYO4xSC2UnSE7A2aW3eX
IxWka8lXXd0LPkrmpSiIKfdcLBli/NLxGsKPfw==</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2020-06-22T16:39:43Z</mdssi:Value>
        </mdssi:SignatureTime>
      </SignatureProperty>
    </SignatureProperties>
  </Object>
  <Object Id="idOfficeObject">
    <SignatureProperties>
      <SignatureProperty Id="idOfficeV1Details" Target="#idPackageSignature">
        <SignatureInfoV1 xmlns="http://schemas.microsoft.com/office/2006/digsig">
          <SetupID>{581DBBC6-20B6-4DFE-BEBF-7BC4B855608C}</SetupID>
          <SignatureText>Eduardo Laran</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2020-06-22T16:39:43Z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n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Pm9bwIJAAAAAAAAAAAAAADwrOrciQEAAAAAAACJAQAASAAAAAAAAACQYlSJ/38AACBTXYn/fwAAwL8riQAAAAABAAAAAAAAAG5+VIn/fwAAAABm0/9/AAAAAAAAAAAAAAAAAAAAAAAAAAAAAAAAAADTFUizvHYAAHALAAAAAAAAkNze3IkBAABIwG8CCQAAAAAAAAAAAAAAAAAAAAAAAAAAAAAAAAAAAAAAAAAAAAAAqb9vAgk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Object Id="idInvalidSigLnImg">AQAAAGwAAAAAAAAAAAAAAP8AAAB/AAAAAAAAAAAAAACfFgAARAsAACBFTUYAAAEAO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x7x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5vW8CCQAAAAAAAAAAAAAA8Kzq3IkBAAAAAAAAiQEAAEgAAAAAAAAAkGJUif9/AAAgU12J/38AAMC/K4kAAAAAAQAAAAAAAABuflSJ/38AAAAAZtP/fwAAAAAAAAAAAAAAAAAAAAAAAAAAAAAAAAAA0xVIs7x2AABwCwAAAAAAAJDc3tyJAQAASMBvAgkAAAAAAAAAAAAAAAAAAAAAAAAAAAAAAAAAAAAAAAAAAAAAAKm/bwIJ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RYmEMpN0X0i2ioCsAJpTq7SRQpYkyyVL3M51zsJDwEg=</DigestValue>
    </Reference>
    <Reference Type="http://www.w3.org/2000/09/xmldsig#Object" URI="#idOfficeObject">
      <DigestMethod Algorithm="http://www.w3.org/2001/04/xmlenc#sha256"/>
      <DigestValue>wpaccBurII0NPo1S6xrqz+cnTZTPPXkxh5SmvMdbl2o=</DigestValue>
    </Reference>
    <Reference Type="http://uri.etsi.org/01903#SignedProperties" URI="#idSignedProperties">
      <Transforms>
        <Transform Algorithm="http://www.w3.org/TR/2001/REC-xml-c14n-20010315"/>
      </Transforms>
      <DigestMethod Algorithm="http://www.w3.org/2001/04/xmlenc#sha256"/>
      <DigestValue>nlZj4vq8bIQDc2/KBUe4Z+w5RYZ+O8zAMzSl21+P3Fg=</DigestValue>
    </Reference>
    <Reference Type="http://www.w3.org/2000/09/xmldsig#Object" URI="#idValidSigLnImg">
      <DigestMethod Algorithm="http://www.w3.org/2001/04/xmlenc#sha256"/>
      <DigestValue>PeUN25yVD57CmrtaIJNLe/G6sykYLlnZWNx1AMXrKqo=</DigestValue>
    </Reference>
    <Reference Type="http://www.w3.org/2000/09/xmldsig#Object" URI="#idInvalidSigLnImg">
      <DigestMethod Algorithm="http://www.w3.org/2001/04/xmlenc#sha256"/>
      <DigestValue>6w8CNF1s7tYreR/fGUdr8YYvHY62MIYbmYLNKZ/eAMI=</DigestValue>
    </Reference>
  </SignedInfo>
  <SignatureValue>MIhja0K5JN7c8BPkbVqILuQZ2pQQnpDslb1ivannPaTWWRstBFdYbARbzN5V4pT1yCBbQlZP5xo1
9asu0vEXUDZpGv+0mMQskEFfJhl+/a2kQ2kErcw/sveSEHjxfvhKifV5WvVlkSpoX64brQwotCRo
hyUCRFktWCwjU81SCEgi9AgnkQIpYHSCbfRHQyQIo3lBIJOH5FxhslEKSe+ZaL0ycMGY6T/Qup+B
c3NYFHkz6hurPAhrJHGpIGjTwM1TCe2FIs16MOFL8SdySsnHj7VqJeuVGycdwLQRosIIUb8tu/EL
awPE5a9QslBtSMxe6SDd1z3yKyJe7sj8GZPA3Q==</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3YhmS39bGtByA1p5wsN6Um3z4uJ0njzWnOpAWZyaxX0=</DigestValue>
      </Reference>
      <Reference URI="/xl/comments1.xml?ContentType=application/vnd.openxmlformats-officedocument.spreadsheetml.comments+xml">
        <DigestMethod Algorithm="http://www.w3.org/2001/04/xmlenc#sha256"/>
        <DigestValue>AdNFxEvJbKCg3XD0QAt+yg0j2zkIowpGlo78G3sKCfc=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DlRFVa2zL2NRIsRTRXvipKNVzPbEupkawh0lyXPFZys=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OgiRuHxdldq53+LQG52cT9VCbGTF5sOQMaOh79Kfrbg=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DlRFVa2zL2NRIsRTRXvipKNVzPbEupkawh0lyXPFZys=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iG5eptWZVkwmHpdZUmp2d2j+ovfbAJrS1B05munKjB0=</DigestValue>
      </Reference>
      <Reference URI="/xl/drawings/drawing1.xml?ContentType=application/vnd.openxmlformats-officedocument.drawing+xml">
        <DigestMethod Algorithm="http://www.w3.org/2001/04/xmlenc#sha256"/>
        <DigestValue>mrsfzXAqqTq7lFOpt5+J+ll02YoX3EiAyWxXN/rMvNo=</DigestValue>
      </Reference>
      <Reference URI="/xl/drawings/vmlDrawing1.vml?ContentType=application/vnd.openxmlformats-officedocument.vmlDrawing">
        <DigestMethod Algorithm="http://www.w3.org/2001/04/xmlenc#sha256"/>
        <DigestValue>ByU0RZm/6icBljsn7ZbFGjsBet5qa2JnHkps4R3xgNM=</DigestValue>
      </Reference>
      <Reference URI="/xl/drawings/vmlDrawing2.vml?ContentType=application/vnd.openxmlformats-officedocument.vmlDrawing">
        <DigestMethod Algorithm="http://www.w3.org/2001/04/xmlenc#sha256"/>
        <DigestValue>HsJcxbVe+qNWxY5ZMwVTCTUPtLZMgAS5YepPmMO3/SI=</DigestValue>
      </Reference>
      <Reference URI="/xl/drawings/vmlDrawing3.vml?ContentType=application/vnd.openxmlformats-officedocument.vmlDrawing">
        <DigestMethod Algorithm="http://www.w3.org/2001/04/xmlenc#sha256"/>
        <DigestValue>SUrfX8ojzK9OWh0TggUWUZOFywW1MvFWZrCQnlKJ/0s=</DigestValue>
      </Reference>
      <Reference URI="/xl/drawings/vmlDrawing4.vml?ContentType=application/vnd.openxmlformats-officedocument.vmlDrawing">
        <DigestMethod Algorithm="http://www.w3.org/2001/04/xmlenc#sha256"/>
        <DigestValue>QDTYbq/eg3wR4MtrDEepI+nKnYr/Hfugxd1W1BgUgS8=</DigestValue>
      </Reference>
      <Reference URI="/xl/drawings/vmlDrawing5.vml?ContentType=application/vnd.openxmlformats-officedocument.vmlDrawing">
        <DigestMethod Algorithm="http://www.w3.org/2001/04/xmlenc#sha256"/>
        <DigestValue>BMvzBTzJ6MGHy4RTQ21hzLLFI69j0BlYlwGMo2TtDYA=</DigestValue>
      </Reference>
      <Reference URI="/xl/media/image1.emf?ContentType=image/x-emf">
        <DigestMethod Algorithm="http://www.w3.org/2001/04/xmlenc#sha256"/>
        <DigestValue>VOH3OGv1rPWYjR38grsVwOrz5Jvi5jcbPMvQ5vNJs9o=</DigestValue>
      </Reference>
      <Reference URI="/xl/media/image2.emf?ContentType=image/x-emf">
        <DigestMethod Algorithm="http://www.w3.org/2001/04/xmlenc#sha256"/>
        <DigestValue>HJ2uF3RfsSu1MOMRJCHnkDEih8aVVV+X08m3CcBXUo0=</DigestValue>
      </Reference>
      <Reference URI="/xl/media/image3.emf?ContentType=image/x-emf">
        <DigestMethod Algorithm="http://www.w3.org/2001/04/xmlenc#sha256"/>
        <DigestValue>sJANzxWCqC4u0LpdVIhVn3fl9vCqpwMUez1aiI9n4qM=</DigestValue>
      </Reference>
      <Reference URI="/xl/media/image4.emf?ContentType=image/x-emf">
        <DigestMethod Algorithm="http://www.w3.org/2001/04/xmlenc#sha256"/>
        <DigestValue>6rald6tOXJkRZmC/vjZ23o0qg2f6o+SxBFCHHC/XY/E=</DigestValue>
      </Reference>
      <Reference URI="/xl/media/image5.emf?ContentType=image/x-emf">
        <DigestMethod Algorithm="http://www.w3.org/2001/04/xmlenc#sha256"/>
        <DigestValue>lRmzAzwbRyNVVyq8ET4/oB6Z+tePmauNL+vIa8UkQkQ=</DigestValue>
      </Reference>
      <Reference URI="/xl/media/image6.emf?ContentType=image/x-emf">
        <DigestMethod Algorithm="http://www.w3.org/2001/04/xmlenc#sha256"/>
        <DigestValue>M1jLs5389a6FYgMe0Enf4P9EFobysV9lfo4/7c4MMOA=</DigestValue>
      </Reference>
      <Reference URI="/xl/printerSettings/printerSettings1.bin?ContentType=application/vnd.openxmlformats-officedocument.spreadsheetml.printerSettings">
        <DigestMethod Algorithm="http://www.w3.org/2001/04/xmlenc#sha256"/>
        <DigestValue>YmlNx0fbwwNBEGF0RvxQdFOj8ICfW2aC5ya0H7vEQfw=</DigestValue>
      </Reference>
      <Reference URI="/xl/printerSettings/printerSettings2.bin?ContentType=application/vnd.openxmlformats-officedocument.spreadsheetml.printerSettings">
        <DigestMethod Algorithm="http://www.w3.org/2001/04/xmlenc#sha256"/>
        <DigestValue>xsCjjPzCWd5UTOKxf9cRsV8M4zHH+quoJqAf9b+vaZI=</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8dq9D3+wycTd/6Z99wFMEMlVKFUQWTr4wt6E7nw1/Y0=</DigestValue>
      </Reference>
      <Reference URI="/xl/printerSettings/printerSettings5.bin?ContentType=application/vnd.openxmlformats-officedocument.spreadsheetml.printerSettings">
        <DigestMethod Algorithm="http://www.w3.org/2001/04/xmlenc#sha256"/>
        <DigestValue>Ik7rzi69RdvqvRaDrPoMKTh4ZHgUlx4hbxyJVwW2Q18=</DigestValue>
      </Reference>
      <Reference URI="/xl/sharedStrings.xml?ContentType=application/vnd.openxmlformats-officedocument.spreadsheetml.sharedStrings+xml">
        <DigestMethod Algorithm="http://www.w3.org/2001/04/xmlenc#sha256"/>
        <DigestValue>jzZQQt0ctn4VBNn1F1fGGadh0Xae4NIdyji4/oNeAq4=</DigestValue>
      </Reference>
      <Reference URI="/xl/styles.xml?ContentType=application/vnd.openxmlformats-officedocument.spreadsheetml.styles+xml">
        <DigestMethod Algorithm="http://www.w3.org/2001/04/xmlenc#sha256"/>
        <DigestValue>ipSw1sqNgC9M5FiFcwuxO4NFpZyvjeTMHbz6AJHMzbs=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e3O6CykN0lPvQO+eSfbE1RuuuIU8DD2vP1TkObsCc30=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LF7UTF088hHJKAxD/om/otm5mfHVRsrAzh16ymO//YU=</DigestValue>
      </Reference>
      <Reference URI="/xl/worksheets/sheet1.xml?ContentType=application/vnd.openxmlformats-officedocument.spreadsheetml.worksheet+xml">
        <DigestMethod Algorithm="http://www.w3.org/2001/04/xmlenc#sha256"/>
        <DigestValue>yfB7ue9viFUZsbZo2oK1xoAgnTycRw6XXoQYjKO2T7s=</DigestValue>
      </Reference>
      <Reference URI="/xl/worksheets/sheet2.xml?ContentType=application/vnd.openxmlformats-officedocument.spreadsheetml.worksheet+xml">
        <DigestMethod Algorithm="http://www.w3.org/2001/04/xmlenc#sha256"/>
        <DigestValue>l/kiT3zYQN9uSMJCChtq0qDS2IbXmR/mn4E9/tMrS1I=</DigestValue>
      </Reference>
      <Reference URI="/xl/worksheets/sheet3.xml?ContentType=application/vnd.openxmlformats-officedocument.spreadsheetml.worksheet+xml">
        <DigestMethod Algorithm="http://www.w3.org/2001/04/xmlenc#sha256"/>
        <DigestValue>yrSySoOWeuETViX/Rb7CymsXsXueIMbrpXb8aJrrRxc=</DigestValue>
      </Reference>
      <Reference URI="/xl/worksheets/sheet4.xml?ContentType=application/vnd.openxmlformats-officedocument.spreadsheetml.worksheet+xml">
        <DigestMethod Algorithm="http://www.w3.org/2001/04/xmlenc#sha256"/>
        <DigestValue>4pLu/y5CPqBscZwgAfd2xF4f+pCJ2nXDmh+8tCSOrmA=</DigestValue>
      </Reference>
      <Reference URI="/xl/worksheets/sheet5.xml?ContentType=application/vnd.openxmlformats-officedocument.spreadsheetml.worksheet+xml">
        <DigestMethod Algorithm="http://www.w3.org/2001/04/xmlenc#sha256"/>
        <DigestValue>i+EqCcSuFbps3O40lnyaKAAKSIfLnjIK4zYDl3yEtvI=</DigestValue>
      </Reference>
    </Manifest>
    <SignatureProperties>
      <SignatureProperty Id="idSignatureTime" Target="#idPackageSignature">
        <mdssi:SignatureTime xmlns:mdssi="http://schemas.openxmlformats.org/package/2006/digital-signature">
          <mdssi:Format>YYYY-MM-DDThh:mm:ssTZD</mdssi:Format>
          <mdssi:Value>2020-06-22T16:39:57Z</mdssi:Value>
        </mdssi:SignatureTime>
      </SignatureProperty>
    </SignatureProperties>
  </Object>
  <Object Id="idOfficeObject">
    <SignatureProperties>
      <SignatureProperty Id="idOfficeV1Details" Target="#idPackageSignature">
        <SignatureInfoV1 xmlns="http://schemas.microsoft.com/office/2006/digsig">
          <SetupID>{46AAE720-7643-4F02-BD14-94240E5203EE}</SetupID>
          <SignatureText>Eduardo Laran</SignatureText>
          <SignatureImage/>
          <SignatureComments/>
          <WindowsVersion>10.0</WindowsVersion>
          <OfficeVersion>16.0.10359/14</OfficeVersion>
          <ApplicationVersion>16.0.10359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2020-06-22T16:39:57Z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n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S0/9/AAAAAAAAAAAAACgSAAAAAAAAQAAAwP9/AADQRmbT/38AAD6c9Ij/fwAABAAAAAAAAADQRmbT/38AAPm9bwIJAAAAAAAAAAAAAADwrOrciQEAAAAAAACJAQAASAAAAAAAAACQYlSJ/38AACBTXYn/fwAAwL8riQAAAAABAAAAAAAAAG5+VIn/fwAAAABm0/9/AAAAAAAAAAAAAAAAAAAAAAAAAAAAAAAAAADTFUizvHYAAHALAAAAAAAAkNze3IkBAABIwG8CCQAAAAAAAAAAAAAAAAAAAAAAAAAAAAAAAAAAAAAAAAAAAAAAqb9vAgkAAADfdfSIZHYACAAAAAAlAAAADAAAAAEAAAAYAAAADAAAAAAAAAASAAAADAAAAAEAAAAeAAAAGAAAAL0AAAAEAAAA9wAAABEAAAAlAAAADAAAAAEAAABUAAAAiAAAAL4AAAAEAAAA9QAAABAAAAABAAAAYfe0QVU1tEG+AAAABAAAAAoAAABMAAAAAAAAAAAAAAAAAAAA//////////9gAAAAMgAyAC8AMAA2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AA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Object Id="idInvalidSigLnImg">AQAAAGwAAAAAAAAAAAAAAP8AAAB/AAAAAAAAAAAAAACfFgAARAsAACBFTUYAAAEAO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m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x7x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0tP/fwAAAAAAAAAAAAAoEgAAAAAAAEAAAMD/fwAA0EZm0/9/AAA+nPSI/38AAAQAAAAAAAAA0EZm0/9/AAD5vW8CCQAAAAAAAAAAAAAA8Kzq3IkBAAAAAAAAiQEAAEgAAAAAAAAAkGJUif9/AAAgU12J/38AAMC/K4kAAAAAAQAAAAAAAABuflSJ/38AAAAAZtP/fwAAAAAAAAAAAAAAAAAAAAAAAAAAAAAAAAAA0xVIs7x2AABwCwAAAAAAAJDc3tyJAQAASMBvAgkAAAAAAAAAAAAAAAAAAAAAAAAAAAAAAAAAAAAAAAAAAAAAAKm/bwIJAAAA33X0i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CAAAAYFZm0/9/AAAJAAAAAAAAAAkAAACJAQAApZv0iP9/AAAAAAAAAAAAAP////8AAAAAmOduAgkAAADgtTXkiQEAABEAAAD/fwAAAAAAAAAAAAAAAAAAAAAAAAAAAAAAAAAAYAfL0P9/AAARAAAAAAAAAPC4jOwAAAAAyLDW0P9/AAAAAAAAAAAAAP7/////////e0ymx/9/AAAAAAAAAAAAAAAAAAAAAAAAk0xJs7x2AABGf7fQAAAAAC3+2z+ltAAAsDV45IkBAACQ3N7ciQEAAPDobgIJAAAAAAAAAAAAAAAHAAAAAAAAAAAAAAAAAAAALOhu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gO93xiQEAAAAAAAAAAAAAAQAAAAAAAADw/9nciQEAAPCAxvGJAQAAUG/WFMI71gECAAAAAAAAAABKxoP/fwAAyErGg/9/AAADAAAAAAAAACjay4P/fwAA6N7Lg/9/AABgB8vQ/38AAECJyfGJAQAAAgAAAAAAAADIsNbQ/38AAAAAAAAAAAAAfhMkZZdfAAACAAAAAAAAAAAAAAAAAAAAAAAAAAAAAACDYUmzvHYAAAAAAAAAAAAA6N7Lg/9/AADg////AAAAAJDc3tyJAQAAGMxuAgkAAAAAAAAAAAAAAAYAAAAAAAAAAAAAAAAAAAA8y24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PAAAARwAAACkAAAAzAAAAZ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JBCyfEAAIA/HDwAgwAAgD8AAIA/AACAP/7/////////ENRuAgkAAACQQsnxAAAAAP////8AAAAAAAAAAAAAAAAIAAAAAAAAAGAHy9D/fwAAsGTJ8QAAgD8cPACDAAAAAMiw1tD/fwAAAAAAAAAAAADeEyRll18AAAAIAAAAAAAAAAAAAAAAAAAAAAAAAAAAAGNgSbO8dgAAAAAAAAAAAACwyGnxAACAP/D///8AAAAAkNze3IkBAAC4zG4CCQAAAAAAAAAAAAAACQAAAAAAAAAAAAAAAAAAANzLbgJkdgAIAAAAACUAAAAMAAAABAAAABgAAAAMAAAAAAAAABIAAAAMAAAAAQAAAB4AAAAYAAAAKQAAADMAAACQAAAASAAAACUAAAAMAAAABAAAAFQAAACcAAAAKgAAADMAAACOAAAARwAAAAEAAABh97RBVTW0QSoAAAAzAAAADQAAAEwAAAAAAAAAAAAAAAAAAAD//////////2gAAABFAGQAdQBhAHIAZABvACAATABhAHIAYQBuAAAACAAAAAkAAAAJAAAACAAAAAYAAAAJAAAACQAAAAQAAAAIAAAACAAAAAY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UAAAAXAAAAAEAAABh97RBVTW0QQoAAABQAAAADQAAAEwAAAAAAAAAAAAAAAAAAAD//////////2gAAABFAGQAdQBhAHIAZABvACAATABhAHIAYQBuAFMABgAAAAcAAAAHAAAABgAAAAQAAAAHAAAABwAAAAMAAAAF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wAAAAKAAAAYAAAAGUAAABsAAAAAQAAAGH3tEFVNbRBCgAAAGAAAAAQAAAATAAAAAAAAAAAAAAAAAAAAP//////////bAAAAEMAbwBuAHQAYQBkAG8AcgAgAEcAZQBuAGUAcgBhAGwABwAAAAcAAAAHAAAABAAAAAYAAAAHAAAABwAAAAQAAAADAAAACAAAAAYAAAAHAAAABgAAAAQAAAAGAAAAAwAAAEsAAABAAAAAMAAAAAUAAAAgAAAAAQAAAAEAAAAQAAAAAAAAAAAAAAAAAQAAgAAAAAAAAAAAAAAAAAEAAIAAAAAlAAAADAAAAAIAAAAnAAAAGAAAAAUAAAAAAAAA////AAAAAAAlAAAADAAAAAUAAABMAAAAZAAAAAkAAABwAAAA4AAAAHwAAAAJAAAAcAAAANgAAAANAAAAIQDwAAAAAAAAAAAAAACAPwAAAAAAAAAAAACAPwAAAAAAAAAAAAAAAAAAAAAAAAAAAAAAAAAAAAAAAAAAJQAAAAwAAAAAAACAKAAAAAwAAAAFAAAAJQAAAAwAAAABAAAAGAAAAAwAAAAAAAAAEgAAAAwAAAABAAAAFgAAAAwAAAAAAAAAVAAAACQBAAAKAAAAcAAAAN8AAAB8AAAAAQAAAGH3tEFVNbRBCgAAAHAAAAAkAAAATAAAAAQAAAAJAAAAcAAAAOEAAAB9AAAAlAAAAEYAaQByAG0AYQBkAG8AIABwAG8AcgA6ACAASgBPAFMARQAgAEUARABVAEEAUgBEAE8AIABMAEEAUgBBAE4AIABEAEkAQQBaAAYAAAADAAAABAAAAAkAAAAGAAAABwAAAAcAAAADAAAABwAAAAcAAAAEAAAAAwAAAAMAAAAEAAAACQAAAAYAAAAGAAAAAwAAAAYAAAAIAAAACAAAAAcAAAAHAAAACAAAAAkAAAADAAAABQAAAAcAAAAHAAAABwAAAAgAAAADAAAACAAAAAMAAAAHAAAABg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Balance General</vt:lpstr>
      <vt:lpstr>Estado de Resultados</vt:lpstr>
      <vt:lpstr>Flujo de Efectivo</vt:lpstr>
      <vt:lpstr>Variacion PN</vt:lpstr>
      <vt:lpstr>Notas</vt:lpstr>
      <vt:lpstr>'Balance General'!Área_de_impresión</vt:lpstr>
      <vt:lpstr>'Estado de Resultados'!Área_de_impresión</vt:lpstr>
      <vt:lpstr>'Flujo de Efectivo'!Área_de_impresión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Jose Eduardo Laran Diaz</cp:lastModifiedBy>
  <cp:lastPrinted>2020-03-12T13:12:06Z</cp:lastPrinted>
  <dcterms:created xsi:type="dcterms:W3CDTF">2017-03-20T17:23:58Z</dcterms:created>
  <dcterms:modified xsi:type="dcterms:W3CDTF">2020-06-21T19:35:17Z</dcterms:modified>
</cp:coreProperties>
</file>