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_xmlsignatures/sig2.xml" ContentType="application/vnd.openxmlformats-package.digital-signature-xmlsignature+xml"/>
  <Override PartName="/_xmlsignatures/sig3.xml" ContentType="application/vnd.openxmlformats-package.digital-signature-xmlsignature+xml"/>
  <Override PartName="/_xmlsignatures/sig4.xml" ContentType="application/vnd.openxmlformats-package.digital-signature-xmlsignature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digital-signature/origin" Target="_xmlsignatures/origin.sigs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3040" windowHeight="9192" tabRatio="938"/>
  </bookViews>
  <sheets>
    <sheet name="BAL" sheetId="17" r:id="rId1"/>
    <sheet name="EST resul" sheetId="26" r:id="rId2"/>
  </sheets>
  <calcPr calcId="162913"/>
</workbook>
</file>

<file path=xl/calcChain.xml><?xml version="1.0" encoding="utf-8"?>
<calcChain xmlns="http://schemas.openxmlformats.org/spreadsheetml/2006/main">
  <c r="Q10" i="26" l="1"/>
  <c r="Q16" i="26"/>
  <c r="Q15" i="26"/>
  <c r="Q17" i="26"/>
  <c r="N13" i="17"/>
  <c r="E11" i="17"/>
  <c r="N33" i="17"/>
  <c r="E16" i="26"/>
  <c r="E17" i="26"/>
  <c r="E23" i="26"/>
  <c r="E15" i="26"/>
  <c r="E33" i="17"/>
  <c r="E32" i="17"/>
  <c r="F33" i="17"/>
  <c r="D21" i="17" l="1"/>
  <c r="D13" i="17"/>
  <c r="G13" i="17"/>
  <c r="O50" i="17"/>
  <c r="O51" i="17" s="1"/>
  <c r="N50" i="17"/>
  <c r="O40" i="17"/>
  <c r="O41" i="17" s="1"/>
  <c r="N40" i="17"/>
  <c r="O36" i="17"/>
  <c r="N36" i="17"/>
  <c r="O23" i="17"/>
  <c r="N23" i="17"/>
  <c r="O15" i="17"/>
  <c r="O24" i="17" s="1"/>
  <c r="N15" i="17"/>
  <c r="N24" i="17" s="1"/>
  <c r="R10" i="26"/>
  <c r="R9" i="26"/>
  <c r="O26" i="26"/>
  <c r="O21" i="26"/>
  <c r="O31" i="26"/>
  <c r="O17" i="26"/>
  <c r="O23" i="26"/>
  <c r="O15" i="26"/>
  <c r="O16" i="26"/>
  <c r="Q18" i="26"/>
  <c r="P18" i="26"/>
  <c r="O18" i="26"/>
  <c r="Q12" i="26"/>
  <c r="P12" i="26"/>
  <c r="O12" i="26"/>
  <c r="M53" i="17"/>
  <c r="M51" i="17"/>
  <c r="M50" i="17"/>
  <c r="M41" i="17"/>
  <c r="M40" i="17"/>
  <c r="M36" i="17"/>
  <c r="M33" i="17"/>
  <c r="M24" i="17"/>
  <c r="M23" i="17"/>
  <c r="M13" i="17"/>
  <c r="M15" i="17"/>
  <c r="Q21" i="26" l="1"/>
  <c r="Q26" i="26" s="1"/>
  <c r="Q31" i="26" s="1"/>
  <c r="O53" i="17"/>
  <c r="P21" i="26"/>
  <c r="P26" i="26" s="1"/>
  <c r="P31" i="26" s="1"/>
  <c r="N41" i="17"/>
  <c r="N53" i="17" s="1"/>
  <c r="N51" i="17"/>
  <c r="D15" i="17"/>
  <c r="D23" i="17"/>
  <c r="F19" i="17" l="1"/>
  <c r="Q6" i="17" l="1"/>
  <c r="Q10" i="17"/>
  <c r="Q11" i="17"/>
  <c r="Q12" i="17"/>
  <c r="Q13" i="17"/>
  <c r="Q14" i="17"/>
  <c r="Q18" i="17"/>
  <c r="Q19" i="17"/>
  <c r="Q23" i="17" s="1"/>
  <c r="Q20" i="17"/>
  <c r="Q21" i="17"/>
  <c r="Q22" i="17"/>
  <c r="Q29" i="17"/>
  <c r="Q30" i="17"/>
  <c r="Q31" i="17"/>
  <c r="Q32" i="17"/>
  <c r="Q33" i="17"/>
  <c r="Q34" i="17"/>
  <c r="Q39" i="17"/>
  <c r="Q40" i="17" s="1"/>
  <c r="Q44" i="17"/>
  <c r="Q45" i="17"/>
  <c r="Q46" i="17"/>
  <c r="Q47" i="17"/>
  <c r="Q48" i="17"/>
  <c r="Q49" i="17"/>
  <c r="Q50" i="17" s="1"/>
  <c r="Q36" i="17" l="1"/>
  <c r="Q15" i="17"/>
  <c r="Q24" i="17" s="1"/>
  <c r="Q41" i="17"/>
  <c r="Q51" i="17" s="1"/>
  <c r="Q54" i="17" l="1"/>
  <c r="Q53" i="17"/>
  <c r="S28" i="26"/>
  <c r="S23" i="26"/>
  <c r="S17" i="26"/>
  <c r="S16" i="26"/>
  <c r="S15" i="26"/>
  <c r="S10" i="26"/>
  <c r="S9" i="26"/>
  <c r="S18" i="26" l="1"/>
  <c r="S12" i="26"/>
  <c r="S21" i="26" s="1"/>
  <c r="S26" i="26" s="1"/>
  <c r="S31" i="26" s="1"/>
  <c r="S7" i="26" l="1"/>
  <c r="O7" i="26"/>
  <c r="Q35" i="26" l="1"/>
  <c r="P35" i="26"/>
  <c r="O35" i="26"/>
  <c r="S36" i="26" l="1"/>
  <c r="D40" i="17" l="1"/>
  <c r="F36" i="17" l="1"/>
  <c r="E7" i="26" l="1"/>
  <c r="I7" i="26" s="1"/>
  <c r="H6" i="17"/>
  <c r="H20" i="17" l="1"/>
  <c r="H47" i="17"/>
  <c r="I29" i="26" l="1"/>
  <c r="G44" i="17" l="1"/>
  <c r="H48" i="17" l="1"/>
  <c r="H46" i="17"/>
  <c r="H45" i="17"/>
  <c r="H44" i="17"/>
  <c r="H35" i="17"/>
  <c r="H34" i="17"/>
  <c r="H19" i="17"/>
  <c r="H12" i="17"/>
  <c r="G18" i="26"/>
  <c r="G12" i="26"/>
  <c r="F40" i="17"/>
  <c r="F23" i="17"/>
  <c r="F15" i="17"/>
  <c r="I24" i="26"/>
  <c r="I11" i="26"/>
  <c r="F18" i="26"/>
  <c r="F12" i="26"/>
  <c r="E40" i="17"/>
  <c r="E36" i="17"/>
  <c r="E23" i="17"/>
  <c r="E15" i="17"/>
  <c r="G21" i="26" l="1"/>
  <c r="G26" i="26" s="1"/>
  <c r="G31" i="26" s="1"/>
  <c r="G35" i="26" s="1"/>
  <c r="F41" i="17"/>
  <c r="F24" i="17"/>
  <c r="E24" i="17"/>
  <c r="F21" i="26"/>
  <c r="F26" i="26" s="1"/>
  <c r="E41" i="17"/>
  <c r="E50" i="17" l="1"/>
  <c r="E53" i="17" s="1"/>
  <c r="F31" i="26"/>
  <c r="F35" i="26" s="1"/>
  <c r="E54" i="17" s="1"/>
  <c r="F54" i="17" l="1"/>
  <c r="F50" i="17"/>
  <c r="F53" i="17" s="1"/>
  <c r="E51" i="17"/>
  <c r="F51" i="17" l="1"/>
  <c r="H22" i="17" l="1"/>
  <c r="H21" i="17" l="1"/>
  <c r="H39" i="17" l="1"/>
  <c r="H40" i="17" s="1"/>
  <c r="G33" i="17" l="1"/>
  <c r="I28" i="26"/>
  <c r="I10" i="26" l="1"/>
  <c r="E12" i="26" l="1"/>
  <c r="I9" i="26"/>
  <c r="I12" i="26" s="1"/>
  <c r="I23" i="26" l="1"/>
  <c r="H11" i="17" l="1"/>
  <c r="I15" i="26" l="1"/>
  <c r="H32" i="17" l="1"/>
  <c r="H14" i="17" l="1"/>
  <c r="H30" i="17" l="1"/>
  <c r="H10" i="17" l="1"/>
  <c r="H33" i="17"/>
  <c r="H31" i="17"/>
  <c r="H18" i="17" l="1"/>
  <c r="H23" i="17" s="1"/>
  <c r="I17" i="26" l="1"/>
  <c r="I16" i="26" l="1"/>
  <c r="I18" i="26" s="1"/>
  <c r="I21" i="26" s="1"/>
  <c r="I26" i="26" s="1"/>
  <c r="I31" i="26" s="1"/>
  <c r="E18" i="26"/>
  <c r="E21" i="26" s="1"/>
  <c r="E26" i="26" s="1"/>
  <c r="E31" i="26" s="1"/>
  <c r="E35" i="26" s="1"/>
  <c r="H13" i="17"/>
  <c r="H15" i="17" s="1"/>
  <c r="H24" i="17" s="1"/>
  <c r="D24" i="17"/>
  <c r="I36" i="26" l="1"/>
  <c r="H29" i="17" l="1"/>
  <c r="H36" i="17" s="1"/>
  <c r="H41" i="17" s="1"/>
  <c r="D36" i="17"/>
  <c r="D41" i="17" l="1"/>
  <c r="D50" i="17"/>
  <c r="H49" i="17"/>
  <c r="H50" i="17" s="1"/>
  <c r="H51" i="17" s="1"/>
  <c r="H54" i="17" l="1"/>
  <c r="D53" i="17"/>
  <c r="D51" i="17"/>
  <c r="H53" i="17" s="1"/>
</calcChain>
</file>

<file path=xl/sharedStrings.xml><?xml version="1.0" encoding="utf-8"?>
<sst xmlns="http://schemas.openxmlformats.org/spreadsheetml/2006/main" count="148" uniqueCount="68">
  <si>
    <t>PASIVO</t>
  </si>
  <si>
    <t>PATRIMONIO NETO</t>
  </si>
  <si>
    <t>Ventas Netas</t>
  </si>
  <si>
    <t>Impuesto a la Renta</t>
  </si>
  <si>
    <t>Total Pasivo Corriente</t>
  </si>
  <si>
    <t>ACTIVO</t>
  </si>
  <si>
    <t>CIM S.A.</t>
  </si>
  <si>
    <t xml:space="preserve">  Corriente</t>
  </si>
  <si>
    <t xml:space="preserve">  No Corriente</t>
  </si>
  <si>
    <t>Total Activo Corriente</t>
  </si>
  <si>
    <t>TOTAL ACTIVO</t>
  </si>
  <si>
    <t xml:space="preserve">     Total Activo no Corriente</t>
  </si>
  <si>
    <t>TOTAL PASIVO</t>
  </si>
  <si>
    <t xml:space="preserve">       Resultados Acumulados</t>
  </si>
  <si>
    <t xml:space="preserve">       Resultados del Ejercicio</t>
  </si>
  <si>
    <t>TOTAL PATRIMONIO NETO</t>
  </si>
  <si>
    <t>TOTAL PASIVO Y PATRIMONIO NETO</t>
  </si>
  <si>
    <t xml:space="preserve">POR EL PERIODO COMPRENDIDO ENTRE EL </t>
  </si>
  <si>
    <t>TOTAL</t>
  </si>
  <si>
    <t xml:space="preserve">     Total Pasivo no Corriente</t>
  </si>
  <si>
    <t>control</t>
  </si>
  <si>
    <t xml:space="preserve">              ( Expresado en guaraníes )</t>
  </si>
  <si>
    <t xml:space="preserve">       Disponibilidades </t>
  </si>
  <si>
    <t xml:space="preserve">       Créditos por ventas </t>
  </si>
  <si>
    <t xml:space="preserve">        Previsión para incobrables  </t>
  </si>
  <si>
    <t xml:space="preserve">       Otros Créditos </t>
  </si>
  <si>
    <t xml:space="preserve">       Bienes de Cambio </t>
  </si>
  <si>
    <t xml:space="preserve">       Cargos diferidos  NC </t>
  </si>
  <si>
    <t xml:space="preserve">       Bienes de Uso  </t>
  </si>
  <si>
    <t xml:space="preserve">       Inversiones Permanentes </t>
  </si>
  <si>
    <t xml:space="preserve">       Deudas Comerciales </t>
  </si>
  <si>
    <t xml:space="preserve">       Deudas Financieras </t>
  </si>
  <si>
    <t xml:space="preserve">       Cargas Fiscales a Pagar </t>
  </si>
  <si>
    <t xml:space="preserve">       Remuneraciones y Cargas Sociales </t>
  </si>
  <si>
    <t xml:space="preserve">       Otros Pasivos </t>
  </si>
  <si>
    <t xml:space="preserve">       Deudas Financieras LP </t>
  </si>
  <si>
    <t xml:space="preserve">       Reservas </t>
  </si>
  <si>
    <t xml:space="preserve">                                                               ( Expresado en guaraníes )</t>
  </si>
  <si>
    <t>Menos: Costos de Mercaderías Vendidas</t>
  </si>
  <si>
    <t>Ganancia Bruta</t>
  </si>
  <si>
    <t>Menos: Gastos Operativos</t>
  </si>
  <si>
    <t xml:space="preserve">         De Comercialización</t>
  </si>
  <si>
    <t xml:space="preserve">         De Administración</t>
  </si>
  <si>
    <t xml:space="preserve">         Financieros</t>
  </si>
  <si>
    <t>Resultado por Operaciones Ordinarias</t>
  </si>
  <si>
    <t>Más: Ingresos Extraordinarios</t>
  </si>
  <si>
    <t>Menos: Gastos No Operativos</t>
  </si>
  <si>
    <t>Ganancia del Ejercicio</t>
  </si>
  <si>
    <t>Diferencia de cambio (+) (-)</t>
  </si>
  <si>
    <t>Ganancia Neta</t>
  </si>
  <si>
    <t xml:space="preserve">       Provisiones</t>
  </si>
  <si>
    <t xml:space="preserve">       Capital  Social</t>
  </si>
  <si>
    <t xml:space="preserve">       Capital  a Integrar</t>
  </si>
  <si>
    <t xml:space="preserve">       Aportes Irrevocable a Capitalizar</t>
  </si>
  <si>
    <t>EL BARRIO</t>
  </si>
  <si>
    <t>BPSA</t>
  </si>
  <si>
    <t xml:space="preserve">       Ganancias Diferidas</t>
  </si>
  <si>
    <t>NETEO</t>
  </si>
  <si>
    <t xml:space="preserve">                                                     BALANCE GENERAL  CONSOLIDADO</t>
  </si>
  <si>
    <t xml:space="preserve">  ESTADOS DE RESULTADOS  CONSOLIDADO</t>
  </si>
  <si>
    <t xml:space="preserve">       Activos Intangibles</t>
  </si>
  <si>
    <t xml:space="preserve">       Previsión por Inversión en Otras Empresas</t>
  </si>
  <si>
    <t xml:space="preserve">                                                             AL 30 DE SETIEMBRE DE 2021</t>
  </si>
  <si>
    <t>30.09.2021</t>
  </si>
  <si>
    <t xml:space="preserve">      1° DE ENERO AL 30 DE SETIEMBRE DE 2022</t>
  </si>
  <si>
    <t xml:space="preserve">                                                             AL 30 DE SETIEMBRE DE 2022</t>
  </si>
  <si>
    <t>30.09.2022</t>
  </si>
  <si>
    <t xml:space="preserve">      1° DE ENERO AL 30 DE SETIEMBRE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</si>
</sst>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_-* #,##0.00\ _P_t_s_-;\-* #,##0.00\ _P_t_s_-;_-* &quot;-&quot;??\ _P_t_s_-;_-@_-"/>
    <numFmt numFmtId="165" formatCode="_-* #,##0.00\ [$€]_-;\-* #,##0.00\ [$€]_-;_-* &quot;-&quot;??\ [$€]_-;_-@_-"/>
    <numFmt numFmtId="166" formatCode="#,##0_ ;[Red]\-#,##0\ 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Courier"/>
      <family val="3"/>
    </font>
    <font>
      <sz val="10"/>
      <name val="Cambria"/>
      <family val="1"/>
      <scheme val="major"/>
    </font>
    <font>
      <sz val="7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7"/>
      <color theme="1"/>
      <name val="Calibri"/>
      <family val="2"/>
      <scheme val="minor"/>
    </font>
    <font>
      <b/>
      <sz val="7"/>
      <name val="Calibri"/>
      <family val="2"/>
      <scheme val="minor"/>
    </font>
    <font>
      <sz val="7"/>
      <name val="Calibri"/>
      <family val="2"/>
    </font>
    <font>
      <b/>
      <i/>
      <sz val="12"/>
      <name val="Cambria"/>
      <family val="1"/>
      <scheme val="major"/>
    </font>
    <font>
      <b/>
      <sz val="7"/>
      <color theme="1"/>
      <name val="Cambria"/>
      <family val="1"/>
      <scheme val="major"/>
    </font>
    <font>
      <sz val="7"/>
      <color theme="1"/>
      <name val="Cambria"/>
      <family val="1"/>
      <scheme val="major"/>
    </font>
    <font>
      <b/>
      <sz val="7"/>
      <color rgb="FF000000"/>
      <name val="Cambria"/>
      <family val="1"/>
      <scheme val="maj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7"/>
      <name val="Cambria"/>
      <family val="1"/>
      <scheme val="major"/>
    </font>
    <font>
      <sz val="7"/>
      <color rgb="FFFF0000"/>
      <name val="Calibri"/>
      <family val="2"/>
      <scheme val="minor"/>
    </font>
    <font>
      <sz val="10"/>
      <color rgb="FFFF0000"/>
      <name val="Cambria"/>
      <family val="1"/>
      <scheme val="major"/>
    </font>
    <font>
      <b/>
      <sz val="7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3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7" fontId="2" fillId="0" borderId="0"/>
    <xf numFmtId="0" fontId="1" fillId="0" borderId="0"/>
    <xf numFmtId="0" fontId="6" fillId="0" borderId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</cellStyleXfs>
  <cellXfs count="49">
    <xf numFmtId="0" fontId="0" fillId="0" borderId="0" xfId="0"/>
    <xf numFmtId="0" fontId="4" fillId="0" borderId="0" xfId="0" applyFont="1" applyFill="1"/>
    <xf numFmtId="0" fontId="8" fillId="0" borderId="0" xfId="0" applyFont="1" applyFill="1" applyAlignment="1">
      <alignment horizontal="left" vertical="center" readingOrder="1"/>
    </xf>
    <xf numFmtId="0" fontId="8" fillId="0" borderId="2" xfId="0" applyFont="1" applyFill="1" applyBorder="1" applyAlignment="1">
      <alignment horizontal="center"/>
    </xf>
    <xf numFmtId="0" fontId="8" fillId="0" borderId="0" xfId="0" applyFont="1" applyFill="1"/>
    <xf numFmtId="3" fontId="4" fillId="0" borderId="0" xfId="0" applyNumberFormat="1" applyFont="1" applyFill="1"/>
    <xf numFmtId="3" fontId="8" fillId="0" borderId="1" xfId="0" applyNumberFormat="1" applyFont="1" applyFill="1" applyBorder="1"/>
    <xf numFmtId="3" fontId="8" fillId="0" borderId="0" xfId="0" applyNumberFormat="1" applyFont="1" applyFill="1"/>
    <xf numFmtId="3" fontId="8" fillId="0" borderId="5" xfId="0" applyNumberFormat="1" applyFont="1" applyFill="1" applyBorder="1"/>
    <xf numFmtId="3" fontId="4" fillId="0" borderId="1" xfId="0" applyNumberFormat="1" applyFont="1" applyFill="1" applyBorder="1"/>
    <xf numFmtId="3" fontId="8" fillId="0" borderId="3" xfId="0" applyNumberFormat="1" applyFont="1" applyFill="1" applyBorder="1"/>
    <xf numFmtId="0" fontId="9" fillId="0" borderId="0" xfId="0" applyFont="1" applyFill="1" applyAlignment="1">
      <alignment horizontal="left" vertical="center"/>
    </xf>
    <xf numFmtId="3" fontId="4" fillId="0" borderId="2" xfId="0" applyNumberFormat="1" applyFont="1" applyFill="1" applyBorder="1" applyAlignment="1">
      <alignment horizontal="right"/>
    </xf>
    <xf numFmtId="3" fontId="14" fillId="0" borderId="2" xfId="0" applyNumberFormat="1" applyFont="1" applyFill="1" applyBorder="1" applyAlignment="1">
      <alignment horizontal="center"/>
    </xf>
    <xf numFmtId="3" fontId="15" fillId="0" borderId="0" xfId="0" applyNumberFormat="1" applyFont="1" applyFill="1"/>
    <xf numFmtId="0" fontId="8" fillId="0" borderId="0" xfId="0" applyFont="1" applyFill="1" applyBorder="1" applyAlignment="1">
      <alignment horizontal="center"/>
    </xf>
    <xf numFmtId="3" fontId="4" fillId="0" borderId="0" xfId="0" applyNumberFormat="1" applyFont="1" applyFill="1" applyBorder="1"/>
    <xf numFmtId="3" fontId="8" fillId="0" borderId="0" xfId="0" applyNumberFormat="1" applyFont="1" applyFill="1" applyBorder="1"/>
    <xf numFmtId="3" fontId="4" fillId="0" borderId="0" xfId="0" applyNumberFormat="1" applyFont="1" applyFill="1" applyBorder="1" applyAlignment="1">
      <alignment horizontal="right"/>
    </xf>
    <xf numFmtId="0" fontId="7" fillId="0" borderId="0" xfId="0" applyFont="1" applyFill="1"/>
    <xf numFmtId="3" fontId="7" fillId="0" borderId="0" xfId="0" applyNumberFormat="1" applyFont="1" applyFill="1"/>
    <xf numFmtId="0" fontId="0" fillId="0" borderId="0" xfId="0" applyFill="1"/>
    <xf numFmtId="0" fontId="13" fillId="0" borderId="0" xfId="0" applyFont="1" applyFill="1" applyAlignment="1">
      <alignment horizontal="left" vertical="center" readingOrder="1"/>
    </xf>
    <xf numFmtId="3" fontId="5" fillId="0" borderId="0" xfId="0" applyNumberFormat="1" applyFont="1" applyFill="1" applyAlignment="1">
      <alignment horizontal="center"/>
    </xf>
    <xf numFmtId="3" fontId="5" fillId="0" borderId="0" xfId="0" applyNumberFormat="1" applyFont="1" applyFill="1"/>
    <xf numFmtId="0" fontId="3" fillId="0" borderId="0" xfId="1" applyFont="1" applyFill="1"/>
    <xf numFmtId="3" fontId="3" fillId="0" borderId="0" xfId="1" applyNumberFormat="1" applyFont="1" applyFill="1"/>
    <xf numFmtId="0" fontId="16" fillId="0" borderId="0" xfId="1" applyFont="1" applyFill="1" applyAlignment="1">
      <alignment horizontal="left" vertical="center"/>
    </xf>
    <xf numFmtId="0" fontId="10" fillId="0" borderId="0" xfId="1" applyFont="1" applyFill="1" applyAlignment="1">
      <alignment horizontal="center" vertical="center"/>
    </xf>
    <xf numFmtId="3" fontId="10" fillId="0" borderId="0" xfId="1" applyNumberFormat="1" applyFont="1" applyFill="1" applyAlignment="1">
      <alignment horizontal="center" vertical="center"/>
    </xf>
    <xf numFmtId="0" fontId="11" fillId="0" borderId="0" xfId="0" applyFont="1" applyFill="1"/>
    <xf numFmtId="0" fontId="12" fillId="0" borderId="0" xfId="0" applyFont="1" applyFill="1" applyBorder="1"/>
    <xf numFmtId="3" fontId="12" fillId="0" borderId="0" xfId="0" applyNumberFormat="1" applyFont="1" applyFill="1" applyBorder="1"/>
    <xf numFmtId="3" fontId="7" fillId="0" borderId="0" xfId="0" applyNumberFormat="1" applyFont="1" applyFill="1" applyBorder="1"/>
    <xf numFmtId="0" fontId="13" fillId="0" borderId="0" xfId="0" applyFont="1" applyFill="1" applyAlignment="1">
      <alignment horizontal="left" vertical="center"/>
    </xf>
    <xf numFmtId="3" fontId="0" fillId="0" borderId="0" xfId="0" applyNumberFormat="1" applyFill="1"/>
    <xf numFmtId="0" fontId="5" fillId="0" borderId="0" xfId="0" applyFont="1" applyFill="1"/>
    <xf numFmtId="3" fontId="5" fillId="0" borderId="1" xfId="0" applyNumberFormat="1" applyFont="1" applyFill="1" applyBorder="1"/>
    <xf numFmtId="3" fontId="5" fillId="0" borderId="2" xfId="0" applyNumberFormat="1" applyFont="1" applyFill="1" applyBorder="1"/>
    <xf numFmtId="3" fontId="5" fillId="0" borderId="5" xfId="0" applyNumberFormat="1" applyFont="1" applyFill="1" applyBorder="1"/>
    <xf numFmtId="3" fontId="0" fillId="0" borderId="4" xfId="0" applyNumberFormat="1" applyFill="1" applyBorder="1"/>
    <xf numFmtId="3" fontId="15" fillId="0" borderId="0" xfId="0" applyNumberFormat="1" applyFont="1" applyFill="1" applyAlignment="1">
      <alignment horizontal="center"/>
    </xf>
    <xf numFmtId="3" fontId="17" fillId="0" borderId="0" xfId="0" applyNumberFormat="1" applyFont="1" applyFill="1"/>
    <xf numFmtId="166" fontId="7" fillId="0" borderId="0" xfId="0" applyNumberFormat="1" applyFont="1"/>
    <xf numFmtId="166" fontId="0" fillId="0" borderId="0" xfId="0" applyNumberFormat="1"/>
    <xf numFmtId="3" fontId="7" fillId="0" borderId="0" xfId="0" applyNumberFormat="1" applyFont="1"/>
    <xf numFmtId="0" fontId="18" fillId="0" borderId="0" xfId="1" applyFont="1" applyFill="1"/>
    <xf numFmtId="3" fontId="0" fillId="0" borderId="0" xfId="0" applyNumberFormat="1" applyFont="1" applyFill="1"/>
    <xf numFmtId="3" fontId="19" fillId="0" borderId="0" xfId="0" applyNumberFormat="1" applyFont="1" applyFill="1"/>
  </cellXfs>
  <cellStyles count="13">
    <cellStyle name="Euro" xfId="12"/>
    <cellStyle name="Millares 2" xfId="2"/>
    <cellStyle name="Millares 2 2" xfId="3"/>
    <cellStyle name="Millares 2 2 2" xfId="4"/>
    <cellStyle name="Millares 2 3" xfId="5"/>
    <cellStyle name="Millares 3" xfId="6"/>
    <cellStyle name="Millares 3 2" xfId="7"/>
    <cellStyle name="Millares 4" xfId="11"/>
    <cellStyle name="Normal" xfId="0" builtinId="0"/>
    <cellStyle name="Normal 2" xfId="1"/>
    <cellStyle name="Normal 2 2" xfId="8"/>
    <cellStyle name="Normal 3" xfId="9"/>
    <cellStyle name="Normal 4" xfId="1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S57"/>
  <sheetViews>
    <sheetView showGridLines="0" tabSelected="1" topLeftCell="C1" workbookViewId="0">
      <selection activeCell="O49" sqref="O49"/>
    </sheetView>
  </sheetViews>
  <sheetFormatPr baseColWidth="10" defaultColWidth="11.44140625" defaultRowHeight="14.4" x14ac:dyDescent="0.3"/>
  <cols>
    <col min="1" max="1" width="7.88671875" style="21" customWidth="1"/>
    <col min="2" max="2" width="30.5546875" style="19" bestFit="1" customWidth="1"/>
    <col min="3" max="3" width="11.44140625" style="19"/>
    <col min="4" max="8" width="12" style="19" customWidth="1"/>
    <col min="9" max="9" width="7.5546875" style="19" customWidth="1"/>
    <col min="10" max="10" width="3" style="21" customWidth="1"/>
    <col min="11" max="11" width="30.5546875" style="19" bestFit="1" customWidth="1"/>
    <col min="12" max="12" width="11.44140625" style="19"/>
    <col min="13" max="17" width="12" style="19" customWidth="1"/>
    <col min="18" max="18" width="11.44140625" style="21"/>
    <col min="19" max="19" width="12.6640625" style="21" bestFit="1" customWidth="1"/>
    <col min="20" max="16384" width="11.44140625" style="21"/>
  </cols>
  <sheetData>
    <row r="2" spans="1:19" x14ac:dyDescent="0.3">
      <c r="A2" s="2" t="s">
        <v>58</v>
      </c>
      <c r="B2" s="2" t="s">
        <v>58</v>
      </c>
      <c r="D2" s="1"/>
      <c r="E2" s="1"/>
      <c r="F2" s="1"/>
      <c r="G2" s="1"/>
      <c r="H2" s="1"/>
      <c r="I2" s="1"/>
      <c r="J2" s="2" t="s">
        <v>58</v>
      </c>
      <c r="K2" s="2" t="s">
        <v>58</v>
      </c>
      <c r="M2" s="1"/>
      <c r="N2" s="1"/>
      <c r="O2" s="1"/>
      <c r="P2" s="1"/>
      <c r="Q2" s="1"/>
    </row>
    <row r="3" spans="1:19" x14ac:dyDescent="0.3">
      <c r="A3" s="2"/>
      <c r="B3" s="2" t="s">
        <v>65</v>
      </c>
      <c r="D3" s="1"/>
      <c r="E3" s="1"/>
      <c r="F3" s="1"/>
      <c r="G3" s="1"/>
      <c r="H3" s="1"/>
      <c r="I3" s="1"/>
      <c r="J3" s="2"/>
      <c r="K3" s="2" t="s">
        <v>62</v>
      </c>
      <c r="M3" s="1"/>
      <c r="N3" s="1"/>
      <c r="O3" s="1"/>
      <c r="P3" s="1"/>
      <c r="Q3" s="1"/>
    </row>
    <row r="4" spans="1:19" x14ac:dyDescent="0.3">
      <c r="A4" s="22" t="s">
        <v>37</v>
      </c>
      <c r="B4" s="22" t="s">
        <v>37</v>
      </c>
      <c r="C4" s="1"/>
      <c r="D4" s="1"/>
      <c r="E4" s="1"/>
      <c r="F4" s="1"/>
      <c r="G4" s="1"/>
      <c r="H4" s="1"/>
      <c r="I4" s="1"/>
      <c r="J4" s="22" t="s">
        <v>37</v>
      </c>
      <c r="K4" s="22" t="s">
        <v>37</v>
      </c>
      <c r="L4" s="1"/>
      <c r="M4" s="1"/>
      <c r="N4" s="1"/>
      <c r="O4" s="1"/>
      <c r="P4" s="1"/>
      <c r="Q4" s="1"/>
    </row>
    <row r="5" spans="1:19" x14ac:dyDescent="0.3">
      <c r="B5" s="22"/>
      <c r="C5" s="1"/>
      <c r="D5" s="23" t="s">
        <v>55</v>
      </c>
      <c r="E5" s="23" t="s">
        <v>6</v>
      </c>
      <c r="F5" s="24" t="s">
        <v>54</v>
      </c>
      <c r="G5" s="23" t="s">
        <v>57</v>
      </c>
      <c r="H5" s="23" t="s">
        <v>18</v>
      </c>
      <c r="I5" s="1"/>
      <c r="K5" s="22"/>
      <c r="L5" s="1"/>
      <c r="M5" s="23" t="s">
        <v>55</v>
      </c>
      <c r="N5" s="23" t="s">
        <v>6</v>
      </c>
      <c r="O5" s="24" t="s">
        <v>54</v>
      </c>
      <c r="P5" s="23" t="s">
        <v>57</v>
      </c>
      <c r="Q5" s="23" t="s">
        <v>18</v>
      </c>
    </row>
    <row r="6" spans="1:19" x14ac:dyDescent="0.3">
      <c r="B6" s="1"/>
      <c r="C6" s="1"/>
      <c r="D6" s="3" t="s">
        <v>66</v>
      </c>
      <c r="E6" s="15"/>
      <c r="F6" s="15"/>
      <c r="G6" s="15"/>
      <c r="H6" s="3" t="str">
        <f>D6</f>
        <v>30.09.2022</v>
      </c>
      <c r="I6" s="1"/>
      <c r="K6" s="1"/>
      <c r="L6" s="1"/>
      <c r="M6" s="3" t="s">
        <v>63</v>
      </c>
      <c r="N6" s="15"/>
      <c r="O6" s="15"/>
      <c r="P6" s="15"/>
      <c r="Q6" s="3" t="str">
        <f>M6</f>
        <v>30.09.2021</v>
      </c>
    </row>
    <row r="7" spans="1:19" x14ac:dyDescent="0.3">
      <c r="B7" s="4" t="s">
        <v>5</v>
      </c>
      <c r="C7" s="1"/>
      <c r="D7" s="1"/>
      <c r="E7" s="1"/>
      <c r="F7" s="5"/>
      <c r="G7" s="1"/>
      <c r="H7" s="1"/>
      <c r="I7" s="1"/>
      <c r="K7" s="4" t="s">
        <v>5</v>
      </c>
      <c r="L7" s="1"/>
      <c r="M7" s="1"/>
      <c r="N7" s="1"/>
      <c r="O7" s="1"/>
      <c r="P7" s="1"/>
      <c r="Q7" s="1"/>
    </row>
    <row r="8" spans="1:19" ht="6" customHeight="1" x14ac:dyDescent="0.3">
      <c r="B8" s="1"/>
      <c r="C8" s="1"/>
      <c r="D8" s="1"/>
      <c r="E8" s="1"/>
      <c r="F8" s="1"/>
      <c r="G8" s="1"/>
      <c r="H8" s="1"/>
      <c r="I8" s="1"/>
      <c r="K8" s="1"/>
      <c r="L8" s="1"/>
      <c r="M8" s="1"/>
      <c r="N8" s="1"/>
      <c r="O8" s="1"/>
      <c r="P8" s="1"/>
      <c r="Q8" s="1"/>
    </row>
    <row r="9" spans="1:19" x14ac:dyDescent="0.3">
      <c r="B9" s="4" t="s">
        <v>7</v>
      </c>
      <c r="C9" s="1"/>
      <c r="D9" s="1"/>
      <c r="E9" s="1"/>
      <c r="F9" s="1"/>
      <c r="G9" s="1"/>
      <c r="H9" s="1"/>
      <c r="I9" s="1"/>
      <c r="K9" s="4" t="s">
        <v>7</v>
      </c>
      <c r="L9" s="1"/>
      <c r="M9" s="1"/>
      <c r="N9" s="1"/>
      <c r="O9" s="1"/>
      <c r="P9" s="1"/>
      <c r="Q9" s="1"/>
    </row>
    <row r="10" spans="1:19" x14ac:dyDescent="0.3">
      <c r="B10" s="1" t="s">
        <v>22</v>
      </c>
      <c r="C10" s="1"/>
      <c r="D10" s="5">
        <v>1526707052</v>
      </c>
      <c r="E10" s="5">
        <v>58494120</v>
      </c>
      <c r="F10" s="5">
        <v>69900207</v>
      </c>
      <c r="G10" s="5"/>
      <c r="H10" s="5">
        <f>SUM(D10:G10)</f>
        <v>1655101379</v>
      </c>
      <c r="I10" s="5"/>
      <c r="K10" s="1" t="s">
        <v>22</v>
      </c>
      <c r="L10" s="1"/>
      <c r="M10" s="5">
        <v>300170491</v>
      </c>
      <c r="N10" s="5">
        <v>51529120</v>
      </c>
      <c r="O10" s="5">
        <v>82362422</v>
      </c>
      <c r="P10" s="5"/>
      <c r="Q10" s="5">
        <f>SUM(M10:P10)</f>
        <v>434062033</v>
      </c>
      <c r="S10" s="35"/>
    </row>
    <row r="11" spans="1:19" x14ac:dyDescent="0.3">
      <c r="B11" s="1" t="s">
        <v>23</v>
      </c>
      <c r="C11" s="1"/>
      <c r="D11" s="5">
        <v>18168807781</v>
      </c>
      <c r="E11" s="5">
        <f>193248053+600000000</f>
        <v>793248053</v>
      </c>
      <c r="F11" s="45">
        <v>169668081</v>
      </c>
      <c r="G11" s="5"/>
      <c r="H11" s="5">
        <f t="shared" ref="H11:H14" si="0">SUM(D11:G11)</f>
        <v>19131723915</v>
      </c>
      <c r="I11" s="5"/>
      <c r="K11" s="1" t="s">
        <v>23</v>
      </c>
      <c r="L11" s="1"/>
      <c r="M11" s="5">
        <v>20360029007</v>
      </c>
      <c r="N11" s="5">
        <v>568500713</v>
      </c>
      <c r="O11" s="5">
        <v>719028146</v>
      </c>
      <c r="P11" s="5"/>
      <c r="Q11" s="5">
        <f t="shared" ref="Q11:Q14" si="1">SUM(M11:P11)</f>
        <v>21647557866</v>
      </c>
    </row>
    <row r="12" spans="1:19" x14ac:dyDescent="0.3">
      <c r="B12" s="1" t="s">
        <v>24</v>
      </c>
      <c r="C12" s="1"/>
      <c r="D12" s="5">
        <v>-758363176</v>
      </c>
      <c r="E12" s="5">
        <v>0</v>
      </c>
      <c r="F12" s="5">
        <v>0</v>
      </c>
      <c r="G12" s="5"/>
      <c r="H12" s="5">
        <f t="shared" si="0"/>
        <v>-758363176</v>
      </c>
      <c r="I12" s="42"/>
      <c r="K12" s="1" t="s">
        <v>24</v>
      </c>
      <c r="L12" s="1"/>
      <c r="M12" s="5">
        <v>-758363176</v>
      </c>
      <c r="N12" s="5">
        <v>0</v>
      </c>
      <c r="O12" s="5">
        <v>0</v>
      </c>
      <c r="P12" s="5"/>
      <c r="Q12" s="5">
        <f t="shared" si="1"/>
        <v>-758363176</v>
      </c>
    </row>
    <row r="13" spans="1:19" x14ac:dyDescent="0.3">
      <c r="B13" s="1" t="s">
        <v>25</v>
      </c>
      <c r="C13" s="1"/>
      <c r="D13" s="5">
        <f>20877428480+2931591555+600000000</f>
        <v>24409020035</v>
      </c>
      <c r="E13" s="5">
        <v>3881502448</v>
      </c>
      <c r="F13" s="5">
        <v>1543222532</v>
      </c>
      <c r="G13" s="48">
        <f>-3753127357-1542695901</f>
        <v>-5295823258</v>
      </c>
      <c r="H13" s="5">
        <f t="shared" si="0"/>
        <v>24537921757</v>
      </c>
      <c r="I13" s="42"/>
      <c r="K13" s="1" t="s">
        <v>25</v>
      </c>
      <c r="L13" s="1"/>
      <c r="M13" s="5">
        <f>12654728462+612000000</f>
        <v>13266728462</v>
      </c>
      <c r="N13" s="5">
        <f>2582154995+900000000+200000000</f>
        <v>3682154995</v>
      </c>
      <c r="O13" s="5">
        <v>1492797294</v>
      </c>
      <c r="P13" s="5">
        <v>5117615698</v>
      </c>
      <c r="Q13" s="5">
        <f t="shared" si="1"/>
        <v>23559296449</v>
      </c>
    </row>
    <row r="14" spans="1:19" x14ac:dyDescent="0.3">
      <c r="B14" s="1" t="s">
        <v>26</v>
      </c>
      <c r="C14" s="1"/>
      <c r="D14" s="5">
        <v>266285085</v>
      </c>
      <c r="E14" s="16">
        <v>1789941535</v>
      </c>
      <c r="F14" s="16">
        <v>0</v>
      </c>
      <c r="G14" s="16"/>
      <c r="H14" s="5">
        <f t="shared" si="0"/>
        <v>2056226620</v>
      </c>
      <c r="I14" s="5"/>
      <c r="K14" s="1" t="s">
        <v>26</v>
      </c>
      <c r="L14" s="1"/>
      <c r="M14" s="5">
        <v>1407248125</v>
      </c>
      <c r="N14" s="16">
        <v>1523552410</v>
      </c>
      <c r="O14" s="16">
        <v>89654210</v>
      </c>
      <c r="P14" s="16"/>
      <c r="Q14" s="5">
        <f t="shared" si="1"/>
        <v>3020454745</v>
      </c>
    </row>
    <row r="15" spans="1:19" x14ac:dyDescent="0.3">
      <c r="B15" s="4" t="s">
        <v>9</v>
      </c>
      <c r="C15" s="1"/>
      <c r="D15" s="6">
        <f>SUM(D10:D14)</f>
        <v>43612456777</v>
      </c>
      <c r="E15" s="6">
        <f>SUM(E10:E14)</f>
        <v>6523186156</v>
      </c>
      <c r="F15" s="6">
        <f>SUM(F10:F14)</f>
        <v>1782790820</v>
      </c>
      <c r="G15" s="17"/>
      <c r="H15" s="6">
        <f>SUM(H10:H14)</f>
        <v>46622610495</v>
      </c>
      <c r="I15" s="7"/>
      <c r="K15" s="4" t="s">
        <v>9</v>
      </c>
      <c r="L15" s="1"/>
      <c r="M15" s="6">
        <f>SUM(M10:M14)</f>
        <v>34575812909</v>
      </c>
      <c r="N15" s="6">
        <f t="shared" ref="N15:Q15" si="2">SUM(N10:N14)</f>
        <v>5825737238</v>
      </c>
      <c r="O15" s="6">
        <f t="shared" si="2"/>
        <v>2383842072</v>
      </c>
      <c r="P15" s="17"/>
      <c r="Q15" s="6">
        <f t="shared" si="2"/>
        <v>47903007917</v>
      </c>
    </row>
    <row r="16" spans="1:19" ht="9" customHeight="1" x14ac:dyDescent="0.3">
      <c r="B16" s="1"/>
      <c r="C16" s="1"/>
      <c r="D16" s="5"/>
      <c r="E16" s="5"/>
      <c r="F16" s="5"/>
      <c r="G16" s="5"/>
      <c r="H16" s="5"/>
      <c r="I16" s="5"/>
      <c r="K16" s="1"/>
      <c r="L16" s="1"/>
      <c r="M16" s="5"/>
      <c r="N16" s="5"/>
      <c r="O16" s="5"/>
      <c r="P16" s="5"/>
      <c r="Q16" s="5"/>
    </row>
    <row r="17" spans="2:17" x14ac:dyDescent="0.3">
      <c r="B17" s="4" t="s">
        <v>8</v>
      </c>
      <c r="C17" s="1"/>
      <c r="D17" s="5"/>
      <c r="E17" s="5"/>
      <c r="F17" s="5"/>
      <c r="G17" s="5"/>
      <c r="H17" s="5"/>
      <c r="I17" s="5"/>
      <c r="K17" s="4" t="s">
        <v>8</v>
      </c>
      <c r="L17" s="1"/>
      <c r="M17" s="5"/>
      <c r="N17" s="5"/>
      <c r="O17" s="5"/>
      <c r="P17" s="5"/>
      <c r="Q17" s="5"/>
    </row>
    <row r="18" spans="2:17" x14ac:dyDescent="0.3">
      <c r="B18" s="1" t="s">
        <v>27</v>
      </c>
      <c r="C18" s="1"/>
      <c r="D18" s="5">
        <v>5887569520</v>
      </c>
      <c r="E18" s="5">
        <v>0</v>
      </c>
      <c r="F18" s="5">
        <v>0</v>
      </c>
      <c r="G18" s="5"/>
      <c r="H18" s="5">
        <f t="shared" ref="H18:H22" si="3">SUM(D18:G18)</f>
        <v>5887569520</v>
      </c>
      <c r="I18" s="5"/>
      <c r="K18" s="1" t="s">
        <v>27</v>
      </c>
      <c r="L18" s="1"/>
      <c r="M18" s="5">
        <v>77052491</v>
      </c>
      <c r="N18" s="5">
        <v>0</v>
      </c>
      <c r="O18" s="5">
        <v>0</v>
      </c>
      <c r="P18" s="5"/>
      <c r="Q18" s="5">
        <f t="shared" ref="Q18:Q22" si="4">SUM(M18:P18)</f>
        <v>77052491</v>
      </c>
    </row>
    <row r="19" spans="2:17" x14ac:dyDescent="0.3">
      <c r="B19" s="1" t="s">
        <v>28</v>
      </c>
      <c r="C19" s="1"/>
      <c r="D19" s="5">
        <v>14887890554</v>
      </c>
      <c r="E19" s="5">
        <v>295837111</v>
      </c>
      <c r="F19" s="43">
        <f>328178322-271185855</f>
        <v>56992467</v>
      </c>
      <c r="G19" s="5"/>
      <c r="H19" s="5">
        <f t="shared" si="3"/>
        <v>15240720132</v>
      </c>
      <c r="I19" s="5"/>
      <c r="K19" s="1" t="s">
        <v>28</v>
      </c>
      <c r="L19" s="1"/>
      <c r="M19" s="5">
        <v>15754202234</v>
      </c>
      <c r="N19" s="5">
        <v>209233893</v>
      </c>
      <c r="O19" s="5">
        <v>48911262</v>
      </c>
      <c r="P19" s="5"/>
      <c r="Q19" s="5">
        <f t="shared" si="4"/>
        <v>16012347389</v>
      </c>
    </row>
    <row r="20" spans="2:17" x14ac:dyDescent="0.3">
      <c r="B20" s="1" t="s">
        <v>60</v>
      </c>
      <c r="C20" s="1"/>
      <c r="D20" s="5">
        <v>106971850</v>
      </c>
      <c r="E20" s="5">
        <v>0</v>
      </c>
      <c r="F20" s="5">
        <v>0</v>
      </c>
      <c r="G20" s="5"/>
      <c r="H20" s="5">
        <f t="shared" si="3"/>
        <v>106971850</v>
      </c>
      <c r="I20" s="5"/>
      <c r="K20" s="1" t="s">
        <v>60</v>
      </c>
      <c r="L20" s="1"/>
      <c r="M20" s="5">
        <v>121550988</v>
      </c>
      <c r="N20" s="5">
        <v>0</v>
      </c>
      <c r="O20" s="5">
        <v>0</v>
      </c>
      <c r="P20" s="5"/>
      <c r="Q20" s="5">
        <f t="shared" si="4"/>
        <v>121550988</v>
      </c>
    </row>
    <row r="21" spans="2:17" x14ac:dyDescent="0.3">
      <c r="B21" s="1" t="s">
        <v>29</v>
      </c>
      <c r="C21" s="1"/>
      <c r="D21" s="5">
        <f>2296000000+4350000000</f>
        <v>6646000000</v>
      </c>
      <c r="E21" s="5">
        <v>0</v>
      </c>
      <c r="F21" s="5">
        <v>0</v>
      </c>
      <c r="G21" s="5">
        <v>-2296000000</v>
      </c>
      <c r="H21" s="5">
        <f t="shared" si="3"/>
        <v>4350000000</v>
      </c>
      <c r="I21" s="5"/>
      <c r="K21" s="1" t="s">
        <v>29</v>
      </c>
      <c r="L21" s="1"/>
      <c r="M21" s="5">
        <v>2296000000</v>
      </c>
      <c r="N21" s="5">
        <v>0</v>
      </c>
      <c r="O21" s="5">
        <v>0</v>
      </c>
      <c r="P21" s="5">
        <v>-2296000000</v>
      </c>
      <c r="Q21" s="5">
        <f t="shared" si="4"/>
        <v>0</v>
      </c>
    </row>
    <row r="22" spans="2:17" x14ac:dyDescent="0.3">
      <c r="B22" s="1" t="s">
        <v>61</v>
      </c>
      <c r="C22" s="1"/>
      <c r="D22" s="5">
        <v>-1524552292</v>
      </c>
      <c r="E22" s="5">
        <v>0</v>
      </c>
      <c r="F22" s="5">
        <v>0</v>
      </c>
      <c r="H22" s="5">
        <f t="shared" si="3"/>
        <v>-1524552292</v>
      </c>
      <c r="I22" s="5"/>
      <c r="K22" s="1" t="s">
        <v>61</v>
      </c>
      <c r="L22" s="1"/>
      <c r="M22" s="5">
        <v>-1157712992</v>
      </c>
      <c r="N22" s="5">
        <v>0</v>
      </c>
      <c r="O22" s="5">
        <v>0</v>
      </c>
      <c r="Q22" s="5">
        <f t="shared" si="4"/>
        <v>-1157712992</v>
      </c>
    </row>
    <row r="23" spans="2:17" x14ac:dyDescent="0.3">
      <c r="B23" s="4" t="s">
        <v>11</v>
      </c>
      <c r="C23" s="1"/>
      <c r="D23" s="6">
        <f>SUM(D18:D22)</f>
        <v>26003879632</v>
      </c>
      <c r="E23" s="6">
        <f>SUM(E18:E22)</f>
        <v>295837111</v>
      </c>
      <c r="F23" s="6">
        <f>SUM(F18:F22)</f>
        <v>56992467</v>
      </c>
      <c r="G23" s="17"/>
      <c r="H23" s="6">
        <f>SUM(H18:H22)</f>
        <v>24060709210</v>
      </c>
      <c r="I23" s="7"/>
      <c r="K23" s="4" t="s">
        <v>11</v>
      </c>
      <c r="L23" s="1"/>
      <c r="M23" s="6">
        <f>SUM(M18:M22)</f>
        <v>17091092721</v>
      </c>
      <c r="N23" s="6">
        <f t="shared" ref="N23:Q23" si="5">SUM(N18:N22)</f>
        <v>209233893</v>
      </c>
      <c r="O23" s="6">
        <f t="shared" si="5"/>
        <v>48911262</v>
      </c>
      <c r="P23" s="17"/>
      <c r="Q23" s="6">
        <f t="shared" si="5"/>
        <v>15053237876</v>
      </c>
    </row>
    <row r="24" spans="2:17" ht="15" thickBot="1" x14ac:dyDescent="0.35">
      <c r="B24" s="4" t="s">
        <v>10</v>
      </c>
      <c r="C24" s="1"/>
      <c r="D24" s="8">
        <f>D23+D15</f>
        <v>69616336409</v>
      </c>
      <c r="E24" s="8">
        <f>E23+E15</f>
        <v>6819023267</v>
      </c>
      <c r="F24" s="8">
        <f>F23+F15</f>
        <v>1839783287</v>
      </c>
      <c r="G24" s="17"/>
      <c r="H24" s="8">
        <f>H23+H15</f>
        <v>70683319705</v>
      </c>
      <c r="I24" s="7"/>
      <c r="K24" s="4" t="s">
        <v>10</v>
      </c>
      <c r="L24" s="1"/>
      <c r="M24" s="8">
        <f>M23+M15</f>
        <v>51666905630</v>
      </c>
      <c r="N24" s="8">
        <f t="shared" ref="N24:Q24" si="6">N23+N15</f>
        <v>6034971131</v>
      </c>
      <c r="O24" s="8">
        <f t="shared" si="6"/>
        <v>2432753334</v>
      </c>
      <c r="P24" s="17"/>
      <c r="Q24" s="8">
        <f t="shared" si="6"/>
        <v>62956245793</v>
      </c>
    </row>
    <row r="25" spans="2:17" ht="6.75" customHeight="1" x14ac:dyDescent="0.3">
      <c r="B25" s="1"/>
      <c r="C25" s="1"/>
      <c r="D25" s="5"/>
      <c r="E25" s="5"/>
      <c r="F25" s="5"/>
      <c r="G25" s="5"/>
      <c r="H25" s="5"/>
      <c r="I25" s="5"/>
      <c r="K25" s="1"/>
      <c r="L25" s="1"/>
      <c r="M25" s="5"/>
      <c r="N25" s="5"/>
      <c r="O25" s="5"/>
      <c r="P25" s="5"/>
      <c r="Q25" s="5"/>
    </row>
    <row r="26" spans="2:17" x14ac:dyDescent="0.3">
      <c r="B26" s="4" t="s">
        <v>0</v>
      </c>
      <c r="C26" s="1"/>
      <c r="D26" s="5"/>
      <c r="E26" s="5"/>
      <c r="F26" s="5"/>
      <c r="G26" s="5"/>
      <c r="H26" s="5"/>
      <c r="I26" s="5"/>
      <c r="K26" s="4" t="s">
        <v>0</v>
      </c>
      <c r="L26" s="1"/>
      <c r="M26" s="5"/>
      <c r="N26" s="5"/>
      <c r="O26" s="5"/>
      <c r="P26" s="5"/>
      <c r="Q26" s="5"/>
    </row>
    <row r="27" spans="2:17" ht="6" customHeight="1" x14ac:dyDescent="0.3">
      <c r="B27" s="1"/>
      <c r="C27" s="1"/>
      <c r="D27" s="5"/>
      <c r="E27" s="5"/>
      <c r="F27" s="5"/>
      <c r="G27" s="5"/>
      <c r="H27" s="5"/>
      <c r="I27" s="5"/>
      <c r="K27" s="1"/>
      <c r="L27" s="1"/>
      <c r="M27" s="5"/>
      <c r="N27" s="5"/>
      <c r="O27" s="5"/>
      <c r="P27" s="5"/>
      <c r="Q27" s="5"/>
    </row>
    <row r="28" spans="2:17" x14ac:dyDescent="0.3">
      <c r="B28" s="4" t="s">
        <v>7</v>
      </c>
      <c r="C28" s="1"/>
      <c r="D28" s="5"/>
      <c r="E28" s="5"/>
      <c r="F28" s="5"/>
      <c r="G28" s="5"/>
      <c r="H28" s="5"/>
      <c r="I28" s="5"/>
      <c r="K28" s="4" t="s">
        <v>7</v>
      </c>
      <c r="L28" s="1"/>
      <c r="M28" s="5"/>
      <c r="N28" s="5"/>
      <c r="O28" s="5"/>
      <c r="P28" s="5"/>
      <c r="Q28" s="5"/>
    </row>
    <row r="29" spans="2:17" x14ac:dyDescent="0.3">
      <c r="B29" s="1" t="s">
        <v>30</v>
      </c>
      <c r="C29" s="1"/>
      <c r="D29" s="5">
        <v>6176693366</v>
      </c>
      <c r="E29" s="5">
        <v>163538995</v>
      </c>
      <c r="F29" s="5">
        <v>900213538</v>
      </c>
      <c r="G29" s="5"/>
      <c r="H29" s="5">
        <f t="shared" ref="H29:H35" si="7">SUM(D29:G29)</f>
        <v>7240445899</v>
      </c>
      <c r="I29" s="5"/>
      <c r="K29" s="1" t="s">
        <v>30</v>
      </c>
      <c r="L29" s="1"/>
      <c r="M29" s="5">
        <v>6930873291</v>
      </c>
      <c r="N29" s="5">
        <v>261366268</v>
      </c>
      <c r="O29" s="5">
        <v>921963637</v>
      </c>
      <c r="P29" s="5"/>
      <c r="Q29" s="5">
        <f t="shared" ref="Q29:Q34" si="8">SUM(M29:P29)</f>
        <v>8114203196</v>
      </c>
    </row>
    <row r="30" spans="2:17" x14ac:dyDescent="0.3">
      <c r="B30" s="1" t="s">
        <v>31</v>
      </c>
      <c r="C30" s="1"/>
      <c r="D30" s="5">
        <v>15400371409</v>
      </c>
      <c r="E30" s="5">
        <v>0</v>
      </c>
      <c r="F30" s="5">
        <v>0</v>
      </c>
      <c r="G30" s="5"/>
      <c r="H30" s="5">
        <f t="shared" si="7"/>
        <v>15400371409</v>
      </c>
      <c r="I30" s="5"/>
      <c r="K30" s="1" t="s">
        <v>31</v>
      </c>
      <c r="L30" s="1"/>
      <c r="M30" s="5">
        <v>14261523686</v>
      </c>
      <c r="N30" s="5">
        <v>45563203</v>
      </c>
      <c r="O30" s="5">
        <v>1814393</v>
      </c>
      <c r="P30" s="5"/>
      <c r="Q30" s="5">
        <f t="shared" si="8"/>
        <v>14308901282</v>
      </c>
    </row>
    <row r="31" spans="2:17" x14ac:dyDescent="0.3">
      <c r="B31" s="1" t="s">
        <v>32</v>
      </c>
      <c r="C31" s="1"/>
      <c r="D31" s="5">
        <v>322642596</v>
      </c>
      <c r="E31" s="5">
        <v>102541510</v>
      </c>
      <c r="F31" s="5">
        <v>0</v>
      </c>
      <c r="G31" s="5"/>
      <c r="H31" s="5">
        <f t="shared" si="7"/>
        <v>425184106</v>
      </c>
      <c r="I31" s="5"/>
      <c r="K31" s="1" t="s">
        <v>32</v>
      </c>
      <c r="L31" s="1"/>
      <c r="M31" s="5">
        <v>297955718</v>
      </c>
      <c r="N31" s="5">
        <v>8908809</v>
      </c>
      <c r="O31" s="5">
        <v>404999</v>
      </c>
      <c r="P31" s="5"/>
      <c r="Q31" s="5">
        <f t="shared" si="8"/>
        <v>307269526</v>
      </c>
    </row>
    <row r="32" spans="2:17" x14ac:dyDescent="0.3">
      <c r="B32" s="1" t="s">
        <v>33</v>
      </c>
      <c r="C32" s="1"/>
      <c r="D32" s="5">
        <v>210321450</v>
      </c>
      <c r="E32" s="5">
        <f>147528804</f>
        <v>147528804</v>
      </c>
      <c r="F32" s="5">
        <v>0</v>
      </c>
      <c r="G32" s="5"/>
      <c r="H32" s="5">
        <f t="shared" si="7"/>
        <v>357850254</v>
      </c>
      <c r="I32" s="5"/>
      <c r="K32" s="1" t="s">
        <v>33</v>
      </c>
      <c r="L32" s="1"/>
      <c r="M32" s="5">
        <v>147047170</v>
      </c>
      <c r="N32" s="5">
        <v>31273502</v>
      </c>
      <c r="O32" s="5">
        <v>7559880</v>
      </c>
      <c r="P32" s="5"/>
      <c r="Q32" s="5">
        <f t="shared" si="8"/>
        <v>185880552</v>
      </c>
    </row>
    <row r="33" spans="2:17" x14ac:dyDescent="0.3">
      <c r="B33" s="1" t="s">
        <v>34</v>
      </c>
      <c r="C33" s="1"/>
      <c r="D33" s="5">
        <v>2638289123</v>
      </c>
      <c r="E33" s="5">
        <f>4363539112+8772675+132281195</f>
        <v>4504592982</v>
      </c>
      <c r="F33" s="5">
        <f>1563007004+1623000</f>
        <v>1564630004</v>
      </c>
      <c r="G33" s="5">
        <f>G13</f>
        <v>-5295823258</v>
      </c>
      <c r="H33" s="5">
        <f t="shared" si="7"/>
        <v>3411688851</v>
      </c>
      <c r="I33" s="5"/>
      <c r="K33" s="1" t="s">
        <v>34</v>
      </c>
      <c r="L33" s="1"/>
      <c r="M33" s="5">
        <f>566516392+982492272</f>
        <v>1549008664</v>
      </c>
      <c r="N33" s="5">
        <f>3943819298-155734599</f>
        <v>3788084699</v>
      </c>
      <c r="O33" s="5">
        <v>1410189575</v>
      </c>
      <c r="P33" s="5">
        <v>-5117615698</v>
      </c>
      <c r="Q33" s="5">
        <f t="shared" si="8"/>
        <v>1629667240</v>
      </c>
    </row>
    <row r="34" spans="2:17" x14ac:dyDescent="0.3">
      <c r="B34" s="1" t="s">
        <v>50</v>
      </c>
      <c r="C34" s="1"/>
      <c r="D34" s="5">
        <v>747089624</v>
      </c>
      <c r="E34" s="18">
        <v>0</v>
      </c>
      <c r="F34" s="18">
        <v>0</v>
      </c>
      <c r="G34" s="18"/>
      <c r="H34" s="5">
        <f t="shared" si="7"/>
        <v>747089624</v>
      </c>
      <c r="I34" s="5"/>
      <c r="K34" s="1" t="s">
        <v>50</v>
      </c>
      <c r="L34" s="1"/>
      <c r="M34" s="5">
        <v>0</v>
      </c>
      <c r="N34" s="18">
        <v>0</v>
      </c>
      <c r="O34" s="18">
        <v>205112885</v>
      </c>
      <c r="P34" s="18"/>
      <c r="Q34" s="5">
        <f t="shared" si="8"/>
        <v>205112885</v>
      </c>
    </row>
    <row r="35" spans="2:17" hidden="1" x14ac:dyDescent="0.3">
      <c r="B35" s="1" t="s">
        <v>56</v>
      </c>
      <c r="C35" s="1"/>
      <c r="D35" s="12">
        <v>0</v>
      </c>
      <c r="E35" s="12">
        <v>0</v>
      </c>
      <c r="F35" s="18">
        <v>0</v>
      </c>
      <c r="G35" s="18"/>
      <c r="H35" s="5">
        <f t="shared" si="7"/>
        <v>0</v>
      </c>
      <c r="I35" s="5"/>
      <c r="K35" s="1" t="s">
        <v>56</v>
      </c>
      <c r="L35" s="1"/>
      <c r="M35" s="12">
        <v>0</v>
      </c>
      <c r="N35" s="12">
        <v>0</v>
      </c>
      <c r="O35" s="18">
        <v>0</v>
      </c>
      <c r="P35" s="18"/>
      <c r="Q35" s="5">
        <v>0</v>
      </c>
    </row>
    <row r="36" spans="2:17" x14ac:dyDescent="0.3">
      <c r="B36" s="4" t="s">
        <v>4</v>
      </c>
      <c r="C36" s="1"/>
      <c r="D36" s="6">
        <f>SUM(D29:D35)</f>
        <v>25495407568</v>
      </c>
      <c r="E36" s="6">
        <f>SUM(E29:E35)</f>
        <v>4918202291</v>
      </c>
      <c r="F36" s="6">
        <f>SUM(F29:F35)</f>
        <v>2464843542</v>
      </c>
      <c r="G36" s="17"/>
      <c r="H36" s="6">
        <f>SUM(H29:H35)</f>
        <v>27582630143</v>
      </c>
      <c r="I36" s="7"/>
      <c r="K36" s="4" t="s">
        <v>4</v>
      </c>
      <c r="L36" s="1"/>
      <c r="M36" s="6">
        <f>SUM(M29:M35)</f>
        <v>23186408529</v>
      </c>
      <c r="N36" s="6">
        <f t="shared" ref="N36:Q36" si="9">SUM(N29:N35)</f>
        <v>4135196481</v>
      </c>
      <c r="O36" s="6">
        <f t="shared" si="9"/>
        <v>2547045369</v>
      </c>
      <c r="P36" s="17"/>
      <c r="Q36" s="6">
        <f t="shared" si="9"/>
        <v>24751034681</v>
      </c>
    </row>
    <row r="37" spans="2:17" x14ac:dyDescent="0.3">
      <c r="B37" s="1"/>
      <c r="C37" s="1"/>
      <c r="D37" s="5"/>
      <c r="E37" s="5"/>
      <c r="F37" s="5"/>
      <c r="G37" s="5"/>
      <c r="H37" s="5"/>
      <c r="I37" s="5"/>
      <c r="K37" s="1"/>
      <c r="L37" s="1"/>
      <c r="M37" s="5"/>
      <c r="N37" s="5"/>
      <c r="O37" s="5"/>
      <c r="P37" s="5"/>
      <c r="Q37" s="5"/>
    </row>
    <row r="38" spans="2:17" x14ac:dyDescent="0.3">
      <c r="B38" s="4" t="s">
        <v>8</v>
      </c>
      <c r="C38" s="1"/>
      <c r="D38" s="5"/>
      <c r="E38" s="5"/>
      <c r="F38" s="5"/>
      <c r="G38" s="5"/>
      <c r="H38" s="5"/>
      <c r="I38" s="5"/>
      <c r="K38" s="4" t="s">
        <v>8</v>
      </c>
      <c r="L38" s="1"/>
      <c r="M38" s="5"/>
      <c r="N38" s="5"/>
      <c r="O38" s="5"/>
      <c r="P38" s="5"/>
      <c r="Q38" s="5"/>
    </row>
    <row r="39" spans="2:17" x14ac:dyDescent="0.3">
      <c r="B39" s="1" t="s">
        <v>35</v>
      </c>
      <c r="C39" s="1"/>
      <c r="D39" s="5">
        <v>28483751422</v>
      </c>
      <c r="E39" s="5"/>
      <c r="F39" s="5">
        <v>0</v>
      </c>
      <c r="G39" s="5"/>
      <c r="H39" s="5">
        <f t="shared" ref="H39" si="10">SUM(D39:G39)</f>
        <v>28483751422</v>
      </c>
      <c r="I39" s="5"/>
      <c r="K39" s="1" t="s">
        <v>35</v>
      </c>
      <c r="L39" s="1"/>
      <c r="M39" s="5">
        <v>12579934598</v>
      </c>
      <c r="N39" s="5">
        <v>0</v>
      </c>
      <c r="O39" s="5">
        <v>0</v>
      </c>
      <c r="P39" s="5"/>
      <c r="Q39" s="5">
        <f t="shared" ref="Q39" si="11">SUM(M39:P39)</f>
        <v>12579934598</v>
      </c>
    </row>
    <row r="40" spans="2:17" x14ac:dyDescent="0.3">
      <c r="B40" s="4" t="s">
        <v>19</v>
      </c>
      <c r="C40" s="1"/>
      <c r="D40" s="9">
        <f>SUM(D39:D39)</f>
        <v>28483751422</v>
      </c>
      <c r="E40" s="9">
        <f>SUM(E39:E39)</f>
        <v>0</v>
      </c>
      <c r="F40" s="9">
        <f>SUM(F39:F39)</f>
        <v>0</v>
      </c>
      <c r="G40" s="16"/>
      <c r="H40" s="9">
        <f>SUM(H39:H39)</f>
        <v>28483751422</v>
      </c>
      <c r="I40" s="5"/>
      <c r="K40" s="4" t="s">
        <v>19</v>
      </c>
      <c r="L40" s="1"/>
      <c r="M40" s="9">
        <f>SUM(M39)</f>
        <v>12579934598</v>
      </c>
      <c r="N40" s="9">
        <f t="shared" ref="N40:O40" si="12">SUM(N39)</f>
        <v>0</v>
      </c>
      <c r="O40" s="9">
        <f t="shared" si="12"/>
        <v>0</v>
      </c>
      <c r="P40" s="16"/>
      <c r="Q40" s="6">
        <f t="shared" ref="Q40" si="13">SUM(Q39)</f>
        <v>12579934598</v>
      </c>
    </row>
    <row r="41" spans="2:17" ht="15" thickBot="1" x14ac:dyDescent="0.35">
      <c r="B41" s="4" t="s">
        <v>12</v>
      </c>
      <c r="C41" s="1"/>
      <c r="D41" s="8">
        <f>D40+D36</f>
        <v>53979158990</v>
      </c>
      <c r="E41" s="8">
        <f>E40+E36</f>
        <v>4918202291</v>
      </c>
      <c r="F41" s="8">
        <f>F40+F36</f>
        <v>2464843542</v>
      </c>
      <c r="G41" s="17"/>
      <c r="H41" s="8">
        <f>H40+H36</f>
        <v>56066381565</v>
      </c>
      <c r="I41" s="7"/>
      <c r="K41" s="4" t="s">
        <v>12</v>
      </c>
      <c r="L41" s="1"/>
      <c r="M41" s="8">
        <f>M40+M36</f>
        <v>35766343127</v>
      </c>
      <c r="N41" s="8">
        <f t="shared" ref="N41:O41" si="14">N40+N36</f>
        <v>4135196481</v>
      </c>
      <c r="O41" s="8">
        <f t="shared" si="14"/>
        <v>2547045369</v>
      </c>
      <c r="P41" s="17"/>
      <c r="Q41" s="8">
        <f t="shared" ref="Q41" si="15">Q40+Q36</f>
        <v>37330969279</v>
      </c>
    </row>
    <row r="42" spans="2:17" x14ac:dyDescent="0.3">
      <c r="B42" s="1"/>
      <c r="C42" s="1"/>
      <c r="D42" s="5"/>
      <c r="E42" s="5"/>
      <c r="F42" s="5"/>
      <c r="G42" s="5"/>
      <c r="H42" s="5"/>
      <c r="I42" s="5"/>
      <c r="K42" s="1"/>
      <c r="L42" s="1"/>
      <c r="M42" s="5"/>
      <c r="N42" s="5"/>
      <c r="O42" s="5"/>
      <c r="P42" s="5"/>
      <c r="Q42" s="5"/>
    </row>
    <row r="43" spans="2:17" x14ac:dyDescent="0.3">
      <c r="B43" s="4" t="s">
        <v>1</v>
      </c>
      <c r="C43" s="1"/>
      <c r="D43" s="5"/>
      <c r="E43" s="5"/>
      <c r="F43" s="5"/>
      <c r="G43" s="5"/>
      <c r="H43" s="5"/>
      <c r="I43" s="5"/>
      <c r="K43" s="4" t="s">
        <v>1</v>
      </c>
      <c r="L43" s="1"/>
      <c r="M43" s="5"/>
      <c r="N43" s="5"/>
      <c r="O43" s="5"/>
      <c r="P43" s="5"/>
      <c r="Q43" s="5"/>
    </row>
    <row r="44" spans="2:17" x14ac:dyDescent="0.3">
      <c r="B44" s="1" t="s">
        <v>51</v>
      </c>
      <c r="C44" s="1"/>
      <c r="D44" s="5">
        <v>10000000000</v>
      </c>
      <c r="E44" s="5">
        <v>2800000000</v>
      </c>
      <c r="F44" s="5">
        <v>500000000</v>
      </c>
      <c r="G44" s="5">
        <f>-126000000-2000000000-170000000</f>
        <v>-2296000000</v>
      </c>
      <c r="H44" s="5">
        <f>SUM(D44:G44)</f>
        <v>11004000000</v>
      </c>
      <c r="I44" s="5"/>
      <c r="K44" s="1" t="s">
        <v>51</v>
      </c>
      <c r="L44" s="1"/>
      <c r="M44" s="5">
        <v>10000000000</v>
      </c>
      <c r="N44" s="5">
        <v>2800000000</v>
      </c>
      <c r="O44" s="5">
        <v>500000000</v>
      </c>
      <c r="P44" s="5">
        <v>-2296000000</v>
      </c>
      <c r="Q44" s="5">
        <f t="shared" ref="Q44:Q49" si="16">SUM(M44:P44)</f>
        <v>11004000000</v>
      </c>
    </row>
    <row r="45" spans="2:17" hidden="1" x14ac:dyDescent="0.3">
      <c r="B45" s="1" t="s">
        <v>52</v>
      </c>
      <c r="C45" s="1"/>
      <c r="D45" s="5">
        <v>0</v>
      </c>
      <c r="E45" s="5">
        <v>0</v>
      </c>
      <c r="F45" s="5">
        <v>0</v>
      </c>
      <c r="G45" s="5"/>
      <c r="H45" s="5">
        <f>SUM(D45:G45)</f>
        <v>0</v>
      </c>
      <c r="I45" s="5"/>
      <c r="K45" s="1" t="s">
        <v>52</v>
      </c>
      <c r="L45" s="1"/>
      <c r="M45" s="5">
        <v>0</v>
      </c>
      <c r="N45" s="5">
        <v>0</v>
      </c>
      <c r="O45" s="5">
        <v>0</v>
      </c>
      <c r="P45" s="5"/>
      <c r="Q45" s="5">
        <f t="shared" si="16"/>
        <v>0</v>
      </c>
    </row>
    <row r="46" spans="2:17" x14ac:dyDescent="0.3">
      <c r="B46" s="1" t="s">
        <v>53</v>
      </c>
      <c r="C46" s="1"/>
      <c r="D46" s="5">
        <v>134579708</v>
      </c>
      <c r="E46" s="5">
        <v>0</v>
      </c>
      <c r="F46" s="5">
        <v>0</v>
      </c>
      <c r="G46" s="5"/>
      <c r="H46" s="5">
        <f>SUM(D46:G46)</f>
        <v>134579708</v>
      </c>
      <c r="I46" s="5"/>
      <c r="K46" s="1" t="s">
        <v>53</v>
      </c>
      <c r="L46" s="1"/>
      <c r="M46" s="5">
        <v>0</v>
      </c>
      <c r="N46" s="5">
        <v>0</v>
      </c>
      <c r="O46" s="5">
        <v>0</v>
      </c>
      <c r="P46" s="5"/>
      <c r="Q46" s="5">
        <f t="shared" si="16"/>
        <v>0</v>
      </c>
    </row>
    <row r="47" spans="2:17" x14ac:dyDescent="0.3">
      <c r="B47" s="1" t="s">
        <v>36</v>
      </c>
      <c r="C47" s="1"/>
      <c r="D47" s="5">
        <v>5182922037</v>
      </c>
      <c r="E47" s="5">
        <v>236249280</v>
      </c>
      <c r="F47" s="5">
        <v>103548735</v>
      </c>
      <c r="G47" s="44"/>
      <c r="H47" s="5">
        <f>SUM(D47:G47)</f>
        <v>5522720052</v>
      </c>
      <c r="I47" s="5"/>
      <c r="K47" s="1" t="s">
        <v>36</v>
      </c>
      <c r="L47" s="1"/>
      <c r="M47" s="5">
        <v>5529650917</v>
      </c>
      <c r="N47" s="5">
        <v>236249280</v>
      </c>
      <c r="O47" s="5">
        <v>103548735</v>
      </c>
      <c r="P47" s="5"/>
      <c r="Q47" s="5">
        <f t="shared" si="16"/>
        <v>5869448932</v>
      </c>
    </row>
    <row r="48" spans="2:17" x14ac:dyDescent="0.3">
      <c r="B48" s="1" t="s">
        <v>13</v>
      </c>
      <c r="C48" s="1"/>
      <c r="D48" s="5">
        <v>0</v>
      </c>
      <c r="E48" s="5">
        <v>-1138682558</v>
      </c>
      <c r="F48" s="45">
        <v>-1201364203</v>
      </c>
      <c r="G48" s="5"/>
      <c r="H48" s="5">
        <f t="shared" ref="H48:H49" si="17">SUM(D48:G48)</f>
        <v>-2340046761</v>
      </c>
      <c r="I48" s="5"/>
      <c r="K48" s="1" t="s">
        <v>13</v>
      </c>
      <c r="L48" s="1"/>
      <c r="M48" s="5">
        <v>134579708</v>
      </c>
      <c r="N48" s="5">
        <v>-1146690036</v>
      </c>
      <c r="O48" s="5">
        <v>-572041690</v>
      </c>
      <c r="P48" s="5"/>
      <c r="Q48" s="5">
        <f t="shared" si="16"/>
        <v>-1584152018</v>
      </c>
    </row>
    <row r="49" spans="2:17" x14ac:dyDescent="0.3">
      <c r="B49" s="1" t="s">
        <v>14</v>
      </c>
      <c r="C49" s="1"/>
      <c r="D49" s="5">
        <v>319675674</v>
      </c>
      <c r="E49" s="5">
        <v>3254254</v>
      </c>
      <c r="F49" s="5">
        <v>-27244787</v>
      </c>
      <c r="G49" s="5"/>
      <c r="H49" s="5">
        <f t="shared" si="17"/>
        <v>295685141</v>
      </c>
      <c r="I49" s="5"/>
      <c r="K49" s="1" t="s">
        <v>14</v>
      </c>
      <c r="L49" s="1"/>
      <c r="M49" s="5">
        <v>236331878</v>
      </c>
      <c r="N49" s="5">
        <v>10215406</v>
      </c>
      <c r="O49" s="5">
        <v>-145799080</v>
      </c>
      <c r="P49" s="5"/>
      <c r="Q49" s="5">
        <f t="shared" si="16"/>
        <v>100748204</v>
      </c>
    </row>
    <row r="50" spans="2:17" x14ac:dyDescent="0.3">
      <c r="B50" s="4" t="s">
        <v>15</v>
      </c>
      <c r="C50" s="1"/>
      <c r="D50" s="6">
        <f>SUM(D44:D49)</f>
        <v>15637177419</v>
      </c>
      <c r="E50" s="6">
        <f>SUM(E44:E49)</f>
        <v>1900820976</v>
      </c>
      <c r="F50" s="6">
        <f>SUM(F44:F49)</f>
        <v>-625060255</v>
      </c>
      <c r="G50" s="17"/>
      <c r="H50" s="6">
        <f>SUM(H44:H49)</f>
        <v>14616938140</v>
      </c>
      <c r="I50" s="7"/>
      <c r="K50" s="4" t="s">
        <v>15</v>
      </c>
      <c r="L50" s="1"/>
      <c r="M50" s="6">
        <f>SUM(M44:M49)</f>
        <v>15900562503</v>
      </c>
      <c r="N50" s="6">
        <f t="shared" ref="N50:Q50" si="18">SUM(N44:N49)</f>
        <v>1899774650</v>
      </c>
      <c r="O50" s="6">
        <f t="shared" si="18"/>
        <v>-114292035</v>
      </c>
      <c r="P50" s="17"/>
      <c r="Q50" s="6">
        <f t="shared" si="18"/>
        <v>15390045118</v>
      </c>
    </row>
    <row r="51" spans="2:17" ht="15" thickBot="1" x14ac:dyDescent="0.35">
      <c r="B51" s="4" t="s">
        <v>16</v>
      </c>
      <c r="C51" s="1"/>
      <c r="D51" s="10">
        <f>D50+D41</f>
        <v>69616336409</v>
      </c>
      <c r="E51" s="10">
        <f>E50+E41</f>
        <v>6819023267</v>
      </c>
      <c r="F51" s="10">
        <f>F50+F41</f>
        <v>1839783287</v>
      </c>
      <c r="G51" s="17"/>
      <c r="H51" s="10">
        <f>H50+H41</f>
        <v>70683319705</v>
      </c>
      <c r="I51" s="7"/>
      <c r="K51" s="4" t="s">
        <v>16</v>
      </c>
      <c r="L51" s="1"/>
      <c r="M51" s="10">
        <f>M50+M41</f>
        <v>51666905630</v>
      </c>
      <c r="N51" s="10">
        <f t="shared" ref="N51:Q51" si="19">N50+N41</f>
        <v>6034971131</v>
      </c>
      <c r="O51" s="10">
        <f t="shared" si="19"/>
        <v>2432753334</v>
      </c>
      <c r="P51" s="17"/>
      <c r="Q51" s="10">
        <f t="shared" si="19"/>
        <v>52721014397</v>
      </c>
    </row>
    <row r="52" spans="2:17" ht="15" thickTop="1" x14ac:dyDescent="0.3">
      <c r="B52" s="1"/>
      <c r="C52" s="1"/>
      <c r="D52" s="5"/>
      <c r="E52" s="5"/>
      <c r="F52" s="5"/>
      <c r="G52" s="5"/>
      <c r="H52" s="5"/>
      <c r="I52" s="5"/>
      <c r="K52" s="1"/>
      <c r="L52" s="1"/>
      <c r="M52" s="5"/>
      <c r="N52" s="5"/>
      <c r="O52" s="5"/>
      <c r="P52" s="5"/>
      <c r="Q52" s="5"/>
    </row>
    <row r="53" spans="2:17" x14ac:dyDescent="0.3">
      <c r="B53" s="11"/>
      <c r="C53" s="1"/>
      <c r="D53" s="5">
        <f>D41+D50-D24</f>
        <v>0</v>
      </c>
      <c r="E53" s="5">
        <f>E41+E50-E24</f>
        <v>0</v>
      </c>
      <c r="F53" s="5">
        <f>F41+F50-F24</f>
        <v>0</v>
      </c>
      <c r="G53" s="5"/>
      <c r="H53" s="5">
        <f>SUM(D51:F51)-H51</f>
        <v>7591823258</v>
      </c>
      <c r="I53" s="5"/>
      <c r="K53" s="11"/>
      <c r="L53" s="1"/>
      <c r="M53" s="5">
        <f>M41+M50-M24</f>
        <v>0</v>
      </c>
      <c r="N53" s="5">
        <f t="shared" ref="N53:O53" si="20">N41+N50-N24</f>
        <v>0</v>
      </c>
      <c r="O53" s="5">
        <f t="shared" si="20"/>
        <v>0</v>
      </c>
      <c r="P53" s="5"/>
      <c r="Q53" s="5">
        <f>SUM(M51:O51)-Q51</f>
        <v>7413615698</v>
      </c>
    </row>
    <row r="54" spans="2:17" hidden="1" x14ac:dyDescent="0.3">
      <c r="D54" s="20"/>
      <c r="E54" s="20">
        <f>'EST resul'!F35</f>
        <v>0</v>
      </c>
      <c r="F54" s="20">
        <f>'EST resul'!G35</f>
        <v>0</v>
      </c>
      <c r="G54" s="20"/>
      <c r="H54" s="20">
        <f>H51-H24</f>
        <v>0</v>
      </c>
      <c r="I54" s="20"/>
      <c r="M54" s="20"/>
      <c r="N54" s="20"/>
      <c r="O54" s="20"/>
      <c r="P54" s="20"/>
      <c r="Q54" s="20">
        <f>Q51-Q24</f>
        <v>-10235231396</v>
      </c>
    </row>
    <row r="55" spans="2:17" x14ac:dyDescent="0.3">
      <c r="J55" s="35"/>
    </row>
    <row r="56" spans="2:17" x14ac:dyDescent="0.3">
      <c r="F56" s="20"/>
      <c r="J56" s="35"/>
    </row>
    <row r="57" spans="2:17" x14ac:dyDescent="0.3">
      <c r="J57" s="35"/>
    </row>
  </sheetData>
  <pageMargins left="0.11811023622047245" right="0.11811023622047245" top="0.15748031496062992" bottom="0.15748031496062992" header="0.31496062992125984" footer="0.31496062992125984"/>
  <pageSetup paperSize="14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S36"/>
  <sheetViews>
    <sheetView showGridLines="0" topLeftCell="F1" workbookViewId="0">
      <selection activeCell="M5" sqref="M5"/>
    </sheetView>
  </sheetViews>
  <sheetFormatPr baseColWidth="10" defaultColWidth="11.44140625" defaultRowHeight="14.4" x14ac:dyDescent="0.3"/>
  <cols>
    <col min="1" max="1" width="11.44140625" style="21"/>
    <col min="2" max="2" width="7.33203125" style="21" bestFit="1" customWidth="1"/>
    <col min="3" max="4" width="11.44140625" style="21" customWidth="1"/>
    <col min="5" max="5" width="14.44140625" style="35" bestFit="1" customWidth="1"/>
    <col min="6" max="6" width="12.6640625" style="35" bestFit="1" customWidth="1"/>
    <col min="7" max="7" width="13.44140625" style="35" customWidth="1"/>
    <col min="8" max="8" width="9.6640625" style="35" customWidth="1"/>
    <col min="9" max="9" width="14.44140625" style="35" customWidth="1"/>
    <col min="10" max="10" width="5.44140625" style="35" customWidth="1"/>
    <col min="11" max="11" width="11.44140625" style="21"/>
    <col min="12" max="12" width="8.88671875" style="21" customWidth="1"/>
    <col min="13" max="13" width="8" style="21" customWidth="1"/>
    <col min="14" max="14" width="8.88671875" style="21" customWidth="1"/>
    <col min="15" max="15" width="14.44140625" style="35" bestFit="1" customWidth="1"/>
    <col min="16" max="16" width="11.109375" style="35" bestFit="1" customWidth="1"/>
    <col min="17" max="18" width="11.88671875" style="35" bestFit="1" customWidth="1"/>
    <col min="19" max="19" width="14.44140625" style="35" customWidth="1"/>
    <col min="20" max="16384" width="11.44140625" style="21"/>
  </cols>
  <sheetData>
    <row r="1" spans="1:19" s="25" customFormat="1" ht="13.2" x14ac:dyDescent="0.25">
      <c r="B1" s="46"/>
      <c r="E1" s="26"/>
      <c r="F1" s="26"/>
      <c r="G1" s="26"/>
      <c r="H1" s="26"/>
      <c r="I1" s="26"/>
      <c r="J1" s="26"/>
      <c r="O1" s="26"/>
      <c r="P1" s="26"/>
      <c r="Q1" s="26"/>
      <c r="R1" s="26"/>
      <c r="S1" s="26"/>
    </row>
    <row r="2" spans="1:19" s="25" customFormat="1" ht="12.75" customHeight="1" x14ac:dyDescent="0.25">
      <c r="C2" s="27" t="s">
        <v>59</v>
      </c>
      <c r="D2" s="28"/>
      <c r="E2" s="29"/>
      <c r="F2" s="29"/>
      <c r="G2" s="29"/>
      <c r="H2" s="29"/>
      <c r="I2" s="29"/>
      <c r="J2" s="29"/>
      <c r="M2" s="27" t="s">
        <v>59</v>
      </c>
      <c r="N2" s="28"/>
      <c r="O2" s="29"/>
      <c r="P2" s="29"/>
      <c r="Q2" s="29"/>
      <c r="R2" s="29"/>
      <c r="S2" s="29"/>
    </row>
    <row r="3" spans="1:19" s="25" customFormat="1" ht="13.2" x14ac:dyDescent="0.25">
      <c r="C3" s="30" t="s">
        <v>17</v>
      </c>
      <c r="D3" s="31"/>
      <c r="E3" s="32"/>
      <c r="F3" s="33"/>
      <c r="G3" s="33"/>
      <c r="H3" s="33"/>
      <c r="I3" s="33"/>
      <c r="J3" s="33"/>
      <c r="M3" s="30" t="s">
        <v>17</v>
      </c>
      <c r="N3" s="31"/>
      <c r="O3" s="32"/>
      <c r="P3" s="33"/>
      <c r="Q3" s="33"/>
      <c r="R3" s="33"/>
      <c r="S3" s="33"/>
    </row>
    <row r="4" spans="1:19" s="25" customFormat="1" ht="13.2" x14ac:dyDescent="0.25">
      <c r="C4" s="34" t="s">
        <v>64</v>
      </c>
      <c r="D4" s="31"/>
      <c r="E4" s="32"/>
      <c r="F4" s="33"/>
      <c r="G4" s="33"/>
      <c r="H4" s="33"/>
      <c r="I4" s="33"/>
      <c r="J4" s="33"/>
      <c r="M4" s="34" t="s">
        <v>67</v>
      </c>
      <c r="N4" s="31"/>
      <c r="O4" s="32"/>
      <c r="P4" s="33"/>
      <c r="Q4" s="33"/>
      <c r="R4" s="33"/>
      <c r="S4" s="33"/>
    </row>
    <row r="5" spans="1:19" s="25" customFormat="1" ht="13.2" x14ac:dyDescent="0.25">
      <c r="C5" s="22" t="s">
        <v>21</v>
      </c>
      <c r="E5" s="32"/>
      <c r="F5" s="33"/>
      <c r="G5" s="33"/>
      <c r="H5" s="33"/>
      <c r="I5" s="33"/>
      <c r="J5" s="33"/>
      <c r="M5" s="22" t="s">
        <v>21</v>
      </c>
      <c r="O5" s="32"/>
      <c r="P5" s="33"/>
      <c r="Q5" s="33"/>
      <c r="R5" s="33"/>
      <c r="S5" s="33"/>
    </row>
    <row r="6" spans="1:19" x14ac:dyDescent="0.3">
      <c r="E6" s="23" t="s">
        <v>55</v>
      </c>
      <c r="F6" s="23" t="s">
        <v>6</v>
      </c>
      <c r="G6" s="24" t="s">
        <v>54</v>
      </c>
      <c r="H6" s="23" t="s">
        <v>57</v>
      </c>
      <c r="I6" s="23" t="s">
        <v>18</v>
      </c>
      <c r="O6" s="23" t="s">
        <v>55</v>
      </c>
      <c r="P6" s="23" t="s">
        <v>6</v>
      </c>
      <c r="Q6" s="24" t="s">
        <v>54</v>
      </c>
      <c r="R6" s="23" t="s">
        <v>57</v>
      </c>
      <c r="S6" s="23" t="s">
        <v>18</v>
      </c>
    </row>
    <row r="7" spans="1:19" x14ac:dyDescent="0.3">
      <c r="E7" s="13" t="str">
        <f>BAL!D6</f>
        <v>30.09.2022</v>
      </c>
      <c r="F7" s="41"/>
      <c r="G7" s="41"/>
      <c r="H7" s="14"/>
      <c r="I7" s="13" t="str">
        <f>E7</f>
        <v>30.09.2022</v>
      </c>
      <c r="J7" s="14"/>
      <c r="O7" s="13" t="str">
        <f>BAL!Q6</f>
        <v>30.09.2021</v>
      </c>
      <c r="P7" s="41"/>
      <c r="Q7" s="41"/>
      <c r="R7" s="14"/>
      <c r="S7" s="13" t="str">
        <f>BAL!Q6</f>
        <v>30.09.2021</v>
      </c>
    </row>
    <row r="9" spans="1:19" x14ac:dyDescent="0.3">
      <c r="A9" s="36" t="s">
        <v>2</v>
      </c>
      <c r="E9" s="35">
        <v>21648337149</v>
      </c>
      <c r="F9" s="35">
        <v>233765299</v>
      </c>
      <c r="G9" s="35">
        <v>0</v>
      </c>
      <c r="H9" s="47">
        <v>0</v>
      </c>
      <c r="I9" s="35">
        <f>SUM(E9:H9)</f>
        <v>21882102448</v>
      </c>
      <c r="K9" s="36" t="s">
        <v>2</v>
      </c>
      <c r="O9" s="35">
        <v>20235600481</v>
      </c>
      <c r="P9" s="35">
        <v>197711923</v>
      </c>
      <c r="Q9" s="35">
        <v>200422342</v>
      </c>
      <c r="R9" s="35">
        <f>-286398431-7159425-6905025-93962801</f>
        <v>-394425682</v>
      </c>
      <c r="S9" s="35">
        <f>SUM(O9:R9)</f>
        <v>20239309064</v>
      </c>
    </row>
    <row r="10" spans="1:19" x14ac:dyDescent="0.3">
      <c r="A10" s="21" t="s">
        <v>38</v>
      </c>
      <c r="E10" s="35">
        <v>-12306925268</v>
      </c>
      <c r="F10" s="35">
        <v>-138786581</v>
      </c>
      <c r="G10" s="35">
        <v>0</v>
      </c>
      <c r="H10" s="47">
        <v>0</v>
      </c>
      <c r="I10" s="35">
        <f>SUM(E10:H10)</f>
        <v>-12445711849</v>
      </c>
      <c r="K10" s="21" t="s">
        <v>38</v>
      </c>
      <c r="O10" s="35">
        <v>-11501259312</v>
      </c>
      <c r="P10" s="35">
        <v>-98954534</v>
      </c>
      <c r="Q10" s="35">
        <f>-56324904*2.36-25000000-21505789</f>
        <v>-179432562.44</v>
      </c>
      <c r="R10" s="35">
        <f>286398431+7159425+6905025+93962801</f>
        <v>394425682</v>
      </c>
      <c r="S10" s="35">
        <f>SUM(O10:R10)</f>
        <v>-11385220726.440001</v>
      </c>
    </row>
    <row r="11" spans="1:19" x14ac:dyDescent="0.3">
      <c r="I11" s="35">
        <f t="shared" ref="I11" si="0">SUM(E11:G11)</f>
        <v>0</v>
      </c>
      <c r="S11" s="35">
        <v>0</v>
      </c>
    </row>
    <row r="12" spans="1:19" x14ac:dyDescent="0.3">
      <c r="A12" s="36" t="s">
        <v>39</v>
      </c>
      <c r="E12" s="37">
        <f>SUM(E9:E11)</f>
        <v>9341411881</v>
      </c>
      <c r="F12" s="37">
        <f>SUM(F9:F11)</f>
        <v>94978718</v>
      </c>
      <c r="G12" s="37">
        <f>SUM(G9:G11)</f>
        <v>0</v>
      </c>
      <c r="H12" s="37"/>
      <c r="I12" s="37">
        <f>SUM(I9:I11)</f>
        <v>9436390599</v>
      </c>
      <c r="J12" s="24"/>
      <c r="K12" s="36" t="s">
        <v>39</v>
      </c>
      <c r="O12" s="37">
        <f t="shared" ref="O12:Q12" si="1">SUM(O9:O11)</f>
        <v>8734341169</v>
      </c>
      <c r="P12" s="37">
        <f t="shared" si="1"/>
        <v>98757389</v>
      </c>
      <c r="Q12" s="37">
        <f t="shared" si="1"/>
        <v>20989779.560000002</v>
      </c>
      <c r="R12" s="37"/>
      <c r="S12" s="37">
        <f t="shared" ref="S12" si="2">SUM(S9:S11)</f>
        <v>8854088337.5599995</v>
      </c>
    </row>
    <row r="14" spans="1:19" x14ac:dyDescent="0.3">
      <c r="A14" s="36" t="s">
        <v>40</v>
      </c>
      <c r="K14" s="36" t="s">
        <v>40</v>
      </c>
    </row>
    <row r="15" spans="1:19" x14ac:dyDescent="0.3">
      <c r="A15" s="21" t="s">
        <v>41</v>
      </c>
      <c r="E15" s="35">
        <f>-1703876147-295331780</f>
        <v>-1999207927</v>
      </c>
      <c r="F15" s="35">
        <v>-65095160</v>
      </c>
      <c r="G15" s="35">
        <v>0</v>
      </c>
      <c r="I15" s="35">
        <f t="shared" ref="I15:I17" si="3">SUM(E15:G15)</f>
        <v>-2064303087</v>
      </c>
      <c r="K15" s="21" t="s">
        <v>41</v>
      </c>
      <c r="O15" s="35">
        <f>-1528901158-37104543</f>
        <v>-1566005701</v>
      </c>
      <c r="P15" s="35">
        <v>-29447371</v>
      </c>
      <c r="Q15" s="35">
        <f>-21335276*2.36-15000000</f>
        <v>-65351251.359999999</v>
      </c>
      <c r="S15" s="35">
        <f t="shared" ref="S15:S17" si="4">SUM(O15:R15)</f>
        <v>-1660804323.3599999</v>
      </c>
    </row>
    <row r="16" spans="1:19" x14ac:dyDescent="0.3">
      <c r="A16" s="21" t="s">
        <v>42</v>
      </c>
      <c r="E16" s="35">
        <f>-2029683639-446930921-774882671</f>
        <v>-3251497231</v>
      </c>
      <c r="F16" s="35">
        <v>-13107153</v>
      </c>
      <c r="G16" s="35">
        <v>-27244787</v>
      </c>
      <c r="I16" s="35">
        <f t="shared" si="3"/>
        <v>-3291849171</v>
      </c>
      <c r="K16" s="21" t="s">
        <v>42</v>
      </c>
      <c r="O16" s="35">
        <f>-2184452115-559578271</f>
        <v>-2744030386</v>
      </c>
      <c r="P16" s="35">
        <v>-42465498</v>
      </c>
      <c r="Q16" s="35">
        <f>-28806329*2.365-18000000</f>
        <v>-86126968.085000008</v>
      </c>
      <c r="S16" s="35">
        <f t="shared" si="4"/>
        <v>-2872622852.085</v>
      </c>
    </row>
    <row r="17" spans="1:19" x14ac:dyDescent="0.3">
      <c r="A17" s="21" t="s">
        <v>43</v>
      </c>
      <c r="E17" s="35">
        <f>-3848521248-213807625-128315205</f>
        <v>-4190644078</v>
      </c>
      <c r="F17" s="35">
        <v>-13522151</v>
      </c>
      <c r="G17" s="35">
        <v>0</v>
      </c>
      <c r="I17" s="35">
        <f t="shared" si="3"/>
        <v>-4204166229</v>
      </c>
      <c r="K17" s="21" t="s">
        <v>43</v>
      </c>
      <c r="O17" s="35">
        <f>-4282799570+94389027</f>
        <v>-4188410543</v>
      </c>
      <c r="P17" s="35">
        <v>-16629114</v>
      </c>
      <c r="Q17" s="35">
        <f>-8728985*1.754</f>
        <v>-15310639.689999999</v>
      </c>
      <c r="S17" s="35">
        <f t="shared" si="4"/>
        <v>-4220350296.6900001</v>
      </c>
    </row>
    <row r="18" spans="1:19" x14ac:dyDescent="0.3">
      <c r="E18" s="37">
        <f>SUM(E15:E17)</f>
        <v>-9441349236</v>
      </c>
      <c r="F18" s="37">
        <f>SUM(F15:F17)</f>
        <v>-91724464</v>
      </c>
      <c r="G18" s="37">
        <f>SUM(G15:G17)</f>
        <v>-27244787</v>
      </c>
      <c r="H18" s="37"/>
      <c r="I18" s="37">
        <f>SUM(I15:I17)</f>
        <v>-9560318487</v>
      </c>
      <c r="O18" s="37">
        <f t="shared" ref="O18:S18" si="5">SUM(O15:O17)</f>
        <v>-8498446630</v>
      </c>
      <c r="P18" s="37">
        <f t="shared" si="5"/>
        <v>-88541983</v>
      </c>
      <c r="Q18" s="37">
        <f t="shared" si="5"/>
        <v>-166788859.13499999</v>
      </c>
      <c r="R18" s="37"/>
      <c r="S18" s="37">
        <f t="shared" si="5"/>
        <v>-8753777472.1350002</v>
      </c>
    </row>
    <row r="21" spans="1:19" x14ac:dyDescent="0.3">
      <c r="A21" s="36" t="s">
        <v>44</v>
      </c>
      <c r="B21" s="36"/>
      <c r="C21" s="36"/>
      <c r="D21" s="36"/>
      <c r="E21" s="38">
        <f>E12+E18</f>
        <v>-99937355</v>
      </c>
      <c r="F21" s="38">
        <f>F12+F18</f>
        <v>3254254</v>
      </c>
      <c r="G21" s="38">
        <f>G12+G18</f>
        <v>-27244787</v>
      </c>
      <c r="H21" s="38"/>
      <c r="I21" s="38">
        <f>I12+I18</f>
        <v>-123927888</v>
      </c>
      <c r="J21" s="24"/>
      <c r="K21" s="36" t="s">
        <v>44</v>
      </c>
      <c r="L21" s="36"/>
      <c r="M21" s="36"/>
      <c r="N21" s="36"/>
      <c r="O21" s="38">
        <f>O12+O18</f>
        <v>235894539</v>
      </c>
      <c r="P21" s="38">
        <f t="shared" ref="P21:S21" si="6">P12+P18</f>
        <v>10215406</v>
      </c>
      <c r="Q21" s="38">
        <f t="shared" si="6"/>
        <v>-145799079.57499999</v>
      </c>
      <c r="R21" s="38"/>
      <c r="S21" s="38">
        <f t="shared" si="6"/>
        <v>100310865.42499924</v>
      </c>
    </row>
    <row r="23" spans="1:19" x14ac:dyDescent="0.3">
      <c r="A23" s="21" t="s">
        <v>45</v>
      </c>
      <c r="E23" s="35">
        <f>111584232+271557271</f>
        <v>383141503</v>
      </c>
      <c r="F23" s="35">
        <v>0</v>
      </c>
      <c r="G23" s="35">
        <v>0</v>
      </c>
      <c r="I23" s="35">
        <f t="shared" ref="I23:I24" si="7">SUM(E23:G23)</f>
        <v>383141503</v>
      </c>
      <c r="K23" s="21" t="s">
        <v>45</v>
      </c>
      <c r="O23" s="35">
        <f>94826366</f>
        <v>94826366</v>
      </c>
      <c r="P23" s="35">
        <v>0</v>
      </c>
      <c r="Q23" s="35">
        <v>0</v>
      </c>
      <c r="S23" s="35">
        <f t="shared" ref="S23" si="8">SUM(O23:R23)</f>
        <v>94826366</v>
      </c>
    </row>
    <row r="24" spans="1:19" x14ac:dyDescent="0.3">
      <c r="A24" s="21" t="s">
        <v>46</v>
      </c>
      <c r="E24" s="35">
        <v>0</v>
      </c>
      <c r="F24" s="35">
        <v>0</v>
      </c>
      <c r="G24" s="35">
        <v>0</v>
      </c>
      <c r="I24" s="35">
        <f t="shared" si="7"/>
        <v>0</v>
      </c>
      <c r="K24" s="21" t="s">
        <v>46</v>
      </c>
      <c r="O24" s="35">
        <v>0</v>
      </c>
      <c r="P24" s="35">
        <v>0</v>
      </c>
      <c r="Q24" s="35">
        <v>0</v>
      </c>
      <c r="S24" s="35">
        <v>0</v>
      </c>
    </row>
    <row r="26" spans="1:19" s="36" customFormat="1" ht="15" thickBot="1" x14ac:dyDescent="0.35">
      <c r="A26" s="36" t="s">
        <v>47</v>
      </c>
      <c r="E26" s="39">
        <f>SUM(E21:E25)</f>
        <v>283204148</v>
      </c>
      <c r="F26" s="39">
        <f>SUM(F21:F25)</f>
        <v>3254254</v>
      </c>
      <c r="G26" s="39">
        <f>SUM(G21:G25)</f>
        <v>-27244787</v>
      </c>
      <c r="H26" s="39"/>
      <c r="I26" s="39">
        <f>SUM(I21:I25)</f>
        <v>259213615</v>
      </c>
      <c r="J26" s="24"/>
      <c r="K26" s="36" t="s">
        <v>47</v>
      </c>
      <c r="O26" s="39">
        <f>SUM(O21:O25)</f>
        <v>330720905</v>
      </c>
      <c r="P26" s="39">
        <f t="shared" ref="P26:S26" si="9">SUM(P21:P25)</f>
        <v>10215406</v>
      </c>
      <c r="Q26" s="39">
        <f t="shared" si="9"/>
        <v>-145799079.57499999</v>
      </c>
      <c r="R26" s="39"/>
      <c r="S26" s="39">
        <f t="shared" si="9"/>
        <v>195137231.42499924</v>
      </c>
    </row>
    <row r="28" spans="1:19" x14ac:dyDescent="0.3">
      <c r="A28" s="21" t="s">
        <v>48</v>
      </c>
      <c r="E28" s="35">
        <v>36471526</v>
      </c>
      <c r="F28" s="35">
        <v>0</v>
      </c>
      <c r="G28" s="35">
        <v>0</v>
      </c>
      <c r="I28" s="35">
        <f t="shared" ref="I28" si="10">SUM(E28:G28)</f>
        <v>36471526</v>
      </c>
      <c r="K28" s="21" t="s">
        <v>48</v>
      </c>
      <c r="O28" s="35">
        <v>-94389027</v>
      </c>
      <c r="P28" s="35">
        <v>0</v>
      </c>
      <c r="Q28" s="35">
        <v>0</v>
      </c>
      <c r="S28" s="35">
        <f t="shared" ref="S28" si="11">SUM(O28:R28)</f>
        <v>-94389027</v>
      </c>
    </row>
    <row r="29" spans="1:19" x14ac:dyDescent="0.3">
      <c r="A29" s="21" t="s">
        <v>3</v>
      </c>
      <c r="E29" s="35">
        <v>0</v>
      </c>
      <c r="F29" s="35">
        <v>0</v>
      </c>
      <c r="G29" s="35">
        <v>0</v>
      </c>
      <c r="I29" s="35">
        <f t="shared" ref="I29" si="12">SUM(E29:G29)</f>
        <v>0</v>
      </c>
      <c r="K29" s="21" t="s">
        <v>3</v>
      </c>
      <c r="O29" s="35">
        <v>0</v>
      </c>
      <c r="P29" s="35">
        <v>0</v>
      </c>
      <c r="Q29" s="35">
        <v>0</v>
      </c>
      <c r="S29" s="35">
        <v>0</v>
      </c>
    </row>
    <row r="31" spans="1:19" ht="15" thickBot="1" x14ac:dyDescent="0.35">
      <c r="A31" s="21" t="s">
        <v>49</v>
      </c>
      <c r="E31" s="40">
        <f>SUM(E26:E30)</f>
        <v>319675674</v>
      </c>
      <c r="F31" s="40">
        <f>SUM(F26:F30)</f>
        <v>3254254</v>
      </c>
      <c r="G31" s="40">
        <f>SUM(G26:G30)</f>
        <v>-27244787</v>
      </c>
      <c r="H31" s="40"/>
      <c r="I31" s="40">
        <f>SUM(I26:I30)</f>
        <v>295685141</v>
      </c>
      <c r="K31" s="21" t="s">
        <v>49</v>
      </c>
      <c r="O31" s="40">
        <f>SUM(O26:O30)</f>
        <v>236331878</v>
      </c>
      <c r="P31" s="40">
        <f t="shared" ref="P31:S31" si="13">SUM(P26:P30)</f>
        <v>10215406</v>
      </c>
      <c r="Q31" s="40">
        <f t="shared" si="13"/>
        <v>-145799079.57499999</v>
      </c>
      <c r="R31" s="40"/>
      <c r="S31" s="40">
        <f t="shared" si="13"/>
        <v>100748204.42499924</v>
      </c>
    </row>
    <row r="32" spans="1:19" ht="15" thickTop="1" x14ac:dyDescent="0.3"/>
    <row r="35" spans="2:19" s="36" customFormat="1" x14ac:dyDescent="0.3">
      <c r="B35" s="36" t="s">
        <v>20</v>
      </c>
      <c r="E35" s="24">
        <f>E31-BAL!D49</f>
        <v>0</v>
      </c>
      <c r="F35" s="24">
        <f>F31-BAL!E49</f>
        <v>0</v>
      </c>
      <c r="G35" s="24">
        <f>G31-BAL!F49</f>
        <v>0</v>
      </c>
      <c r="H35" s="24"/>
      <c r="I35" s="24"/>
      <c r="J35" s="24"/>
      <c r="L35" s="36" t="s">
        <v>20</v>
      </c>
      <c r="O35" s="24">
        <f>O31-BAL!M49</f>
        <v>0</v>
      </c>
      <c r="P35" s="24">
        <f>P31-BAL!N49</f>
        <v>0</v>
      </c>
      <c r="Q35" s="24">
        <f>Q31-BAL!O49</f>
        <v>0.42500001192092896</v>
      </c>
      <c r="R35" s="24"/>
      <c r="S35" s="24"/>
    </row>
    <row r="36" spans="2:19" x14ac:dyDescent="0.3">
      <c r="I36" s="35">
        <f>SUM(E31:G31)-I31</f>
        <v>0</v>
      </c>
      <c r="S36" s="35">
        <f>SUM(O31:Q31)-S31</f>
        <v>7.7486038208007813E-7</v>
      </c>
    </row>
  </sheetData>
  <pageMargins left="0.11811023622047245" right="0.31496062992125984" top="0.15748031496062992" bottom="0.35433070866141736" header="0.31496062992125984" footer="0.31496062992125984"/>
  <pageSetup paperSize="14" scale="70" orientation="landscape" r:id="rId1"/>
</worksheet>
</file>

<file path=_xmlsignatures/_rels/origin.sigs.rels><?xml version="1.0" encoding="UTF-8" standalone="yes"?>
<Relationships xmlns="http://schemas.openxmlformats.org/package/2006/relationships"><Relationship Id="rId3" Type="http://schemas.openxmlformats.org/package/2006/relationships/digital-signature/signature" Target="sig3.xml"/><Relationship Id="rId2" Type="http://schemas.openxmlformats.org/package/2006/relationships/digital-signature/signature" Target="sig2.xml"/><Relationship Id="rId4" Type="http://schemas.openxmlformats.org/package/2006/relationships/digital-signature/signature" Target="sig4.xml"/></Relationships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0UXEkMEv/7+h9E+3geVOTv7GA9StVtkLRZyVWoOmIRI=</DigestValue>
    </Reference>
    <Reference Type="http://www.w3.org/2000/09/xmldsig#Object" URI="#idOfficeObject">
      <DigestMethod Algorithm="http://www.w3.org/2001/04/xmlenc#sha256"/>
      <DigestValue>FAouhI2iUNNHWee6HNqvOuB/UzrgsU7lYt1Rjlf9a8M=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r0RJ0kcvnXsmlhGI2rLTM3aLO7tByyJFmvrdGVn6AMA=</DigestValue>
    </Reference>
  </SignedInfo>
  <SignatureValue>HTaSl5mfCm3k2c0t7+SkpewXNE91a/DozdAXWzE8Ge5/NY4ssxg5siObWLslkEAobR1QzVvijeTi
55lOhUzUSl4+/1kmtxQj3ywSZipZXIsTWdYzgV7TqggdupNP5OS3tPGEcAMi/sHvtV+9n8qpbAlO
SSvHvW9drYwpuquj4b9Z6rFHTRgkZkjNhUcb4fhOCw9u9m3ZqZFJXHH3CR5g0QL6RtxuKGD9uda+
WQDMpzw6EX3VciozbyvEQPfNOI3s1glXVeAaJUUyZ8SfcQpKWX9mgFYlBdeEL8HX2r66oCMRfsPh
fMXdxl1b0yWyYJKYLzfGZDdZ21xoJQi7ds6trA==</SignatureValue>
  <KeyInfo>
    <X509Data>
      <X509Certificate>MIIICTCCBfGgAwIBAgIIDtupKnR0PFowDQYJKoZIhvcNAQELBQAwWzEXMBUGA1UEBRMOUlVDIDgwMDUwMTcyLTExGjAYBgNVBAMTEUNBLURPQ1VNRU5UQSBTLkEuMRcwFQYDVQQKEw5ET0NVTUVOVEEgUy5BLjELMAkGA1UEBhMCUFkwHhcNMjIwNjEwMTk0NzE1WhcNMjQwNjA5MTk1NzE1WjCBqTELMAkGA1UEBhMCUFkxGTAXBgNVBAQMEEJJRURFUk1BTk4gU01JVEgxEjAQBgNVBAUTCUNJMTA1NTA1OTEWMBQGA1UEKgwNRU5SSVFVRSBEQVZJRDEXMBUGA1UECgwOUEVSU09OQSBGSVNJQ0ExETAPBgNVBAsMCEZJUk1BIEYyMScwJQYDVQQDDB5FTlJJUVVFIERBVklEIEJJRURFUk1BTk4gU01JVEgwggEiMA0GCSqGSIb3DQEBAQUAA4IBDwAwggEKAoIBAQCilKL7Z8RNjQXPgeLp55HNC6eciLKxvHyEGKrKuWSbZHw3rPaJlp/1222vBSTfu/xXqznwdRA/VhkywPoaMgi/Agbc0W6VZ/wrU60qUrDnAe5UvI1lZp0E9P9OvKseVnyWozN1HsIWe3FMkHrXPjravmIYBrbWfZSfgMvzPtZ2L51CEzk56RZ+GY4a+VJc0N2np9zOq+QK5M8bSTDsV97QIoJhLBIiS6MUNOmuKEYHtsYqgILGAt0d214ej1VgZXB6UBna1D8iQZaPSznpJuc1DxHyJFBuJSSFGxNeREXBG7rLghkNGlX2cG+SM7q1a8/JVgM9i62hyQdLNnBunifPAgMBAAGjggOAMIIDfDAMBgNVHRMBAf8EAjAAMA4GA1UdDwEB/wQEAwIF4DAqBgNVHSUBAf8EIDAeBggrBgEFBQcDAQYIKwYBBQUHAwIGCCsGAQUFBwMEMB0GA1UdDgQWBBRTrfvU67LPGD+MOuale4hI7s1MVjCBlwYIKwYBBQUHAQEEgYowgYcwOgYIKwYBBQUHMAGGLmh0dHBzOi8vd3d3LmRvY3VtZW50YS5jb20ucHkvZmlybWFkaWdpdGFsL29zY3AwSQYIKwYBBQUHMAKGPWh0dHBzOi8vd3d3LmRvY3VtZW50YS5jb20ucHkvZmlybWFkaWdpdGFsL2Rlc2Nhcmdhcy9jYWRvYy5jcnQwHwYDVR0jBBgwFoAUQCasJlxij8b1AlTkjcEaJtbupbIwTwYDVR0fBEgwRjBEoEKgQIY+aHR0cHM6Ly93d3cuZG9jdW1lbnRhLmNvbS5weS9maXJtYWRpZ2l0YWwvZGVzY2FyZ2FzL2NybGRvYy5jcmwwJAYDVR0RBB0wG4EZZW5yaXF1ZUBiaWVkZXJtYW5uLmNvbS5weTCCAd0GA1UdIASCAdQwggHQMIIBzAYOKwYBBAGC+TsBAQEGAQEwggG4MD8GCCsGAQUFBwIBFjNodHRwczovL3d3dy5kb2N1bWVudGEuY29tLnB5L2Zpcm1hZGlnaXRhbC9kZXNjYXJnYXMwgcAGCCsGAQUFBwICMIGzGoGwRXN0ZSBlcyB1biBjZXJ0aWZpY2FkbyBkZSBwZXJzb25hIGbtc2ljYSBjdXlhIGNsYXZlIHByaXZhZGEgZXN04SBjb250ZW5pZGEgZW4gdW4gbfNkdWxvIGRlIGhhcmR3YXJlIHNlZ3VybyB5IHN1IGZpbmFsaWRhZCBlcyBhdXRlbnRpY2FyIGEgc3UgdGl0dWxhciBvIGdlbmVyYXIgZmlybWFzIGRpZ2l0YWxlcy4wgbEGCCsGAQUFBwICMIGkGoGhVGhpcyBpcyBhbiBlbmQgdXNlciBjZXJ0aWZpY2F0ZSB3aG9zZSBwcml2YXRlIGtleSBpcyBlbWJlZGRlZCB3aXRoaW4gYSBzZWN1cmUgaGFyZHdhcmUgbW9kdWxlIHRoYXQgYWltcyB0byBhdXRoZW50aWNhdGUgaXRzIG93bmVyIG9yIGdlbmVyYXRlIGRpZ2l0YWwgc2lnbmF0dXJlcy4wDQYJKoZIhvcNAQELBQADggIBAAhiVuxK95iLOReSeAI+dOKwKKm+MRgxjRYBXDLVhJVd5iQ3qknFk/E0xITfhlPsSVzdfUfXGnXszCc3VbIVoMfnj865G+GNhr5J8mNYnwBplxeLLbS+SaeFIFnBSQMNDhgJ/ISgN7FTD71TLaiURcknzI/TC2y5HQD61wJ90woBSmvwQhow2+Qt7qQ49bzIVYgTQGRSj9JR352/oeB3Z1gswe10vliZVfcfbcudihMPufc6Wz4o28kei/ClJ1dBtfU3M8rSF7eM7kkGOI6SpVNflzEzISPSVq8drvQVhglc3OOEFvfelc3eM/FxCJdUiGVbLu1DJ+ABW9nhMFrvL2NhbRiLCRIvPF/f+bRTxkb1AOI5mT72f0h8WbdQzAww59MwQmS2jx9RcODU/qidC562dH7ZwNO6IfPgoCSnhYr2sVQNAqMuE4YZ2nrscsZ2zCUa2upysgojPmmudNvw8ooVmQMhrQh20ZJkqxmWddCsmIX+nkx1ItK9ZBUgm6AdsQCSfW+q/lWUxurZ9m11koJ5jJUjU7j/qmEmGeuV4tMosrYFN8FaOk8mb5B9K0bSkqpbTcbLxF28c1biAm6BeW3TCRnSyqxV83aA8X/ali2JU7D+LeXMv8wGZFa6c48xD3eEi9QVEGsXFzk0pWg8G+pBzuXwuRSbdO6vERLJwvkj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1/04/xmlenc#sha256"/>
        <DigestValue>vvsM58qzs+Qvvj9KGvAvpuE6byaWYl4UthLplyBKcQQ=</DigestValue>
      </Reference>
      <Reference URI="/xl/calcChain.xml?ContentType=application/vnd.openxmlformats-officedocument.spreadsheetml.calcChain+xml">
        <DigestMethod Algorithm="http://www.w3.org/2001/04/xmlenc#sha256"/>
        <DigestValue>UpYkEFmENE6pU/qRldXC/CftbT/73VV6Bq5ie/VUACo=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IQ0frX+1aBb2FGLc6Kv4eG6NhapYzl+hEu8NS0aZS9E=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IQ0frX+1aBb2FGLc6Kv4eG6NhapYzl+hEu8NS0aZS9E=</DigestValue>
      </Reference>
      <Reference URI="/xl/sharedStrings.xml?ContentType=application/vnd.openxmlformats-officedocument.spreadsheetml.sharedStrings+xml">
        <DigestMethod Algorithm="http://www.w3.org/2001/04/xmlenc#sha256"/>
        <DigestValue>GYdrd0KrgM2C7AOPC6hU1l1ayvvZkItp4nDsIxPJlsc=</DigestValue>
      </Reference>
      <Reference URI="/xl/styles.xml?ContentType=application/vnd.openxmlformats-officedocument.spreadsheetml.styles+xml">
        <DigestMethod Algorithm="http://www.w3.org/2001/04/xmlenc#sha256"/>
        <DigestValue>XwYaJtbGaU9XEnxhxlJLenc9mb/mlgRomvYAGIcfi1Q=</DigestValue>
      </Reference>
      <Reference URI="/xl/theme/theme1.xml?ContentType=application/vnd.openxmlformats-officedocument.theme+xml">
        <DigestMethod Algorithm="http://www.w3.org/2001/04/xmlenc#sha256"/>
        <DigestValue>y9/o+8rOZ7WcZ+RvGvz47D9aw6YQv1ngthYeL7qfv4U=</DigestValue>
      </Reference>
      <Reference URI="/xl/workbook.xml?ContentType=application/vnd.openxmlformats-officedocument.spreadsheetml.sheet.main+xml">
        <DigestMethod Algorithm="http://www.w3.org/2001/04/xmlenc#sha256"/>
        <DigestValue>6uJWTmgA5pTSzzpROmR2vXi15iwqK5ypItFV8eyc1ng=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sheet1.xml?ContentType=application/vnd.openxmlformats-officedocument.spreadsheetml.worksheet+xml">
        <DigestMethod Algorithm="http://www.w3.org/2001/04/xmlenc#sha256"/>
        <DigestValue>Iyk8o7gtm9d+J/i2gL1GTrcp5AcnWs4oE5SpHgKr4tc=</DigestValue>
      </Reference>
      <Reference URI="/xl/worksheets/sheet2.xml?ContentType=application/vnd.openxmlformats-officedocument.spreadsheetml.worksheet+xml">
        <DigestMethod Algorithm="http://www.w3.org/2001/04/xmlenc#sha256"/>
        <DigestValue>GGEwcA4KXPqhTggi7FeC8Aj18ayqD1pPNeigANqujWg=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2022-11-14T16:29:00Z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2022-11-14T16:29:00Z</xd:SigningTime>
          <xd:SigningCertificate>
            <xd:Cert>
              <xd:CertDigest>
                <DigestMethod Algorithm="http://www.w3.org/2001/04/xmlenc#sha256"/>
                <DigestValue>QNwh+9vdDd3u1qa6/oB8l8zFzADAAe2WeED+NY/eHt8=</DigestValue>
              </xd:CertDigest>
              <xd:IssuerSerial>
                <X509IssuerName>C=PY, O=DOCUMENTA S.A., CN=CA-DOCUMENTA S.A., SERIALNUMBER=RUC 80050172-1</X509IssuerName>
                <X509SerialNumber>1070635336238120026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</xd:QualifyingProperties>
  </Object>
</Signature>
</file>

<file path=_xmlsignatures/sig3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lmbTmoxmWd4BtoUArac8uWdCoaNEjfsliETsNHTCUm8=</DigestValue>
    </Reference>
    <Reference Type="http://www.w3.org/2000/09/xmldsig#Object" URI="#idOfficeObject">
      <DigestMethod Algorithm="http://www.w3.org/2001/04/xmlenc#sha256"/>
      <DigestValue>ESS4lzHxogDShkxZTRcR1fL61J9UuPWN6loEDL0dNz8=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QT9PZKLLyU5NzL6LvhZjsn6iH2iy2lZ9ZCx9xNkqO3s=</DigestValue>
    </Reference>
  </SignedInfo>
  <SignatureValue>QxyOWw661cv082oGElufh9AzzNGKvXCfTUdCqcC/8avNEzGSOaIdevsmTwFyT9zEgWIlHBDw+Uwb
eVSncLbgxe5YEoxTbAGDbpMvanvZwcMTLKvCOPJp3RoYXXa4Vyk5YKIsB+lVIJibi1L7epgaMgOY
IExFoPZEroN6+i+yM6ayVexf3/kydX2NBZ/ms5nRbFMx8cwpdyW2auGLaYouCxCp0MKJ3oO2JRhs
/sGUV59bDcJ4FkJCva19xNgKxCm01ca55N+fBLArN249uZCxxsV21wfMFfl+F1E+09Z2ekNdUGNv
JJk1pfa1IYnKOkRB5YU2SlQg4J3AV85EXcdJRQ==</SignatureValue>
  <KeyInfo>
    <X509Data>
      <X509Certificate>MIIHtTCCBZ2gAwIBAgIQccUIlqTYQotgtP44ul6N8DANBgkqhkiG9w0BAQsFADBPMRcwFQYDVQQFEw5SVUMgODAwODAwOTktMDELMAkGA1UEBhMCUFkxETAPBgNVBAoMCFZJVCBTLkEuMRQwEgYDVQQDEwtDQS1WSVQgUy5BLjAeFw0yMTA1MzExNTE4MTZaFw0yMzA1MzExNTE4MTZaMIGUMRAwDgYDVQQqDAdIT1JBQ0lPMRUwEwYDVQQEDAxDQU1QT1MgRE9SSUExETAPBgNVBAUTCENJNDkyNjA1MR0wGwYDVQQDDBRIT1JBQ0lPIENBTVBPUyBET1JJQTERMA8GA1UECwwIRklSTUEgRjIxFzAVBgNVBAoMDlBFUlNPTkEgRklTSUNBMQswCQYDVQQGEwJQWTCCASIwDQYJKoZIhvcNAQEBBQADggEPADCCAQoCggEBAJ7EAgiyfAhjXy0DvNeEyIGhCtU7TJUg3iY8tZcdpYpVhctgAM69eFTB1jzP39hE/0jDyF7iED4/NDYd95+kerF7JeqWayk+K0ZFUibrwRdLR8Ylv8o07tYMn8jIq/XpEswCNgh0e80Ndusfi1IyoGOTUAIGbpumbNIOdWjM6kLMbv2Kote+WT3sf83GOJ8/QuDnMEM3j6SbMD+7HDDxVIhvk0lOmsh59sSYzIsUaWqUr6Goq0kRwUl6fpurYs1Vc1szQ8NNrfnwhlsqPIbXWlyb6bSwJhm6gezX4FeprB/AtQPh4rU1exdqjjJb/2pu6ke6iI3m1dWH6pe2BBV+6K8CAwEAAaOCA0UwggNBMAwGA1UdEwEB/wQCMAAwDgYDVR0PAQH/BAQDAgXgMCwGA1UdJQEB/wQiMCAGCCsGAQUFBwMEBggrBgEFBQcDAgYKKwYBBAGCNxQCAjAdBgNVHQ4EFgQUqBWuVJndycS4WRsTcDUmOUb44VEwHwYDVR0jBBgwFoAUA2N8n21acqVTkbTb7JH7A198fJ0wggHYBgNVHSAEggHPMIIByzCCAccGDCsGAQQBgtlKAQEBBzCCAbUwMQYIKwYBBQUHAgEWJWh0dHBzOi8vd3d3LmVmaXJtYS5jb20ucHkvcmVwb3NpdG9yaW8wgcYGCCsGAQUFBwICMIG5GoG2RXN0ZSBlcyB1biBjZXJ0aWZpY2FkbyBUaXBvIEYyIGRlIHBlcnNvbmEgZu1zaWNhIGN1eWEgY2xhdmUgcHJpdmFkYSBlc3ThIGFsbWFjZW5hZGEgZW4gdW4gbfNkdWxvIGRlIGhhcmR3YXJlIHkgc29uIHV0aWxpemFkYXMgcGFyYSBhdXRlbnRpY2FyIGEgc3UgdGl0dWxhciB5IGdlbmVyYXIgZmlybWFzIGRpZ2l0YWxlcy4wgbYGCCsGAQUFBwICMIGpGoGmVGhpcyBpcyBhIFR5cGUgRjIgY2VydGlmaWNhdGUgb2YgcGh5c2ljYWwgcGVyc29uIHdob3NlIHByaXZhdGUga2V5IGlzIHN0b3JlZCBpbiBhIGhhcmR3YXJlIG1vZHVsZSBhbmQgdXNlZCB0byBhdXRoZW50aWNhdGUgdGhlIGhvbGRlciBhbmQgZ2VuZXJhdGUgZGlnaXRhbCBzaWduYXR1cmVzLjAbBgNVHREEFDASgRBIQ0RNQ0NAR01BSUwuQ09NMHYGCCsGAQUFBwEBBGowaDAoBggrBgEFBQcwAYYcaHR0cHM6Ly93d3cuZWZpcm1hLmNvbS5weS92YTA8BggrBgEFBQcwAoYwaHR0cHM6Ly93d3cuZWZpcm1hLmNvbS5weS9yZXBvc2l0b3Jpby9lZmlybWEuY3J0MEIGA1UdHwQ7MDkwN6A1oDOGMWh0dHBzOi8vd3d3LmVmaXJtYS5jb20ucHkvcmVwb3NpdG9yaW8vZWZpcm1hMS5jcmwwDQYJKoZIhvcNAQELBQADggIBAChufU6/IE3gQCbPH73MtKte0t5+cbD/d300hkq11grR0udbqKSVN//4OiYQM/RG3ApgvqkxMjraJhiK2eeHzHn+pjZ4sO7GYK/8lJL15vI6C1M6GL4IITusg/8zrbPl+K3LoHyCtsVr7PGXpEdBGK7VXm2dpNrj04iKq/CwhsAFjDIm5upi2m/4kmMO6hiphD6LrDf6pEqDIMo/grwEnm9Xqh8CwhrbdbmhCGhkStaG8cq1vwMz+rKe5SW4j/l5xXFE47FvyJJdSokzsoDLbI/uwqGRnW+iRCruwkz7PlOfP6ku92WUaAhOW3Smciwel+FYWh+e2wIYIe4zjtiH08T9AA8XMBy0f3h80eFUL9K52+3txtTTfMXE7EeeWIBt6TwP34S254IYTHM0tXOsgC2QnnYKrz8H24EPvHfU80jsLLUA4I5mBBbsPAvUXgoLU75HZNWZbxoKv85O/83pkx7im6VZ7fAxqJyr1mDW7KH7l94JdCSch3K8SPSMNWgfo8SXtHHI6flnZbv/ZHbbseu0Jkin6hRa7w3Tb8Djreatk6ZYwayWFaJeBvGMj+vFPKxMo0tlexkRcraXPbzswhE/tUgjXuf1pxTOkdir81iPQbfRiecCG/pK4oKWIsGW5BjGLvVj25I6swwXUG7rX2jM1RjwryTRG4do9B35q9dB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vvsM58qzs+Qvvj9KGvAvpuE6byaWYl4UthLplyBKcQQ=</DigestValue>
      </Reference>
      <Reference URI="/xl/calcChain.xml?ContentType=application/vnd.openxmlformats-officedocument.spreadsheetml.calcChain+xml">
        <DigestMethod Algorithm="http://www.w3.org/2001/04/xmlenc#sha256"/>
        <DigestValue>UpYkEFmENE6pU/qRldXC/CftbT/73VV6Bq5ie/VUACo=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IQ0frX+1aBb2FGLc6Kv4eG6NhapYzl+hEu8NS0aZS9E=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IQ0frX+1aBb2FGLc6Kv4eG6NhapYzl+hEu8NS0aZS9E=</DigestValue>
      </Reference>
      <Reference URI="/xl/sharedStrings.xml?ContentType=application/vnd.openxmlformats-officedocument.spreadsheetml.sharedStrings+xml">
        <DigestMethod Algorithm="http://www.w3.org/2001/04/xmlenc#sha256"/>
        <DigestValue>GYdrd0KrgM2C7AOPC6hU1l1ayvvZkItp4nDsIxPJlsc=</DigestValue>
      </Reference>
      <Reference URI="/xl/styles.xml?ContentType=application/vnd.openxmlformats-officedocument.spreadsheetml.styles+xml">
        <DigestMethod Algorithm="http://www.w3.org/2001/04/xmlenc#sha256"/>
        <DigestValue>XwYaJtbGaU9XEnxhxlJLenc9mb/mlgRomvYAGIcfi1Q=</DigestValue>
      </Reference>
      <Reference URI="/xl/theme/theme1.xml?ContentType=application/vnd.openxmlformats-officedocument.theme+xml">
        <DigestMethod Algorithm="http://www.w3.org/2001/04/xmlenc#sha256"/>
        <DigestValue>y9/o+8rOZ7WcZ+RvGvz47D9aw6YQv1ngthYeL7qfv4U=</DigestValue>
      </Reference>
      <Reference URI="/xl/workbook.xml?ContentType=application/vnd.openxmlformats-officedocument.spreadsheetml.sheet.main+xml">
        <DigestMethod Algorithm="http://www.w3.org/2001/04/xmlenc#sha256"/>
        <DigestValue>6uJWTmgA5pTSzzpROmR2vXi15iwqK5ypItFV8eyc1ng=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sheet1.xml?ContentType=application/vnd.openxmlformats-officedocument.spreadsheetml.worksheet+xml">
        <DigestMethod Algorithm="http://www.w3.org/2001/04/xmlenc#sha256"/>
        <DigestValue>Iyk8o7gtm9d+J/i2gL1GTrcp5AcnWs4oE5SpHgKr4tc=</DigestValue>
      </Reference>
      <Reference URI="/xl/worksheets/sheet2.xml?ContentType=application/vnd.openxmlformats-officedocument.spreadsheetml.worksheet+xml">
        <DigestMethod Algorithm="http://www.w3.org/2001/04/xmlenc#sha256"/>
        <DigestValue>GGEwcA4KXPqhTggi7FeC8Aj18ayqD1pPNeigANqujWg=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2022-11-14T17:45:30Z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15.0</OfficeVersion>
          <ApplicationVersion>15.0</ApplicationVersion>
          <Monitors>1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2022-11-14T17:45:30Z</xd:SigningTime>
          <xd:SigningCertificate>
            <xd:Cert>
              <xd:CertDigest>
                <DigestMethod Algorithm="http://www.w3.org/2001/04/xmlenc#sha256"/>
                <DigestValue>i1bSvR0oehmcpQ0GRIXDR3lNLtRBrbeiwL+Wk3LFMIo=</DigestValue>
              </xd:CertDigest>
              <xd:IssuerSerial>
                <X509IssuerName>CN=CA-VIT S.A., O=VIT S.A., C=PY, SERIALNUMBER=RUC 80080099-0</X509IssuerName>
                <X509SerialNumber>151225820199345044868955857055997922800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Aprobó este documento</xd:Description>
            </xd:CommitmentTypeId>
            <xd:AllSignedDataObjects/>
          </xd:CommitmentTypeIndication>
        </xd:SignedDataObjectProperties>
      </xd:SignedProperties>
    </xd:QualifyingProperties>
  </Object>
</Signature>
</file>

<file path=_xmlsignatures/sig4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rTsg8FrXUokQRwW/a6mMl/cUCH0nb7av9OjN1fhKMNs=</DigestValue>
    </Reference>
    <Reference Type="http://www.w3.org/2000/09/xmldsig#Object" URI="#idOfficeObject">
      <DigestMethod Algorithm="http://www.w3.org/2001/04/xmlenc#sha256"/>
      <DigestValue>PeqzJzGpOcoW8ZkdeZesRDUqjDoV03wDgn6+dzniLLA=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GLntd1HQZF5R2cSygMTv10MOn3ZLLn3tEIPMZkan7PI=</DigestValue>
    </Reference>
  </SignedInfo>
  <SignatureValue>nPl9mJsEtZqoxKE59rGuv2hRe+w18KY3UYK6ySip60KQqA4qH0UxFAWA3CSaPP7P95uNar5QvJ+R
sA0GtL11SuevqmnuACbi43VA7Wd7vaDDmmg42b6stl4daU0p/5iVvaGaXWyDALRDv8DsT054O2v2
/Yx/JGoMukqNdlAIOdtUWbJguJI/iX6+5OZWtiEZEcUGn9BGjnxXsV/pmCdx1ENAuae25J07Sgez
nF1cfL6eCnb9y/FlkV1OcTyJFmYVD1bIhd21ROLBzJRkvEqDqliYffNpOWcbTOAqqqcuPYd+IAv+
yN7mz0VJ045ApDCowucZ+ZGmYEYxvPMUsWuU8A==</SignatureValue>
  <KeyInfo>
    <X509Data>
      <X509Certificate>MIIH0DCCBbigAwIBAgIQXiGGzfQyw4dgtQcDY8l3TDANBgkqhkiG9w0BAQsFADBPMRcwFQYDVQQFEw5SVUMgODAwODAwOTktMDELMAkGA1UEBhMCUFkxETAPBgNVBAoMCFZJVCBTLkEuMRQwEgYDVQQDEwtDQS1WSVQgUy5BLjAeFw0yMTA1MzExNTU1NDdaFw0yMzA1MzExNTU1NDdaMIGqMRcwFQYDVQQqDA5KT0FRVUlOIEFSVFVSTzEZMBcGA1UEBAwQQkVOSVRFWiBGQU5USUxMSTERMA8GA1UEBRMIQ0k4NjQ5MDkxKDAmBgNVBAMMH0pPQVFVSU4gQVJUVVJPIEJFTklURVogRkFOVElMTEkxETAPBgNVBAsMCEZJUk1BIEYyMRcwFQYDVQQKDA5QRVJTT05BIEZJU0lDQTELMAkGA1UEBhMCUFkwggEiMA0GCSqGSIb3DQEBAQUAA4IBDwAwggEKAoIBAQDFX6LqAfBLlXgKOBqAKgvSez/tW0ncm4Im1X/Um/bTsYjBlJo5XxynP64Z8IHkmCalaIhKdW+IWGpgubqGVyCI6BvkRy6jo5RIaQD6ExkVDmVg7pDcZC7kCXY2iz8VPjwu2KLIbVXnNF6FE3QL9AkImlCNaQsaACKaE47qIXGOR9oHMyROzxJH8gOxTPn79lSWOznm09FAoowjhtwlKYGWxLc1AZ4Vz8A6fOqs/0naETvsB0xrMHupvJYn3mL3vMCVEdhvf5l5FGUcX15LvT+a8VcGpYse5+i9NJZUQxhf0WakghFCqXLJblmHy9kR5h/Ar0Fb9c2zUjS4y6fZi+N1AgMBAAGjggNKMIIDRjAMBgNVHRMBAf8EAjAAMA4GA1UdDwEB/wQEAwIF4DAsBgNVHSUBAf8EIjAgBggrBgEFBQcDBAYIKwYBBQUHAwIGCisGAQQBgjcUAgIwHQYDVR0OBBYEFB7vpdpol8nDpV+km9HuceAlb8FmMB8GA1UdIwQYMBaAFANjfJ9tWnKlU5G02+yR+wNffHydMIIB2AYDVR0gBIIBzzCCAcswggHHBgwrBgEEAYLZSgEBAQcwggG1MDEGCCsGAQUFBwIBFiVodHRwczovL3d3dy5lZmlybWEuY29tLnB5L3JlcG9zaXRvcmlvMIHGBggrBgEFBQcCAjCBuRqBtkVzdGUgZXMgdW4gY2VydGlmaWNhZG8gVGlwbyBGMiBkZSBwZXJzb25hIGbtc2ljYSBjdXlhIGNsYXZlIHByaXZhZGEgZXN04SBhbG1hY2VuYWRhIGVuIHVuIG3zZHVsbyBkZSBoYXJkd2FyZSB5IHNvbiB1dGlsaXphZGFzIHBhcmEgYXV0ZW50aWNhciBhIHN1IHRpdHVsYXIgeSBnZW5lcmFyIGZpcm1hcyBkaWdpdGFsZXMuMIG2BggrBgEFBQcCAjCBqRqBplRoaXMgaXMgYSBUeXBlIEYyIGNlcnRpZmljYXRlIG9mIHBoeXNpY2FsIHBlcnNvbiB3aG9zZSBwcml2YXRlIGtleSBpcyBzdG9yZWQgaW4gYSBoYXJkd2FyZSBtb2R1bGUgYW5kIHVzZWQgdG8gYXV0aGVudGljYXRlIHRoZSBob2xkZXIgYW5kIGdlbmVyYXRlIGRpZ2l0YWwgc2lnbmF0dXJlcy4wIAYDVR0RBBkwF4EVSk9BUVVJTkJGQEhPVE1BSUwuQ09NMHYGCCsGAQUFBwEBBGowaDAoBggrBgEFBQcwAYYcaHR0cHM6Ly93d3cuZWZpcm1hLmNvbS5weS92YTA8BggrBgEFBQcwAoYwaHR0cHM6Ly93d3cuZWZpcm1hLmNvbS5weS9yZXBvc2l0b3Jpby9lZmlybWEuY3J0MEIGA1UdHwQ7MDkwN6A1oDOGMWh0dHBzOi8vd3d3LmVmaXJtYS5jb20ucHkvcmVwb3NpdG9yaW8vZWZpcm1hMS5jcmwwDQYJKoZIhvcNAQELBQADggIBAEq+5BmtBOwH3IdE0vJtNr7yEPE5lp/4hnrSS7dURvl3iLOF3W9tOl/1qn6d+Z5YdKOnuLwBEsEX/mzIukP/iNfjX4XhoiC7bzkSB5iQQg+N/tl8IvrlnShEWX8yatB5uoGv08HEtN2Eaf0LJ0Veb6w9g52w3D7egwXvylVhtmBI31LBzj6uxXa9z7l0Ot+qFxNebziJ7hvc7wZy2b8qKzU2hCqbVK2E5EFOjiQcIiHMBn7vmMjTOhdRsxBpfLXuMkznkxGtsS/c+dX2+LR8umzspvkMKDUfEs1Am6YaDAaFN4gxYIovRMcDp8JHzJ1LN/2AGx2GriXO7vG4DPOkfr8kUS9WyCbbTEe4WDhJCdy6pTaW57Q3+/C24Sx/R8ma/yohO69PI4hgR7iuBDB8UBsrq0coxdCTNehMcW+ZFgLUBYHaZDWk7lIKdaLn4YmOPluvvHauVsuOQWElKorIje7iQDoZaAR83AWAaQkgJ+b19Ts6ZdjSaGGGeFHfSqTQDNxty4a9McJtESk+DVhhzGocF+wdboE86uqZP71jK+fU6LMuTjZi2L+rOhlcW8N8u47EGiXlJK2/zxjFfigVr4Tu7AeP74qBXLH+ltbfxb76ND+Sx3U1xSy1DHLhCO+kSU/mKfNZnRhJEhzxVtTyU+8BwMcHYw6Jc4ZOi/CeBP/B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vvsM58qzs+Qvvj9KGvAvpuE6byaWYl4UthLplyBKcQQ=</DigestValue>
      </Reference>
      <Reference URI="/xl/calcChain.xml?ContentType=application/vnd.openxmlformats-officedocument.spreadsheetml.calcChain+xml">
        <DigestMethod Algorithm="http://www.w3.org/2001/04/xmlenc#sha256"/>
        <DigestValue>UpYkEFmENE6pU/qRldXC/CftbT/73VV6Bq5ie/VUACo=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IQ0frX+1aBb2FGLc6Kv4eG6NhapYzl+hEu8NS0aZS9E=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IQ0frX+1aBb2FGLc6Kv4eG6NhapYzl+hEu8NS0aZS9E=</DigestValue>
      </Reference>
      <Reference URI="/xl/sharedStrings.xml?ContentType=application/vnd.openxmlformats-officedocument.spreadsheetml.sharedStrings+xml">
        <DigestMethod Algorithm="http://www.w3.org/2001/04/xmlenc#sha256"/>
        <DigestValue>GYdrd0KrgM2C7AOPC6hU1l1ayvvZkItp4nDsIxPJlsc=</DigestValue>
      </Reference>
      <Reference URI="/xl/styles.xml?ContentType=application/vnd.openxmlformats-officedocument.spreadsheetml.styles+xml">
        <DigestMethod Algorithm="http://www.w3.org/2001/04/xmlenc#sha256"/>
        <DigestValue>XwYaJtbGaU9XEnxhxlJLenc9mb/mlgRomvYAGIcfi1Q=</DigestValue>
      </Reference>
      <Reference URI="/xl/theme/theme1.xml?ContentType=application/vnd.openxmlformats-officedocument.theme+xml">
        <DigestMethod Algorithm="http://www.w3.org/2001/04/xmlenc#sha256"/>
        <DigestValue>y9/o+8rOZ7WcZ+RvGvz47D9aw6YQv1ngthYeL7qfv4U=</DigestValue>
      </Reference>
      <Reference URI="/xl/workbook.xml?ContentType=application/vnd.openxmlformats-officedocument.spreadsheetml.sheet.main+xml">
        <DigestMethod Algorithm="http://www.w3.org/2001/04/xmlenc#sha256"/>
        <DigestValue>6uJWTmgA5pTSzzpROmR2vXi15iwqK5ypItFV8eyc1ng=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sheet1.xml?ContentType=application/vnd.openxmlformats-officedocument.spreadsheetml.worksheet+xml">
        <DigestMethod Algorithm="http://www.w3.org/2001/04/xmlenc#sha256"/>
        <DigestValue>Iyk8o7gtm9d+J/i2gL1GTrcp5AcnWs4oE5SpHgKr4tc=</DigestValue>
      </Reference>
      <Reference URI="/xl/worksheets/sheet2.xml?ContentType=application/vnd.openxmlformats-officedocument.spreadsheetml.worksheet+xml">
        <DigestMethod Algorithm="http://www.w3.org/2001/04/xmlenc#sha256"/>
        <DigestValue>GGEwcA4KXPqhTggi7FeC8Aj18ayqD1pPNeigANqujWg=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2022-11-14T17:51:21Z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16.0</OfficeVersion>
          <ApplicationVersion>16.0</ApplicationVersion>
          <Monitors>1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2022-11-14T17:51:21Z</xd:SigningTime>
          <xd:SigningCertificate>
            <xd:Cert>
              <xd:CertDigest>
                <DigestMethod Algorithm="http://www.w3.org/2001/04/xmlenc#sha256"/>
                <DigestValue>OUxVhJOFLOYKhTo9D2XLtAeLIrHw8hnHtq7XUp0iSFU=</DigestValue>
              </xd:CertDigest>
              <xd:IssuerSerial>
                <X509IssuerName>CN=CA-VIT S.A., O=VIT S.A., C=PY, SERIALNUMBER=RUC 80080099-0</X509IssuerName>
                <X509SerialNumber>125121511560349658158857407122152978252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http://uri.etsi.org/01903/v1.2.2#ProofOfOrigin</xd:Identifier>
              <xd:Description>Creó y aprobó este documento</xd:Description>
            </xd:CommitmentTypeId>
            <xd:AllSignedDataObjects/>
          </xd:CommitmentTypeIndication>
        </xd:SignedDataObjectProperties>
      </xd:SignedProperties>
    </xd:QualifyingProperties>
  </Object>
</Signature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2A04D5FD80433458B2C003629D34133" ma:contentTypeVersion="12" ma:contentTypeDescription="Crear nuevo documento." ma:contentTypeScope="" ma:versionID="77c73f8c113c43035fe40e6842400dee">
  <xsd:schema xmlns:xsd="http://www.w3.org/2001/XMLSchema" xmlns:xs="http://www.w3.org/2001/XMLSchema" xmlns:p="http://schemas.microsoft.com/office/2006/metadata/properties" xmlns:ns2="d5845aff-2e4f-4185-9b6c-b7ccf4ea8de4" xmlns:ns3="2e8945e0-4060-434a-9296-88ec39959342" targetNamespace="http://schemas.microsoft.com/office/2006/metadata/properties" ma:root="true" ma:fieldsID="21c60fdde48316922d37f954eb9d2806" ns2:_="" ns3:_="">
    <xsd:import namespace="d5845aff-2e4f-4185-9b6c-b7ccf4ea8de4"/>
    <xsd:import namespace="2e8945e0-4060-434a-9296-88ec3995934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LengthInSecond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845aff-2e4f-4185-9b6c-b7ccf4ea8de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Etiquetas de imagen" ma:readOnly="false" ma:fieldId="{5cf76f15-5ced-4ddc-b409-7134ff3c332f}" ma:taxonomyMulti="true" ma:sspId="bf57b533-a176-4645-b33c-7fea236c2aa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8945e0-4060-434a-9296-88ec39959342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05fa4682-f683-46b7-8aa9-acd6744f51ed}" ma:internalName="TaxCatchAll" ma:showField="CatchAllData" ma:web="2e8945e0-4060-434a-9296-88ec3995934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DE48D0E-007B-4286-AA07-FD7FE600B037}"/>
</file>

<file path=customXml/itemProps2.xml><?xml version="1.0" encoding="utf-8"?>
<ds:datastoreItem xmlns:ds="http://schemas.openxmlformats.org/officeDocument/2006/customXml" ds:itemID="{FC058B05-2737-44C3-ACB5-2BD0127B52E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BAL</vt:lpstr>
      <vt:lpstr>EST resul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2022-11-14T16:28:48Z</dcterms:modified>
</cp:coreProperties>
</file>