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4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72" tabRatio="1000" activeTab="1"/>
  </bookViews>
  <sheets>
    <sheet name="Indice" sheetId="1" r:id="rId1"/>
    <sheet name="BG" sheetId="2" r:id="rId2"/>
    <sheet name="EVPN" sheetId="3" r:id="rId3"/>
    <sheet name="ER" sheetId="4" r:id="rId4"/>
    <sheet name="EFE" sheetId="5" r:id="rId5"/>
    <sheet name="Nota1" sheetId="6" r:id="rId6"/>
    <sheet name="Nota 2" sheetId="7" r:id="rId7"/>
    <sheet name="Nota 3" sheetId="8" r:id="rId8"/>
    <sheet name="Nota 4" sheetId="9" r:id="rId9"/>
    <sheet name="Nota 5" sheetId="10" r:id="rId10"/>
    <sheet name="Nota 6" sheetId="11" r:id="rId11"/>
    <sheet name="Nota 7" sheetId="12" r:id="rId12"/>
    <sheet name="Nota 8" sheetId="13" r:id="rId13"/>
    <sheet name="Nota 9" sheetId="14" r:id="rId14"/>
    <sheet name="Nota 10" sheetId="15" r:id="rId15"/>
    <sheet name="Nota 11" sheetId="16" r:id="rId16"/>
    <sheet name="Nota 12" sheetId="17" r:id="rId17"/>
    <sheet name="Nota 13" sheetId="18" r:id="rId18"/>
    <sheet name="Nota 14" sheetId="19" r:id="rId19"/>
    <sheet name="Nota 15" sheetId="20" r:id="rId20"/>
    <sheet name="Nota 16" sheetId="21" r:id="rId21"/>
    <sheet name="Nota 17" sheetId="22" r:id="rId22"/>
    <sheet name="Nota 18" sheetId="23" r:id="rId23"/>
    <sheet name="Nota 19" sheetId="24" r:id="rId24"/>
    <sheet name="Nota 20" sheetId="25" r:id="rId25"/>
    <sheet name=" Nota 21" sheetId="26" r:id="rId26"/>
    <sheet name="Nota 22" sheetId="27" r:id="rId27"/>
    <sheet name="Nota 23" sheetId="28" r:id="rId28"/>
    <sheet name="Nota 24" sheetId="29" r:id="rId29"/>
    <sheet name="Nota 25" sheetId="30" r:id="rId30"/>
    <sheet name="Nota 26" sheetId="31" r:id="rId31"/>
    <sheet name="Nota 27" sheetId="32" r:id="rId32"/>
    <sheet name="Nota 28" sheetId="33" r:id="rId33"/>
    <sheet name="Nota 29" sheetId="34" r:id="rId34"/>
    <sheet name="Nota 30" sheetId="35" r:id="rId35"/>
    <sheet name="Nota 31" sheetId="36" r:id="rId36"/>
    <sheet name="Nota 32" sheetId="37" r:id="rId37"/>
    <sheet name="Nota 33" sheetId="38" r:id="rId38"/>
    <sheet name="Nota 34" sheetId="39" r:id="rId39"/>
    <sheet name="Nota 35" sheetId="40" r:id="rId40"/>
    <sheet name="Nota 36" sheetId="41" r:id="rId41"/>
    <sheet name="Nota 37" sheetId="42" r:id="rId42"/>
    <sheet name="Nota 38" sheetId="43" r:id="rId43"/>
    <sheet name="Nota 39" sheetId="44" r:id="rId44"/>
    <sheet name="Nota 40" sheetId="45" r:id="rId45"/>
    <sheet name="Base de Monedas" sheetId="46" r:id="rId46"/>
    <sheet name="ANEXO C" sheetId="47" r:id="rId47"/>
    <sheet name="ANEXO D" sheetId="48" r:id="rId48"/>
  </sheets>
  <externalReferences>
    <externalReference r:id="rId51"/>
    <externalReference r:id="rId52"/>
    <externalReference r:id="rId53"/>
    <externalReference r:id="rId54"/>
    <externalReference r:id="rId55"/>
  </externalReferences>
  <definedNames>
    <definedName name="_bookmark390" localSheetId="2">'EVPN'!$H$1</definedName>
    <definedName name="_Hlk15378568" localSheetId="6">'Nota 2'!$A$12</definedName>
    <definedName name="_xlfn.IFERROR" hidden="1">#NAME?</definedName>
    <definedName name="_xlnm.Print_Area" localSheetId="3">'ER'!$A$1:$D$47</definedName>
  </definedNames>
  <calcPr fullCalcOnLoad="1"/>
</workbook>
</file>

<file path=xl/sharedStrings.xml><?xml version="1.0" encoding="utf-8"?>
<sst xmlns="http://schemas.openxmlformats.org/spreadsheetml/2006/main" count="2524" uniqueCount="1413">
  <si>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</si>
  <si>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</si>
  <si>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</si>
  <si>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</si>
  <si>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</si>
  <si>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</si>
  <si>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</si>
  <si>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</si>
  <si>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</si>
  <si>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</si>
  <si>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</si>
  <si>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</si>
  <si>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</si>
  <si>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</si>
  <si>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</si>
  <si>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</si>
  <si>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</si>
  <si>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</si>
  <si>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</si>
  <si>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</si>
  <si>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</si>
  <si>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</si>
  <si>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</si>
  <si>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</si>
  <si>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</si>
  <si>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</si>
  <si>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</si>
  <si>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</si>
  <si>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</si>
  <si>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</si>
  <si>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</si>
  <si>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</si>
  <si>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</si>
  <si>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</si>
  <si>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</si>
  <si>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</si>
  <si>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</si>
  <si>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</si>
  <si>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</si>
  <si>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</si>
  <si>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</si>
  <si>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</si>
  <si>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</si>
  <si>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</si>
  <si>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</si>
  <si>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</si>
  <si>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</si>
  <si>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</si>
  <si>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</si>
  <si>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</si>
  <si>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</si>
  <si>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</si>
  <si>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</si>
  <si>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</si>
  <si>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</si>
  <si>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</si>
  <si>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</si>
  <si>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</si>
  <si>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</si>
  <si>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</si>
  <si>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</si>
  <si>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</si>
  <si>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</si>
  <si>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</si>
  <si>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</si>
  <si>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</si>
  <si>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</si>
  <si>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</si>
  <si>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</si>
  <si>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</si>
  <si>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</si>
  <si>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</si>
  <si>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</si>
  <si>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</si>
  <si>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</si>
  <si>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</si>
  <si>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</si>
  <si>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</si>
  <si>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</si>
  <si>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</si>
  <si>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</si>
  <si>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</si>
  <si>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</si>
  <si>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</si>
  <si>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</si>
  <si>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</si>
  <si>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</si>
  <si>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</si>
  <si>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</si>
  <si>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</si>
  <si>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</si>
  <si>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</si>
  <si>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</si>
  <si>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</si>
  <si>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</si>
  <si>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</si>
  <si>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</si>
  <si>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</si>
  <si>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</si>
  <si>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</si>
  <si>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</si>
  <si>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</si>
  <si>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</si>
  <si>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</si>
  <si>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</si>
  <si>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</si>
  <si>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</si>
  <si>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</si>
  <si>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</si>
  <si>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</si>
  <si>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</si>
  <si>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</si>
  <si>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</si>
  <si>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</si>
  <si>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</si>
  <si>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</si>
  <si>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</si>
  <si>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</si>
  <si>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</si>
  <si>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</si>
  <si>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</si>
  <si>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</si>
  <si>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</si>
  <si>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</si>
  <si>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</si>
  <si>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</si>
  <si>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</si>
  <si>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</si>
  <si>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</si>
  <si>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</si>
  <si>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</si>
  <si>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</si>
  <si>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</si>
  <si>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</si>
  <si>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</si>
  <si>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</si>
  <si>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</si>
  <si>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</si>
  <si>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</si>
  <si>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</si>
  <si>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</si>
  <si>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(Indicar otros impuestos)</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</si>
  <si>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</si>
  <si>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</si>
  <si>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</si>
  <si>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</si>
  <si>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</si>
  <si>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</si>
  <si>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</si>
  <si>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</si>
  <si>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</si>
  <si>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</si>
  <si>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</si>
  <si>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</si>
  <si>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</si>
  <si>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</si>
  <si>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</si>
  <si>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</si>
  <si>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</si>
  <si>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</si>
  <si>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</si>
  <si>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</si>
  <si>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</si>
  <si>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</si>
  <si>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</si>
  <si>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</si>
  <si>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</si>
  <si>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</si>
  <si>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</si>
  <si>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</si>
  <si>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</si>
  <si>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El costo de las mejoras que extienden la vida útil de los bienes o aumentan su capacidad productiva es imputado a las cuentas respectivas del activo. Los gastos de mantenimiento son cargados a resultados.</t>
  </si>
  <si>
    <t>Los intangibles se exponen a su costo incurrido menos las correspondientes amortizaciones acumuladas al cierre del año.</t>
  </si>
  <si>
    <t>Este rubro incluye costos incurridos por la sociedad relacionados con ingresos futuros.</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</si>
  <si>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</si>
  <si>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</si>
  <si>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</si>
  <si>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</si>
  <si>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Seguidos en general para cuantificar, valuar y exponer los hechos y bienes económicos en los estados financieros y que fueran relevantes para el lector de los mismos.</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</si>
  <si>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</si>
  <si>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</si>
  <si>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</si>
  <si>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</si>
  <si>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</si>
  <si>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</si>
  <si>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</si>
  <si>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</si>
  <si>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</si>
  <si>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</si>
  <si>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</si>
  <si>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</si>
  <si>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</si>
  <si>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</si>
  <si>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</si>
  <si>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</si>
  <si>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</si>
  <si>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</si>
  <si>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</si>
  <si>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</si>
  <si>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</si>
  <si>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</si>
  <si>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</si>
  <si>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</si>
  <si>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</si>
  <si>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</si>
  <si>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</si>
  <si>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</si>
  <si>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</si>
  <si>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</si>
  <si>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</si>
  <si>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</si>
  <si>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</si>
  <si>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</si>
  <si>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</si>
  <si>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</si>
  <si>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</si>
  <si>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</si>
  <si>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</si>
  <si>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</si>
  <si>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</si>
  <si>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</si>
  <si>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</si>
  <si>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</si>
  <si>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</si>
  <si>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</si>
  <si>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</si>
  <si>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</si>
  <si>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</si>
  <si>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</si>
  <si>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</si>
  <si>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</si>
  <si>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</si>
  <si>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</si>
  <si>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</si>
  <si>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</si>
  <si>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</si>
  <si>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</si>
  <si>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</si>
  <si>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</si>
  <si>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</si>
  <si>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</si>
  <si>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</si>
  <si>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</si>
  <si>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</si>
  <si>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</si>
  <si>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</si>
  <si>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</si>
  <si>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</si>
  <si>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</si>
  <si>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</si>
  <si>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</si>
  <si>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</si>
  <si>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</si>
  <si>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</si>
  <si>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</si>
  <si>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</si>
  <si>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</si>
  <si>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</si>
  <si>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</si>
  <si>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</si>
  <si>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</si>
  <si>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</si>
  <si>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</si>
  <si>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</si>
  <si>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</si>
  <si>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</si>
  <si>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</si>
  <si>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</si>
  <si>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</si>
  <si>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</si>
  <si>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</si>
  <si>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</si>
  <si>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</si>
  <si>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</si>
  <si>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</si>
  <si>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</si>
  <si>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</si>
  <si>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</si>
  <si>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</si>
  <si>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</si>
  <si>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</si>
  <si>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</si>
  <si>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</si>
  <si>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</si>
  <si>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</si>
  <si>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</si>
  <si>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 xml:space="preserve">Las inversiones temporales se valúan de acuerdo a los siguientes criterios de valuación:
 Valores mobiliarios: a su valor de cotización al cierre del año/período menos los gastos estimados de venta. Ver Nota ....
 Colocaciones financieras en moneda local: a su valor nominal más los intereses devengados al cierre del año/período. Ver Nota ....
 Colocaciones financieras en moneda extranjera: a su valor de cotización al cierre del año/período más intereses devengados a ese momento. Ver Nota ....
 Las inversiones no corrientes en sociedades donde no se ejerce el control, se valúan a su valor patrimonial proporcional. Ver Nota ....
</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</si>
  <si>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mensualmente de acuerdo con el siguiente esquema de cálculo: (Indicar política de constitución de previsiones)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</si>
  <si>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</si>
  <si>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</si>
  <si>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</si>
  <si>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</si>
  <si>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</si>
  <si>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</si>
  <si>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</si>
  <si>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</si>
  <si>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</si>
  <si>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</si>
  <si>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</si>
  <si>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</si>
  <si>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</si>
  <si>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</si>
  <si>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</si>
  <si>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</si>
  <si>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</si>
  <si>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</si>
  <si>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</si>
  <si>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</si>
  <si>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</si>
  <si>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</si>
  <si>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</si>
  <si>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</si>
  <si>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</si>
  <si>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</si>
  <si>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</si>
  <si>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</si>
  <si>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</si>
  <si>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</si>
  <si>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</si>
  <si>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</si>
  <si>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</si>
  <si>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</si>
  <si>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</si>
  <si>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</si>
  <si>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</si>
  <si>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</si>
  <si>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</si>
  <si>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</si>
  <si>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</si>
  <si>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</si>
  <si>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</si>
  <si>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</si>
  <si>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</si>
  <si>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</si>
  <si>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</si>
  <si>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</si>
  <si>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</si>
  <si>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</si>
  <si>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</si>
  <si>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</si>
  <si>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</si>
  <si>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</si>
  <si>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</si>
  <si>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</si>
  <si>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</si>
  <si>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</si>
  <si>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</si>
  <si>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</si>
  <si>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</si>
  <si>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</si>
  <si>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</si>
  <si>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</si>
  <si>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</si>
  <si>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</si>
  <si>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</si>
  <si>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</si>
  <si>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</si>
  <si>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</si>
  <si>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</si>
  <si>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</si>
  <si>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</si>
  <si>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</si>
  <si>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</si>
  <si>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</si>
  <si>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</si>
  <si>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</si>
  <si>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</si>
  <si>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</si>
  <si>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</si>
  <si>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</si>
  <si>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</si>
  <si>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</si>
  <si>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</si>
  <si>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</si>
  <si>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</si>
  <si>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</si>
  <si>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</si>
  <si>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</si>
  <si>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</si>
  <si>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 la fecha de emisión de estos estados financieros, el tipo de cambio de la moneda extranjera………………………..(mencionar la moneda) no/si varió sustancialmente (varió en un 0,00%) con respecto al vigente al …..de…………….20X1</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</si>
  <si>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</si>
  <si>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</si>
  <si>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</si>
  <si>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</si>
  <si>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</si>
  <si>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</si>
  <si>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</si>
  <si>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</si>
  <si>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</si>
  <si>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</si>
  <si>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</si>
  <si>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</si>
  <si>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</si>
  <si>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</si>
  <si>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</si>
  <si>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</si>
  <si>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</si>
  <si>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</si>
  <si>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</si>
  <si>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</si>
  <si>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</si>
  <si>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</si>
  <si>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</si>
  <si>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</si>
  <si>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</si>
  <si>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</si>
  <si>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</si>
  <si>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</si>
  <si>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</si>
  <si>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</si>
  <si>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</si>
  <si>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</si>
  <si>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</si>
  <si>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</si>
  <si>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</si>
  <si>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</si>
  <si>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</si>
  <si>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</si>
  <si>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</si>
  <si>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</si>
  <si>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</si>
  <si>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</si>
  <si>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</si>
  <si>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</si>
  <si>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</si>
  <si>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</si>
  <si>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</si>
  <si>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</si>
  <si>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</si>
  <si>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</si>
  <si>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</si>
  <si>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</si>
  <si>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</si>
  <si>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</si>
  <si>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</si>
  <si>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</si>
  <si>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</si>
  <si>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</si>
  <si>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</si>
  <si>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</si>
  <si>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</si>
  <si>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</si>
  <si>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</si>
  <si>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</si>
  <si>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</si>
  <si>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</si>
  <si>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</si>
  <si>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</si>
  <si>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</si>
  <si>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</si>
  <si>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</si>
  <si>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</si>
  <si>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</si>
  <si>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</si>
  <si>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</si>
  <si>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</si>
  <si>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</si>
  <si>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</si>
  <si>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</si>
  <si>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</si>
  <si>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</si>
  <si>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</si>
  <si>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</si>
  <si>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</si>
  <si>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</si>
  <si>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</si>
  <si>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</si>
  <si>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</si>
  <si>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</si>
  <si>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</si>
  <si>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</si>
  <si>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</si>
  <si>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</si>
  <si>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</si>
  <si>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</si>
  <si>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</si>
  <si>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</si>
  <si>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</si>
  <si>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</si>
  <si>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</si>
  <si>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</si>
  <si>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</si>
  <si>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</si>
  <si>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</si>
  <si>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</si>
  <si>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</si>
  <si>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</si>
  <si>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</si>
  <si>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</si>
  <si>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</si>
  <si>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</si>
  <si>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</si>
  <si>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</si>
  <si>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</si>
  <si>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</si>
  <si>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</si>
  <si>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</si>
  <si>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</si>
  <si>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</si>
  <si>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</si>
  <si>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</si>
  <si>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</si>
  <si>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</si>
  <si>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</si>
  <si>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</si>
  <si>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</si>
  <si>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</si>
  <si>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</si>
  <si>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</si>
  <si>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</si>
  <si>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</si>
  <si>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</si>
  <si>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</si>
  <si>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</si>
  <si>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</si>
  <si>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</si>
  <si>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</si>
  <si>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</si>
  <si>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</si>
  <si>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</si>
  <si>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</si>
  <si>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</si>
  <si>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</si>
  <si>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</si>
  <si>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</si>
  <si>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</si>
  <si>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</si>
  <si>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</si>
  <si>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</si>
  <si>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</si>
  <si>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</si>
  <si>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</si>
  <si>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</si>
  <si>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</si>
  <si>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</si>
  <si>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</si>
  <si>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</si>
  <si>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</si>
  <si>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</si>
  <si>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</si>
  <si>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</si>
  <si>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</si>
  <si>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</si>
  <si>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</si>
  <si>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</si>
  <si>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</si>
  <si>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</si>
  <si>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</si>
  <si>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</si>
  <si>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</si>
  <si>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</si>
  <si>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</si>
  <si>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</si>
  <si>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</si>
  <si>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</si>
  <si>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</si>
  <si>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</si>
  <si>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</si>
  <si>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</si>
  <si>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</si>
  <si>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</si>
  <si>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</si>
  <si>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</si>
  <si>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</si>
  <si>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</si>
  <si>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</si>
  <si>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</si>
  <si>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</si>
  <si>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</si>
  <si>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</si>
  <si>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</si>
  <si>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</si>
  <si>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</si>
  <si>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</si>
  <si>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</si>
  <si>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</si>
  <si>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</si>
  <si>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</si>
  <si>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</si>
  <si>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</si>
  <si>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</si>
  <si>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</si>
  <si>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</si>
  <si>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</si>
  <si>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</si>
  <si>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</si>
  <si>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</si>
  <si>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</si>
  <si>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</si>
  <si>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</si>
  <si>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</si>
  <si>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</si>
  <si>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</si>
  <si>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</si>
  <si>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</si>
  <si>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</si>
  <si>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</si>
  <si>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</si>
  <si>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</si>
  <si>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</si>
  <si>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</si>
  <si>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</si>
  <si>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</si>
  <si>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</si>
  <si>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</si>
  <si>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</si>
  <si>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</si>
  <si>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</si>
  <si>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</si>
  <si>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</si>
  <si>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</si>
  <si>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</si>
  <si>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</si>
  <si>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</si>
  <si>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</si>
  <si>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</si>
  <si>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</si>
  <si>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</si>
  <si>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</si>
  <si>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</si>
  <si>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</si>
  <si>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</si>
  <si>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</si>
  <si>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</si>
  <si>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</si>
  <si>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</si>
  <si>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</si>
  <si>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</si>
  <si>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</si>
  <si>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</si>
  <si>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</si>
  <si>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</si>
  <si>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</si>
  <si>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</si>
  <si>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</si>
  <si>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</si>
  <si>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</si>
  <si>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</si>
  <si>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</si>
  <si>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</si>
  <si>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</si>
  <si>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</si>
  <si>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</si>
  <si>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</si>
  <si>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</si>
  <si>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</si>
  <si>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</si>
  <si>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</si>
  <si>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</si>
  <si>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</si>
  <si>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</si>
  <si>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</si>
  <si>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</si>
  <si>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</si>
  <si>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</si>
  <si>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</si>
  <si>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</si>
  <si>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</si>
  <si>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</si>
  <si>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</si>
  <si>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</si>
  <si>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</si>
  <si>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</si>
  <si>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</si>
  <si>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</si>
  <si>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</si>
  <si>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</si>
  <si>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</si>
  <si>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</si>
  <si>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</si>
  <si>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</si>
  <si>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</si>
  <si>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</si>
  <si>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</si>
  <si>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</si>
  <si>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</si>
  <si>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</si>
  <si>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</si>
  <si>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</si>
  <si>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</si>
  <si>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</si>
  <si>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</si>
  <si>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</si>
  <si>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</si>
  <si>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</si>
  <si>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</si>
  <si>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</si>
  <si>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</si>
  <si>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</si>
  <si>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</si>
  <si>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</si>
  <si>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</si>
  <si>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</si>
  <si>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</si>
  <si>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</si>
  <si>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</si>
  <si>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</si>
  <si>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</si>
  <si>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</si>
  <si>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</si>
  <si>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</si>
  <si>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</si>
  <si>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</si>
  <si>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</si>
  <si>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</si>
  <si>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</si>
  <si>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</si>
  <si>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</si>
  <si>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</si>
  <si>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</si>
  <si>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</si>
  <si>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</si>
  <si>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</si>
  <si>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</si>
  <si>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</si>
  <si>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</si>
  <si>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</si>
  <si>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</si>
  <si>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</si>
  <si>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</si>
  <si>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</si>
  <si>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</si>
  <si>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</si>
  <si>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</si>
  <si>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</si>
  <si>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</si>
  <si>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</si>
  <si>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</si>
  <si>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</si>
  <si>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</si>
  <si>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</si>
  <si>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</si>
  <si>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</si>
  <si>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</si>
  <si>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</si>
  <si>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</si>
  <si>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</si>
  <si>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</si>
  <si>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</si>
  <si>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</si>
  <si>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</si>
  <si>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</si>
  <si>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</si>
  <si>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</si>
  <si>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</si>
  <si>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</si>
  <si>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</si>
  <si>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</si>
  <si>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</si>
  <si>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</si>
  <si>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</si>
  <si>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</si>
  <si>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</si>
  <si>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</si>
  <si>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</si>
  <si>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</si>
  <si>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</si>
  <si>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</si>
  <si>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</si>
  <si>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</si>
  <si>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</si>
  <si>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</si>
  <si>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</si>
  <si>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</si>
  <si>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</si>
  <si>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</si>
  <si>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</si>
  <si>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</si>
  <si>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</si>
  <si>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</si>
  <si>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</si>
  <si>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</si>
  <si>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</si>
  <si>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</si>
  <si>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</si>
  <si>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</si>
  <si>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</si>
  <si>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</si>
  <si>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</si>
  <si>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</si>
  <si>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</si>
  <si>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</si>
  <si>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</si>
  <si>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</si>
  <si>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</si>
  <si>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</si>
  <si>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</si>
  <si>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</si>
  <si>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</si>
  <si>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</si>
  <si>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</si>
  <si>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</si>
  <si>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</si>
  <si>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</si>
  <si>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</si>
  <si>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</si>
  <si>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</si>
  <si>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</si>
  <si>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</si>
  <si>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</si>
  <si>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</si>
  <si>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</si>
  <si>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</si>
  <si>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</si>
  <si>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</si>
  <si>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</si>
  <si>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</si>
  <si>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</si>
  <si>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</si>
  <si>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</si>
  <si>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</si>
  <si>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</si>
  <si>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</si>
  <si>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</si>
  <si>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</si>
  <si>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</si>
  <si>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</si>
  <si>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</si>
  <si>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</si>
  <si>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</si>
  <si>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</si>
  <si>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</si>
  <si>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</si>
  <si>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</si>
  <si>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</si>
  <si>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</si>
  <si>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</si>
  <si>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</si>
  <si>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</si>
  <si>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</si>
  <si>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</si>
  <si>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</si>
  <si>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</si>
  <si>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</si>
  <si>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</si>
  <si>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</si>
  <si>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</si>
  <si>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</si>
  <si>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</si>
  <si>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</si>
  <si>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</si>
  <si>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</si>
  <si>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</si>
  <si>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</si>
  <si>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</si>
  <si>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</si>
  <si>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</si>
  <si>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</si>
  <si>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</si>
  <si>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</si>
  <si>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</si>
  <si>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</si>
  <si>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</si>
  <si>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</si>
  <si>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</si>
  <si>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</si>
  <si>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</si>
  <si>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</si>
  <si>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</si>
  <si>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</si>
  <si>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</si>
  <si>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</si>
  <si>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</si>
  <si>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(Detallar cuentas)</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</si>
  <si>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</si>
  <si>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</si>
  <si>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</si>
  <si>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</si>
  <si>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</si>
  <si>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</si>
  <si>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</si>
  <si>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</si>
  <si>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</si>
  <si>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</si>
  <si>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</si>
  <si>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</si>
  <si>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</si>
  <si>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</si>
  <si>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</si>
  <si>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</si>
  <si>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</si>
  <si>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</si>
  <si>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</si>
  <si>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</si>
  <si>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</si>
  <si>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</si>
  <si>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</si>
  <si>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</si>
  <si>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</si>
  <si>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</si>
  <si>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</si>
  <si>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</si>
  <si>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</si>
  <si>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</si>
  <si>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</si>
  <si>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</si>
  <si>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</si>
  <si>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</si>
  <si>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</si>
  <si>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</si>
  <si>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</si>
  <si>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</si>
  <si>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</si>
  <si>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</si>
  <si>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</si>
  <si>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</si>
  <si>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l. Goodwill</t>
  </si>
  <si>
    <t>m. Reconocimiento de ingresos y egresos</t>
  </si>
  <si>
    <t>n. Impuesto a la renta</t>
  </si>
  <si>
    <t>o. Restricciones a la distribución de utilidades</t>
  </si>
  <si>
    <t>p. Derechos en Fideicomiso</t>
  </si>
  <si>
    <t>q. Otros principios, prácticas y métodos</t>
  </si>
  <si>
    <t>NEGOFIN S.A.E.C.A.</t>
  </si>
  <si>
    <t>Bosamaz a cobrar por Servicios Varios</t>
  </si>
  <si>
    <t>Parametro Regularizadora</t>
  </si>
  <si>
    <t>Aupar Regularizadora</t>
  </si>
  <si>
    <t>Cuentas a Cobrar NEXO SAECA</t>
  </si>
  <si>
    <t>DHA Regularizadora</t>
  </si>
  <si>
    <t>Covica Regularizadora</t>
  </si>
  <si>
    <t>Avanti Group Regularizadora</t>
  </si>
  <si>
    <t>Cuentas a Cobrar ZAE II</t>
  </si>
  <si>
    <t>Cuentas a Cobrar Avanti-Varios</t>
  </si>
  <si>
    <t>Cuentas a Cobrar Covica</t>
  </si>
  <si>
    <t>Cuentas a Cobrar Parametro - Varios</t>
  </si>
  <si>
    <t>Cuentas a Cobrar Aupar S.A</t>
  </si>
  <si>
    <t>Cuentas a Cobrar Luar SA</t>
  </si>
  <si>
    <t>Cuentas a Cobrar Credimarket</t>
  </si>
  <si>
    <t>Cuentas a Cobrar Crediflash</t>
  </si>
  <si>
    <t>Cuentas a Cobrar ZAE III</t>
  </si>
  <si>
    <t>Cuentas a Cobrar Pronet</t>
  </si>
  <si>
    <t>Luar Regularizadora</t>
  </si>
  <si>
    <t>ZAE 3 Regularizadora</t>
  </si>
  <si>
    <t>Cuentas a Cobrar - Netel</t>
  </si>
  <si>
    <t>Cuentas a Cobrar - Infonet Cobranzas</t>
  </si>
  <si>
    <t>Cuentas a Cobrar WALTON</t>
  </si>
  <si>
    <t>Cuentas a Cobrar-Documenta</t>
  </si>
  <si>
    <t>Comisiones a Cobrar-Documenta</t>
  </si>
  <si>
    <t>Descuentos a aplicar a empleados</t>
  </si>
  <si>
    <t>Adelanto a Directores</t>
  </si>
  <si>
    <t>Adelanto de Vacaciones</t>
  </si>
  <si>
    <t>Uniformes a Descontar empleados</t>
  </si>
  <si>
    <t>Anticipo a Funcionarios para compras</t>
  </si>
  <si>
    <t>Adelanto a Rendir Funcionarios</t>
  </si>
  <si>
    <t>Anticipo de Comisiones Walton Capital SA</t>
  </si>
  <si>
    <t>Reposo IPS a Recuperar</t>
  </si>
  <si>
    <t>Adelanto a N. Cobranzas</t>
  </si>
  <si>
    <t>Seguros a Devengar</t>
  </si>
  <si>
    <t>Garantia ANDE</t>
  </si>
  <si>
    <t>Garantia Tigo</t>
  </si>
  <si>
    <t>Cuentas a Cobrar NFD</t>
  </si>
  <si>
    <t>VCD Cuentas Varias a Cobrar</t>
  </si>
  <si>
    <t>VCD Uniformes</t>
  </si>
  <si>
    <t>Procesadora  de  Cuentas  Electronicas S.A.</t>
  </si>
  <si>
    <t>Licencias de Sistemas</t>
  </si>
  <si>
    <t>Gastos de Desarrollo</t>
  </si>
  <si>
    <t>Marcas</t>
  </si>
  <si>
    <t>Provision para Pagos Adicionales</t>
  </si>
  <si>
    <t>Retenciones Judiciales a Pagar</t>
  </si>
  <si>
    <t xml:space="preserve">BANCO SUDAMERIS                                             </t>
  </si>
  <si>
    <t xml:space="preserve">BANCO ITAÚ                                                  </t>
  </si>
  <si>
    <t xml:space="preserve">BANCO REGIONAL S.A.E.C.A.                                   </t>
  </si>
  <si>
    <t>N/A</t>
  </si>
  <si>
    <t xml:space="preserve">BANCO CONTINENTAL SA EMISORA DE CAPITAL ABIERTO             </t>
  </si>
  <si>
    <t xml:space="preserve">BANCO FAMILIAR                                              </t>
  </si>
  <si>
    <t xml:space="preserve">BANCO GNB PARAGUAY S.A.                                     </t>
  </si>
  <si>
    <t xml:space="preserve">FINANCIERA PARAGUAYO-JAPONESA                               </t>
  </si>
  <si>
    <t xml:space="preserve">BANCO ATLAS                                                 </t>
  </si>
  <si>
    <t>QUIROGRAFARIA</t>
  </si>
  <si>
    <t>-</t>
  </si>
  <si>
    <t xml:space="preserve">BANCOP                                                      </t>
  </si>
  <si>
    <t xml:space="preserve">CAJA MUTUAL DE COOPERATIVISTAS                              </t>
  </si>
  <si>
    <t xml:space="preserve">FINANCIERA EL COMERCIO                                      </t>
  </si>
  <si>
    <t>BANCO BASA</t>
  </si>
  <si>
    <t xml:space="preserve">BANCO INTERFISA                                          </t>
  </si>
  <si>
    <t>Retenciones Bosamaz</t>
  </si>
  <si>
    <t>Retenciones Parametro</t>
  </si>
  <si>
    <t>Retenciones Parametro Interior</t>
  </si>
  <si>
    <t>VCA Cuentas Varias a Pagar</t>
  </si>
  <si>
    <t>VCA Depositos No Confirmados</t>
  </si>
  <si>
    <t>VCA Cuotas a Devolver Walton</t>
  </si>
  <si>
    <t>VCA Descuentos RRHH</t>
  </si>
  <si>
    <t>VCA Cipra</t>
  </si>
  <si>
    <t>Mejoras en Propiedad de Terceros</t>
  </si>
  <si>
    <t>Maquinas y Equipos</t>
  </si>
  <si>
    <t>Prestamos de Terceros</t>
  </si>
  <si>
    <t>SOLIDARIA</t>
  </si>
  <si>
    <t>Cobro de Servicios Documenta</t>
  </si>
  <si>
    <t>Cuentas a Pagar NC</t>
  </si>
  <si>
    <t>Comisiones a Pagar Netel</t>
  </si>
  <si>
    <t>Aportes para Futuras Integraciones</t>
  </si>
  <si>
    <t>Documentos a Pagar s/Ptmos Accionistas</t>
  </si>
  <si>
    <t>Intereses a Pagar s/Ptmos Accionistas</t>
  </si>
  <si>
    <t>Renta de Valores de Renta Fija</t>
  </si>
  <si>
    <t>Intereses en Caja de Ahorro</t>
  </si>
  <si>
    <t>Intereses Depositos Overnight</t>
  </si>
  <si>
    <t>Rend.Dev.s/prestamos bancarios</t>
  </si>
  <si>
    <t>Intereses Dev,s/Ptmos.Terceros</t>
  </si>
  <si>
    <t>Intereses y Comisiones Bancarias</t>
  </si>
  <si>
    <t>Intereses Cobrados</t>
  </si>
  <si>
    <t>Ingresos Varios</t>
  </si>
  <si>
    <t>Creditos Varios Cobranzas</t>
  </si>
  <si>
    <t>Recuperos</t>
  </si>
  <si>
    <t>Diferencia de Cambio Utilidad</t>
  </si>
  <si>
    <t>Comisiones Cobradas Documenta</t>
  </si>
  <si>
    <t>Recupero Costo Bocas de Cobranza</t>
  </si>
  <si>
    <t>Ingresos por Servicios de Cobranzas</t>
  </si>
  <si>
    <t>Utilidad por Venta de Cartera</t>
  </si>
  <si>
    <t xml:space="preserve">Aportes No </t>
  </si>
  <si>
    <t>Capitalizados</t>
  </si>
  <si>
    <t>Resultado del ejercicio</t>
  </si>
  <si>
    <t>Reserva Legal</t>
  </si>
  <si>
    <t>Criterio utilizado por la empresa</t>
  </si>
  <si>
    <t xml:space="preserve">La Empresa constituye previsiones para deudores de dudoso cobro conforme a los siguientes </t>
  </si>
  <si>
    <t>criterios:</t>
  </si>
  <si>
    <t xml:space="preserve">Así mismo se constituyen previsiones Genericas por el importe correspondientes a los </t>
  </si>
  <si>
    <t>ANEXO C</t>
  </si>
  <si>
    <t>1-IDENTIFICACION</t>
  </si>
  <si>
    <t>1.1-RAZON SOCIAL: NEGOFIN S.A.E.C.A</t>
  </si>
  <si>
    <t>1.2-ANTECEDENTES DE CONSTITUCION SOCIAL Y REFORMAS ESTATUTARIAS</t>
  </si>
  <si>
    <t>1.3-RUC: 80030805-0</t>
  </si>
  <si>
    <t>1.4-ACTIVIDAD PRINCIPAL SEGÚN INCRIPCION EN EL RUC: Otras actividades de servicios de apoyo a empresas n.c.p.</t>
  </si>
  <si>
    <t>1.5-ACTIVIDAD SECUNDARIA SEUN INCRIPCION EN EL RUC: N/A</t>
  </si>
  <si>
    <t>1.6-DOMICILIO LEGAL:Avenida Mcal. López e/ Waldino Lovera y José Viñuales</t>
  </si>
  <si>
    <t xml:space="preserve">1.7-TELEFONO:(595 21) 247 1000 </t>
  </si>
  <si>
    <t>2-ADMINISTRACION</t>
  </si>
  <si>
    <t>1.9-E-MAIL: impuestos@negofin.com.py</t>
  </si>
  <si>
    <t>1.10-SITIO PAGINA WEB: www.negofin.com.py</t>
  </si>
  <si>
    <t xml:space="preserve">1.8-FAX: (595 21) 247 1000 </t>
  </si>
  <si>
    <t>NEGOFIN  S.A.E.C.A.</t>
  </si>
  <si>
    <t xml:space="preserve">ANEXO D </t>
  </si>
  <si>
    <t>A) PARTES VINCULADAS O RELACIONADAS</t>
  </si>
  <si>
    <t>A.1 Según Art. 34 de la Ley de Mercado de Valores (indicar nombres de las partes)</t>
  </si>
  <si>
    <t>Inciso a) Gustavo Borgognon y Eduardo Borgognon</t>
  </si>
  <si>
    <t>Inciso b) Vector SA</t>
  </si>
  <si>
    <t>Inciso c) Eduardo Borgognon</t>
  </si>
  <si>
    <t>Omar G. Giménez Pereira,Widilfo Escobar Cikel</t>
  </si>
  <si>
    <t xml:space="preserve">Otros: Los cónyuges y parientes hasta el segundo grado de consanguinidad o afinidad de las personas referidas </t>
  </si>
  <si>
    <r>
      <t>en los incisos anteriores, siempre que tengan participación en el capital de la sociedad.</t>
    </r>
    <r>
      <rPr>
        <b/>
        <sz val="10"/>
        <rFont val="Arial"/>
        <family val="2"/>
      </rPr>
      <t xml:space="preserve"> N/A</t>
    </r>
  </si>
  <si>
    <t xml:space="preserve">A.2 INVERSIONES DE LA SOCIEDAD EN VALORES DE OTRAS EMPRESAS QUE REPRESENTEN MAS DEL 10% DEL ACTIVO DE LA SOCIEDAD </t>
  </si>
  <si>
    <t>Nombre de la Empresa</t>
  </si>
  <si>
    <t>Monto de la inversión</t>
  </si>
  <si>
    <t>Tipo de Valor</t>
  </si>
  <si>
    <t>Indicar el porcentaje de participación en el capital integrado de la sociedad emisora (solo en el caso de inversión en acciones)</t>
  </si>
  <si>
    <t>Negofin Cobranzas S.A.</t>
  </si>
  <si>
    <t>Acciones en S.A.</t>
  </si>
  <si>
    <t>Observación: En el caso de no registrar inversiones indicar en forma expresa esta situación.</t>
  </si>
  <si>
    <t>A.3 ACTIVOS DE LA SOCIEDAD COMPROMETIDOS EN MAS DEL 20% EN GARANTIA DE OBLIGACIONES DE OTRA U OTRAS EMPRESAS</t>
  </si>
  <si>
    <t>Valor de los bienes gravados</t>
  </si>
  <si>
    <t>Tipo de bien o valor</t>
  </si>
  <si>
    <t>Monto de la deuda garantizada</t>
  </si>
  <si>
    <t>No se registran activos de la Sociedad comprometidos en más del 20% en garantía de obligaciones de otra u otras empresas.</t>
  </si>
  <si>
    <t>Observación: En el caso de no registrar garantías indicar en forma expresa esta situación.</t>
  </si>
  <si>
    <t>A.4  Vinculacion por Nivel de Endeudamiento.</t>
  </si>
  <si>
    <t>NOMBRE DE LA SOCIEDAD VINCULADA</t>
  </si>
  <si>
    <t>FACTORES DE VINCULACION</t>
  </si>
  <si>
    <t>B) SALDOS CON PARTES RELACIONADAS</t>
  </si>
  <si>
    <t>En forma comparativa con el mismo período del año anterior.</t>
  </si>
  <si>
    <t>(en miles de Guaranies)</t>
  </si>
  <si>
    <t>Activo</t>
  </si>
  <si>
    <t>Cuentas por cobrar</t>
  </si>
  <si>
    <t>Obs: (distinguir nombres de partes relacionadas indicadas en A)</t>
  </si>
  <si>
    <t>NA</t>
  </si>
  <si>
    <t>Pasivo</t>
  </si>
  <si>
    <t>* Cuentas a pagar prestamos de accionistas</t>
  </si>
  <si>
    <t xml:space="preserve">    Gustavo Luis Borgognon</t>
  </si>
  <si>
    <t xml:space="preserve">    Eduardo Jose Borgognon</t>
  </si>
  <si>
    <r>
      <rPr>
        <b/>
        <sz val="10"/>
        <rFont val="Arial"/>
        <family val="2"/>
      </rPr>
      <t>Ingresos</t>
    </r>
    <r>
      <rPr>
        <sz val="10"/>
        <rFont val="Arial"/>
        <family val="2"/>
      </rPr>
      <t xml:space="preserve"> (con sus conceptos y distinguir nombre de partes relacionadas indicadas en A)</t>
    </r>
  </si>
  <si>
    <r>
      <rPr>
        <b/>
        <sz val="10"/>
        <rFont val="Arial"/>
        <family val="2"/>
      </rPr>
      <t>Egresos</t>
    </r>
    <r>
      <rPr>
        <sz val="10"/>
        <rFont val="Arial"/>
        <family val="2"/>
      </rPr>
      <t xml:space="preserve"> (con sus conceptos y distinguir nombre de partes relacionadas indicadas en A)</t>
    </r>
  </si>
  <si>
    <t>Gustavo Borgognon</t>
  </si>
  <si>
    <t>Eduardo Borgognon</t>
  </si>
  <si>
    <t>Vector SA</t>
  </si>
  <si>
    <t xml:space="preserve">Venancio Rios </t>
  </si>
  <si>
    <t>Omar Gimenez</t>
  </si>
  <si>
    <t>Widilfo Escobar</t>
  </si>
  <si>
    <t>Fernando Jose Velazquez</t>
  </si>
  <si>
    <t>Las transacciones en el período fueron las siguientes:</t>
  </si>
  <si>
    <r>
      <rPr>
        <b/>
        <sz val="10"/>
        <rFont val="Arial"/>
        <family val="2"/>
      </rPr>
      <t xml:space="preserve">Obs.: </t>
    </r>
    <r>
      <rPr>
        <sz val="10"/>
        <rFont val="Arial"/>
        <family val="2"/>
      </rPr>
      <t>(distinguir nombres de partes relacionadas indicadas en A)</t>
    </r>
  </si>
  <si>
    <t>N/A = no aplicable</t>
  </si>
  <si>
    <t>Firma del representante legal de la entidad fiscalizada y aclaración:</t>
  </si>
  <si>
    <t>CARGO</t>
  </si>
  <si>
    <t xml:space="preserve">NOMBRE Y APELLIDO </t>
  </si>
  <si>
    <t>Representante Legal</t>
  </si>
  <si>
    <t>Gustavo Luis Borgognon Montero</t>
  </si>
  <si>
    <t>Presidente</t>
  </si>
  <si>
    <t>Director</t>
  </si>
  <si>
    <t>Eduardo José Borgonon Montero</t>
  </si>
  <si>
    <t>Plana Ejecutiva</t>
  </si>
  <si>
    <t>Gerente General</t>
  </si>
  <si>
    <t>Venancio Rios Portillo</t>
  </si>
  <si>
    <t>Omar Gustavo Giménez Pereira</t>
  </si>
  <si>
    <t>Gerente Administrativo</t>
  </si>
  <si>
    <t>Graciela Mabel Nuñez Lopez</t>
  </si>
  <si>
    <t xml:space="preserve">María Lorena Ojeda Núñez </t>
  </si>
  <si>
    <t>Gerente de Desarrollo</t>
  </si>
  <si>
    <t>Diego Armando Marecos Sanabria</t>
  </si>
  <si>
    <t>Gerente de Cobranzas</t>
  </si>
  <si>
    <t>Luis Emigdio Ruiz Coronel</t>
  </si>
  <si>
    <t>Gerente de Riesgos</t>
  </si>
  <si>
    <t>Cever Socrates Peralta Espinola</t>
  </si>
  <si>
    <t>Gladys Fiorella Vergara Pacheco</t>
  </si>
  <si>
    <t>Gerente de Calidad y Procesos</t>
  </si>
  <si>
    <t>Milagritos Yopla Carbajal</t>
  </si>
  <si>
    <t>Gerente de Produccion Informatica</t>
  </si>
  <si>
    <t>Estela Bruening</t>
  </si>
  <si>
    <t>Sub Gerente de Cobranzas</t>
  </si>
  <si>
    <t>Marcelo David Aguilera Perez</t>
  </si>
  <si>
    <t>Oficial de Cumplimiento</t>
  </si>
  <si>
    <t>Clara Ovelar Gimenez</t>
  </si>
  <si>
    <t>3-CAPITAL Y PROPIEDAD:</t>
  </si>
  <si>
    <t>En Guaranies</t>
  </si>
  <si>
    <t>Capital Social</t>
  </si>
  <si>
    <t>Capital Emitido</t>
  </si>
  <si>
    <t>Capital Suscripto</t>
  </si>
  <si>
    <t>Capital Integrado</t>
  </si>
  <si>
    <t>Valor nominal de las acciones</t>
  </si>
  <si>
    <t>COMPOSICION ACCIONARIA: Accionistas que detentan el diez(10) porciento o más de participacion en el capital</t>
  </si>
  <si>
    <t>No se registra</t>
  </si>
  <si>
    <t>No se registran</t>
  </si>
  <si>
    <t xml:space="preserve">CUADRO DEL CAPITAL INTEGRADO </t>
  </si>
  <si>
    <t xml:space="preserve"> La Empresa constituye  previsiones  para  deudores de  dudoso cobro  conforme a los siguientes criterios:</t>
  </si>
  <si>
    <t>La depreciación es calculada por el método de línea recta, saldo decreciente o suma de unidades (la emisora elige uno de los tres métodos con base en el patrón esperado de beneficios económicos y lo aplica consistentemente de ejercicio a ejercicio a menos que haya cambios significativos en dicho patrón considerado -NIF 11 párrafo 43 y 48). Ver Nota 9</t>
  </si>
  <si>
    <t>Los efectos de los ajustes sobre Propiedades, Planta y Equipo de operaciones discontinuadas se exponen formando parte de la línea “Resultados sobre actividades discontinuadas neto de impuesto a la renta” en el Estado de Resultados N/A</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</si>
  <si>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11</t>
  </si>
  <si>
    <t>Negofin Cobranzas SA</t>
  </si>
  <si>
    <t>80068824-4</t>
  </si>
  <si>
    <t>Breau de Informaciones Comerciales S.A.</t>
  </si>
  <si>
    <t>80084733-4</t>
  </si>
  <si>
    <t>Procesadora de Cuentas Electronicas S.A.</t>
  </si>
  <si>
    <t>Adelanto de Dividendos</t>
  </si>
  <si>
    <t>Provision Actividades RRHH</t>
  </si>
  <si>
    <t>Otros Acreedores</t>
  </si>
  <si>
    <t>Retencion Impuesto IDU</t>
  </si>
  <si>
    <t>Participación sobre el Capital Integrado (%)</t>
  </si>
  <si>
    <t>Alquileres Cobrados</t>
  </si>
  <si>
    <t>Desafectacion Previsiones</t>
  </si>
  <si>
    <t>Intereses s/Prestamos Accionistas</t>
  </si>
  <si>
    <t>mes</t>
  </si>
  <si>
    <t>Etiquetas de fila</t>
  </si>
  <si>
    <t>CONTABLE</t>
  </si>
  <si>
    <t>RIESGO</t>
  </si>
  <si>
    <t>OPERATIVO</t>
  </si>
  <si>
    <t>MORA</t>
  </si>
  <si>
    <t>TOTAL DE PREV</t>
  </si>
  <si>
    <t>CARTERA TOTAL</t>
  </si>
  <si>
    <t xml:space="preserve">                  </t>
  </si>
  <si>
    <t>MORA MAYOR A 60</t>
  </si>
  <si>
    <t>%</t>
  </si>
  <si>
    <t xml:space="preserve">prev por mora </t>
  </si>
  <si>
    <t>Prev Generica</t>
  </si>
  <si>
    <t>Total de generica</t>
  </si>
  <si>
    <t>= o &gt; 60 días</t>
  </si>
  <si>
    <t>0%</t>
  </si>
  <si>
    <t>&gt;60 hasta 90 días</t>
  </si>
  <si>
    <t>&gt;90 hasta 150 días</t>
  </si>
  <si>
    <t>&gt;90 hasta 120 días</t>
  </si>
  <si>
    <t>&gt;150 hasta 180 días</t>
  </si>
  <si>
    <t>&gt;120 hasta 150 días</t>
  </si>
  <si>
    <t>&gt;180 hasta 270 días</t>
  </si>
  <si>
    <t>&gt; 270 días</t>
  </si>
  <si>
    <t>&gt; 180 días</t>
  </si>
  <si>
    <t>Las propiedades, planta y equipo se exponen a su costo histórico ajustado por el coeficiente de revalúo emitido por la Autoridad Tributaria, meno/ la correspondiente depreciación acumulada y el valor residual establecido por la reforma tributaria en cuanto al calculo de la depreciacion de los Bienes de Uso segun la Ley 6380/19 y la RG,3181/19 de la Sub Secretaria de Estado de Tributacion. El incremento neto por la re-expresión se acredita a la respectiva reserva patrimonial, cuyo saldo puede ser utilizado únicamente para  aumentar el capital.</t>
  </si>
  <si>
    <t>Utilidad accion Preferida</t>
  </si>
  <si>
    <t>Modificación de Estatutos Sociales</t>
  </si>
  <si>
    <t>Por Esc.Pub. N°13 del 24/06/2020 pasada ante la Escrib. Pub. Lilia Ballasch Guerra, se realizó la modificació de los estatutos sociales de la firma NEGOFIN SOCIEDAD ANONIMA DE CAPITAL ABIERTO (NEGOFIN S.A.E.C.A.), por aumento de capital, cambio de acciones y emisión de acciones, según Dictamen N° 71744 del 15/03/2021 de la DRFS, e inscripta en la Dir. Gral. de los Registros Publicos, Sección Pers. Jurídica y Asoc. Con Matricula Jurídica N° 33.856, Serie Comercial, bajo el Nº 1, folio 1-26, EL 16/03/2021 y en la Sección Reg. Publico de Comercio, Matrícula Comercial Nº 19.122, Serie Comercial, bajo el Nº 2, folio 12, el 16-03-2021</t>
  </si>
  <si>
    <t>Bosamaz Regularizadora p/ Varios</t>
  </si>
  <si>
    <t>AAN Regularizadora</t>
  </si>
  <si>
    <t>Cuentas a Pagar Electroban</t>
  </si>
  <si>
    <t>Primas de Emision</t>
  </si>
  <si>
    <t>Venta Activo Fijo</t>
  </si>
  <si>
    <t>Intangibles</t>
  </si>
  <si>
    <t>Reserva Facultativa</t>
  </si>
  <si>
    <t>PYNEGP0V1862</t>
  </si>
  <si>
    <t>PYNEGP0V1847</t>
  </si>
  <si>
    <t>PYNEGP0V1854</t>
  </si>
  <si>
    <t>PYNEGP0V1870</t>
  </si>
  <si>
    <t>PYNEGP0V1888</t>
  </si>
  <si>
    <t xml:space="preserve">descuentos obtenidos en la compra de Créditos vía cesión de créditos, como el 100% del </t>
  </si>
  <si>
    <t>Fernando José Velázquez Abente</t>
  </si>
  <si>
    <t>Cuentas a Cobrar Negofin Cobranzas Cartera</t>
  </si>
  <si>
    <t>Giros Internos</t>
  </si>
  <si>
    <t xml:space="preserve">BANCO RIO                                       </t>
  </si>
  <si>
    <t>Politica</t>
  </si>
  <si>
    <t>CONSUMO</t>
  </si>
  <si>
    <t>MICRO</t>
  </si>
  <si>
    <t>% DE PPREV</t>
  </si>
  <si>
    <t>Serie</t>
  </si>
  <si>
    <t>PYNEGO5V2090</t>
  </si>
  <si>
    <t xml:space="preserve">VECTOR SA                                                                                                                                                                                               </t>
  </si>
  <si>
    <t>PYNEGP0V2132</t>
  </si>
  <si>
    <t>D</t>
  </si>
  <si>
    <t>M</t>
  </si>
  <si>
    <t>PYNEGP0V2199</t>
  </si>
  <si>
    <t>J</t>
  </si>
  <si>
    <t>K</t>
  </si>
  <si>
    <t>PYNEGP0V2108</t>
  </si>
  <si>
    <t>B</t>
  </si>
  <si>
    <t>PYNEGP0V2157</t>
  </si>
  <si>
    <t>F</t>
  </si>
  <si>
    <t>PYNEGP0V2165</t>
  </si>
  <si>
    <t>G</t>
  </si>
  <si>
    <t>PYNEGP0V2173</t>
  </si>
  <si>
    <t>H</t>
  </si>
  <si>
    <t>PYNEGP0V2181</t>
  </si>
  <si>
    <t>I</t>
  </si>
  <si>
    <t>PYNEGP0V2124</t>
  </si>
  <si>
    <t>C</t>
  </si>
  <si>
    <t>PYNEGP0V2140</t>
  </si>
  <si>
    <t>E</t>
  </si>
  <si>
    <t>L</t>
  </si>
  <si>
    <t>N</t>
  </si>
  <si>
    <t>O</t>
  </si>
  <si>
    <t>CNV CG 30/21</t>
  </si>
  <si>
    <t>Cuentas a Cobrar Cuenta Cero</t>
  </si>
  <si>
    <t/>
  </si>
  <si>
    <t>Retencion de Intereses a Pagar</t>
  </si>
  <si>
    <t>Ordinaria</t>
  </si>
  <si>
    <t>Preferida</t>
  </si>
  <si>
    <t>devengado no cobrado de los mencionados creditos.</t>
  </si>
  <si>
    <t>Comisiones por Giros Internos</t>
  </si>
  <si>
    <t>Cuentas a Cobrar AAN</t>
  </si>
  <si>
    <t>Cuentas a Cobrar Electroban</t>
  </si>
  <si>
    <t>GNB EN FUSION</t>
  </si>
  <si>
    <t>TU FINANCIERA</t>
  </si>
  <si>
    <t>Cuentas a Pagar Pagares-Bosamaz</t>
  </si>
  <si>
    <t>Cuentas a Pagar Operaciones 207-Bosamaz</t>
  </si>
  <si>
    <t>Cuentas a Pagar Desembolsos-Bosamaz</t>
  </si>
  <si>
    <t xml:space="preserve">Cuentas a Pagar Desembolsos-ZAE </t>
  </si>
  <si>
    <t>Cuentas a Pagar Pagares-ZAE</t>
  </si>
  <si>
    <t>Retenciones Zae</t>
  </si>
  <si>
    <t>Cuentas a Pagar Operaciones 207-Zae</t>
  </si>
  <si>
    <t>Cuentas a Pagar Desembolsos-Parametro</t>
  </si>
  <si>
    <t>Cuentas a Pagar Pagares-Parametro</t>
  </si>
  <si>
    <t>Cuentas a Pagar Operaciones 207-Parametro</t>
  </si>
  <si>
    <t>Cuentas a Pagar Desembolsos-Aupar</t>
  </si>
  <si>
    <t>Cuentas a Pagar Pagares-Aupar</t>
  </si>
  <si>
    <t>Retenciones-Aupar</t>
  </si>
  <si>
    <t>Cuentas a Pagar Operaciones 207-Aupar</t>
  </si>
  <si>
    <t>Cuentas a Pagar Desembolsos-ZAE II</t>
  </si>
  <si>
    <t>Cuentas a Pagar Pagares-ZAE II</t>
  </si>
  <si>
    <t>Retenciones Zae II</t>
  </si>
  <si>
    <t>Cuentas a Pagar Operaciones 207-Zae II</t>
  </si>
  <si>
    <t>Cuentas a Pagar Operaciones 207-Covica</t>
  </si>
  <si>
    <t>Cuentas a Pagar Desembolsos-Covica</t>
  </si>
  <si>
    <t>Cuentas a Pagar Pagares-Covica</t>
  </si>
  <si>
    <t>Retenciones-Covica</t>
  </si>
  <si>
    <t>Cuentas a Pagar Desembolsos-Avanti</t>
  </si>
  <si>
    <t>Cuentas a Pagar Pagares-Avanti</t>
  </si>
  <si>
    <t>Retenciones-Avanti</t>
  </si>
  <si>
    <t>Cuentas a Pagar Desembolsos-Luar</t>
  </si>
  <si>
    <t>Cuentas a Pagar Pagares-Luar</t>
  </si>
  <si>
    <t>Retenciones-Luar</t>
  </si>
  <si>
    <t>Cuentas a Pagar Operaciones 207-Luar</t>
  </si>
  <si>
    <t>Cuentas a Pagar Desembolsos-Credimarket</t>
  </si>
  <si>
    <t>Cuentas a Pagar Pagares-Credimarket</t>
  </si>
  <si>
    <t>Retenciones-Credimarket</t>
  </si>
  <si>
    <t>Cuentas a Pagar Operaciones 207-Credimarket</t>
  </si>
  <si>
    <t>Provisiones Multas Credimarket</t>
  </si>
  <si>
    <t>Cuentas a Pagar Desembolsos-Crediflash</t>
  </si>
  <si>
    <t>Cuentas a Pagar Pagares-Crediflash</t>
  </si>
  <si>
    <t>Retenciones-Crediflash</t>
  </si>
  <si>
    <t>Provisiones Multas Crediflash</t>
  </si>
  <si>
    <t>Cuentas a Pagar Operaciones 207-Crediflash</t>
  </si>
  <si>
    <t>Cuentas a Pagar Desembolsos-Zae III</t>
  </si>
  <si>
    <t>Cuentas a Pagar Pagares-Zae III</t>
  </si>
  <si>
    <t>Retenciones-Zae III</t>
  </si>
  <si>
    <t>Provisiones Multas-Zae III</t>
  </si>
  <si>
    <t>Cuentas a Pagar Operaciones 207-Zae III</t>
  </si>
  <si>
    <t>Cuentas a Pagar Desembolsos-Parametro Interior</t>
  </si>
  <si>
    <t>Cuentas a Pagar Pagares-Parametro Interior</t>
  </si>
  <si>
    <t>Cuentas a Pagar Operaciones 207-Parametro Interior</t>
  </si>
  <si>
    <t>Cuentas a Pagar Desembolsos-AAN</t>
  </si>
  <si>
    <t>Cuentas a Pagar Pagares-AAN</t>
  </si>
  <si>
    <t>Retenciones-AAN</t>
  </si>
  <si>
    <t>Provisiones Multas-AAN</t>
  </si>
  <si>
    <t>Cuentas a Pagar Operaciones 207-AAN</t>
  </si>
  <si>
    <t>Cuentas a Pagar Desembolsos-NFD Crediagil</t>
  </si>
  <si>
    <t>Cuentas a Pagar Pagares-NFD Crediagil</t>
  </si>
  <si>
    <t>Retenciones-NFD Crediagil</t>
  </si>
  <si>
    <t>Provisiones Multas-NFD Crediagil</t>
  </si>
  <si>
    <t>Cuentas a Pagar Operaciones 207-NFD Crediagil</t>
  </si>
  <si>
    <t>Cuentas a Pagar Desembolsos-NFD Credimarket</t>
  </si>
  <si>
    <t>Cuentas a Pagar Pagares-NFD Credimarket</t>
  </si>
  <si>
    <t>Retenciones-NFD Credimarket</t>
  </si>
  <si>
    <t>Provisiones Multas-NFD Credimarket</t>
  </si>
  <si>
    <t>Cuentas a Pagar Operaciones 207-NFD Credimarket</t>
  </si>
  <si>
    <t>Cuentas a Pagar Desembolsos-NFD Fraccionate</t>
  </si>
  <si>
    <t>Cuentas a Pagar Pagares-NFD Fraccionate</t>
  </si>
  <si>
    <t>Retenciones-NFD Fraccionate</t>
  </si>
  <si>
    <t>Provisiones Multas-NFD Fraccionate</t>
  </si>
  <si>
    <t>Cuentas a Pagar Operaciones 207-NFD Fraccionate</t>
  </si>
  <si>
    <t>Cuentas a Pagar Desembolsos-TKING</t>
  </si>
  <si>
    <t>Cuentas a Pagar Pagares-TKING</t>
  </si>
  <si>
    <t>Retenciones-TKINK</t>
  </si>
  <si>
    <t>Provisiones Multas-TKING</t>
  </si>
  <si>
    <t>Cuentas a Pagar Operaciones 207-TKING</t>
  </si>
  <si>
    <t>Multas -Parametro</t>
  </si>
  <si>
    <t>Descuentos a Funcionarios a Aplicar</t>
  </si>
  <si>
    <t>Cuentas a Pagar Operaciones 207-Franquicias</t>
  </si>
  <si>
    <t>Reserva de Revaluo</t>
  </si>
  <si>
    <t xml:space="preserve"> FABIOLA ESTHER KERGUELEN LORA</t>
  </si>
  <si>
    <t xml:space="preserve"> RODRIGO GUILLERMO CALLIZO LOPEZ MOREIRA</t>
  </si>
  <si>
    <t xml:space="preserve">CAJA MUTUAL DE COOPERATIVISTAS DEL PARAGUAY                                                                                                                                                             </t>
  </si>
  <si>
    <t xml:space="preserve"> MARIA DEL PILAR CALLIZO LOPEZ MOREIRA</t>
  </si>
  <si>
    <t xml:space="preserve"> RICARDO DANIEL DOS SANTOS IZAGUIRRE</t>
  </si>
  <si>
    <t xml:space="preserve"> LUIS ANTONIO MENCHACA RAMIREZ</t>
  </si>
  <si>
    <t xml:space="preserve"> RODRIGO FERNANDEZ VOLPE Y/O GLORIA RAQUEL SAPENA PASTOR</t>
  </si>
  <si>
    <t xml:space="preserve"> JOSE RODRIGO ARRELLAGA FERRER</t>
  </si>
  <si>
    <t xml:space="preserve">PYNEGP0V2116 </t>
  </si>
  <si>
    <t xml:space="preserve"> LUIS ALBERTO ZANOTTI CAVAZZONI SCAVONE</t>
  </si>
  <si>
    <t xml:space="preserve"> ALEXANDRA ZAMPHIROPOLOS KLOTZSCHE</t>
  </si>
  <si>
    <t xml:space="preserve"> JORGE ALBERTO CAZAL MINIOTIS</t>
  </si>
  <si>
    <t xml:space="preserve"> ADRIANA INES LARREINEGABE BENZA</t>
  </si>
  <si>
    <t xml:space="preserve"> JOSE DOMINGO CHAVEZ ARNOLD</t>
  </si>
  <si>
    <t xml:space="preserve"> ALBERTO ANTONIO RAMIREZ RUIZ DIAZ</t>
  </si>
  <si>
    <t xml:space="preserve"> BENICIA RIOS PORTILLO</t>
  </si>
  <si>
    <t xml:space="preserve"> CARLOS ALBERTO KNAPPS HUBER</t>
  </si>
  <si>
    <t xml:space="preserve"> EMMANUEL FRIEDMANN SOSA</t>
  </si>
  <si>
    <t xml:space="preserve"> FERNANDO ANDRES BERDICHEVSKY SBOROVSKY</t>
  </si>
  <si>
    <t xml:space="preserve"> GUILLERMO NESTOR SOSA ARRUA</t>
  </si>
  <si>
    <t xml:space="preserve"> LUIS ALBERTO LIMA MORRA</t>
  </si>
  <si>
    <t xml:space="preserve"> LUIS SEBASTIAN AGUILERA BURRO</t>
  </si>
  <si>
    <t xml:space="preserve"> RUBEN CIRILO ETIENNE FERNANDEZ</t>
  </si>
  <si>
    <t xml:space="preserve"> VENANCIO RIOS PORTILLO</t>
  </si>
  <si>
    <t xml:space="preserve"> ESTEFANIA MENDIETA AGUERO</t>
  </si>
  <si>
    <t xml:space="preserve"> JORGE ANTONIO RAMON AYALA KUNZLE</t>
  </si>
  <si>
    <t xml:space="preserve"> ELADIO NUÑEZ ALVAREZ</t>
  </si>
  <si>
    <t xml:space="preserve"> MONICA RAQUEL COSTA BARRIOCANAL</t>
  </si>
  <si>
    <t xml:space="preserve"> FRANCISCO JOSE BIBOLINI ROEHRIG</t>
  </si>
  <si>
    <t xml:space="preserve"> MARIA ANGELICA LOPEZ MOREIRA DE CALLIZO</t>
  </si>
  <si>
    <t xml:space="preserve"> MARTHA RUIZ</t>
  </si>
  <si>
    <t xml:space="preserve"> GABI PATRICIA GONZALEZ RUIZ</t>
  </si>
  <si>
    <t xml:space="preserve"> FRANCISCO DANIEL RIVAS MACHUCA</t>
  </si>
  <si>
    <t xml:space="preserve"> MARIA ARANZAZU OLLERO CABELLO</t>
  </si>
  <si>
    <t xml:space="preserve"> MARTIN CODAS MACHAIN</t>
  </si>
  <si>
    <t>Sub Gerente de Riesgos</t>
  </si>
  <si>
    <t>Tomas Franco</t>
  </si>
  <si>
    <t>Contadora General</t>
  </si>
  <si>
    <t>Cantidad</t>
  </si>
  <si>
    <t>Clase Acción</t>
  </si>
  <si>
    <t>Subclase Acción</t>
  </si>
  <si>
    <t xml:space="preserve"> MARIA SOFIA LOPEZ DE CALDEROLI</t>
  </si>
  <si>
    <t xml:space="preserve"> ADALBERTO ANTONIO ACEVEDO MACIEL</t>
  </si>
  <si>
    <t xml:space="preserve"> RODRIGO CALLIZO STRUBING</t>
  </si>
  <si>
    <t xml:space="preserve"> DANIEL HORACIO SAUCA</t>
  </si>
  <si>
    <t xml:space="preserve"> LYDIA AUGUSTA DIAZ ARCE</t>
  </si>
  <si>
    <t xml:space="preserve"> MARIA BELEN BOGADO LOPEZ</t>
  </si>
  <si>
    <t xml:space="preserve"> VICTOR HUGO IBARROLA VANNUCCI</t>
  </si>
  <si>
    <t>Cuentas a Cobrar ZAE</t>
  </si>
  <si>
    <t>Cuentas a Cobrar RV</t>
  </si>
  <si>
    <t>Garantias Varias</t>
  </si>
  <si>
    <t>FINLATINA S.A.</t>
  </si>
  <si>
    <t xml:space="preserve">BANCO INTERFISA                                     </t>
  </si>
  <si>
    <t xml:space="preserve">BANCO RIO                                           </t>
  </si>
  <si>
    <t>Ingresos por INH</t>
  </si>
  <si>
    <t>Actualizacion VPP</t>
  </si>
  <si>
    <t>CATRGORIA</t>
  </si>
  <si>
    <t>Aquisición de acciones</t>
  </si>
  <si>
    <t xml:space="preserve">Así mismo se constituyen previsiones por el importe correspondientes a los descuentos obtenidos en la compra de Créditos vía cesión de créditos asi como los intereses devengados no cobrados </t>
  </si>
  <si>
    <t>Cantidad de Acciones Preferidas en Circulación</t>
  </si>
  <si>
    <t>Miguel Zaldivar</t>
  </si>
  <si>
    <t>Saldo al 31 de diciembre de 2021</t>
  </si>
  <si>
    <t>Saldo al 31 de diciembre de 2022</t>
  </si>
  <si>
    <t>Cuentas a Cobrar Tking</t>
  </si>
  <si>
    <t>Cuentas a Cobrar Wepa</t>
  </si>
  <si>
    <t>FIC SA DE FINANZAS</t>
  </si>
  <si>
    <t>FINANCIERA PARAGUAYO-JAPONESA</t>
  </si>
  <si>
    <t>Servicio de Consultoria</t>
  </si>
  <si>
    <t>Recupero Preaviso</t>
  </si>
  <si>
    <t xml:space="preserve">Total Remuneración -      Ej.31/12/2022 Gs. </t>
  </si>
  <si>
    <t>Total Intereses s/Ptmos.-Ej.31/12/2022 Gs.</t>
  </si>
  <si>
    <t>Total Honorarios -           Ej.31/12/2022  Gs.</t>
  </si>
  <si>
    <t xml:space="preserve">Total Comisiones -          Ej.31/12/2022 Gs. </t>
  </si>
  <si>
    <t>Al 31 de Diciembre de 2022</t>
  </si>
  <si>
    <t>diciembre</t>
  </si>
  <si>
    <t>NOVIEMBRE</t>
  </si>
  <si>
    <t xml:space="preserve">Total Sueldo -      Ej.31/12/2022 Gs. </t>
  </si>
  <si>
    <t>AL 31/12/2022</t>
  </si>
  <si>
    <t xml:space="preserve">                                -  </t>
  </si>
  <si>
    <t>Nombre</t>
  </si>
  <si>
    <t>CI/RUC</t>
  </si>
  <si>
    <t>Cód. Comitente</t>
  </si>
  <si>
    <t>votos</t>
  </si>
  <si>
    <t>total</t>
  </si>
  <si>
    <t>Valor Nominal</t>
  </si>
  <si>
    <t>COLOR CELESTE S.A.</t>
  </si>
  <si>
    <t>80123879-0</t>
  </si>
  <si>
    <t>BEEME S.A.</t>
  </si>
  <si>
    <t>80129555-6</t>
  </si>
  <si>
    <t>ALGODÓN NEGRO</t>
  </si>
  <si>
    <t>80123876-5</t>
  </si>
  <si>
    <t xml:space="preserve">JUAN CARLOS LEON MERLO Y/O PETRONA GRACIELA PEÑA                                                                                                                                                        </t>
  </si>
  <si>
    <t>80004152-6</t>
  </si>
  <si>
    <t>C.I 323317</t>
  </si>
  <si>
    <t xml:space="preserve">VICTOR J. R CENTURION LAMPERT , Y/O SONIA PALACIOS GIL                                                                                                                                                  </t>
  </si>
  <si>
    <t xml:space="preserve"> FABRIZIO BIBOLINI R.</t>
  </si>
  <si>
    <t>80019123-4</t>
  </si>
  <si>
    <t>2496958-3</t>
  </si>
  <si>
    <t>656417-8</t>
  </si>
  <si>
    <t>MILCIADES EDUARDO MOLINAS LATERRA</t>
  </si>
  <si>
    <t>DIEGO LEONARDO LEDESMA CAMPOS</t>
  </si>
  <si>
    <t xml:space="preserve">Porcentaje </t>
  </si>
  <si>
    <t>Entre la fecha de cierre del ejercicio y la fecha de preparación de estos estados financieros, no han ocurrido hechos significativos de carácter financiero o de otra índole que afecten la situación patrimonial o financiera o los resultados de la Sociedad al 31 de diciembre 2022.</t>
  </si>
  <si>
    <r>
      <t xml:space="preserve">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31 de Diciembre de 2021 y 2022. Según el índice general de precios del consumo (IPC) publicado por el Banco Central del Paraguay, la inflación fue de 6,8% en el año 2021 y  8,1% en el año 2022. </t>
    </r>
    <r>
      <rPr>
        <i/>
        <sz val="9"/>
        <color indexed="8"/>
        <rFont val="Arial"/>
        <family val="2"/>
      </rPr>
      <t xml:space="preserve">Obs: Datos a incorporar para cierre del ejercicio al </t>
    </r>
    <r>
      <rPr>
        <sz val="9"/>
        <color indexed="8"/>
        <rFont val="Arial"/>
        <family val="2"/>
      </rPr>
      <t xml:space="preserve">31/12/2022.
</t>
    </r>
  </si>
  <si>
    <t>Al cierre del 31/12/2022 el valor previsionado asciende a miles de G.303.704.132.-</t>
  </si>
  <si>
    <t>Sindico Titular</t>
  </si>
  <si>
    <t>NFD S.A.</t>
  </si>
  <si>
    <t>Gerente de Innovacion</t>
  </si>
  <si>
    <t>Pierre Ibarrola</t>
  </si>
  <si>
    <t xml:space="preserve">Gerente de Riesgo Integral </t>
  </si>
  <si>
    <t>Miguel Angel Fernandez</t>
  </si>
  <si>
    <t>80115128-7</t>
  </si>
  <si>
    <t>80090066-9</t>
  </si>
  <si>
    <r>
      <t>Inciso d)</t>
    </r>
    <r>
      <rPr>
        <b/>
        <sz val="10"/>
        <rFont val="Arial"/>
        <family val="2"/>
      </rPr>
      <t xml:space="preserve"> </t>
    </r>
    <r>
      <rPr>
        <sz val="10"/>
        <rFont val="Arial"/>
        <family val="2"/>
      </rPr>
      <t xml:space="preserve">Gustavo Borgognon, Eduardo Borgognon, Fernando Jose Velazquez, Venancio Ríos, </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</si>
</sst>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XDR&quot;#,##0;\-&quot;XDR&quot;#,##0"/>
    <numFmt numFmtId="175" formatCode="&quot;XDR&quot;#,##0;[Red]\-&quot;XDR&quot;#,##0"/>
    <numFmt numFmtId="176" formatCode="&quot;XDR&quot;#,##0.00;\-&quot;XDR&quot;#,##0.00"/>
    <numFmt numFmtId="177" formatCode="&quot;XDR&quot;#,##0.00;[Red]\-&quot;XDR&quot;#,##0.00"/>
    <numFmt numFmtId="178" formatCode="_-&quot;XDR&quot;* #,##0_-;\-&quot;XDR&quot;* #,##0_-;_-&quot;XDR&quot;* &quot;-&quot;_-;_-@_-"/>
    <numFmt numFmtId="179" formatCode="_-&quot;XDR&quot;* #,##0.00_-;\-&quot;XDR&quot;* #,##0.00_-;_-&quot;XDR&quot;* &quot;-&quot;??_-;_-@_-"/>
    <numFmt numFmtId="180" formatCode="_(* #,##0.00_);_(* \(#,##0.00\);_(* &quot;-&quot;??_);_(@_)"/>
    <numFmt numFmtId="181" formatCode="_ * #,##0_ ;_ * \-#,##0_ ;_ * &quot;-&quot;??_ ;_ @_ "/>
    <numFmt numFmtId="182" formatCode="_-* #,##0_-;\-* #,##0_-;_-* &quot;-&quot;??_-;_-@_-"/>
    <numFmt numFmtId="183" formatCode="_(* #,##0_);_(* \(#,##0\);_(* &quot;-&quot;??_);_(@_)"/>
    <numFmt numFmtId="184" formatCode="dd/mm/yyyy;@"/>
    <numFmt numFmtId="185" formatCode="#,###,##0"/>
    <numFmt numFmtId="186" formatCode="#,##0_ ;\-#,##0\ "/>
    <numFmt numFmtId="187" formatCode="0.0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 #,##0.00_ ;_ * \-#,##0.00_ ;_ * &quot;-&quot;_ ;_ @_ "/>
    <numFmt numFmtId="193" formatCode="0.0%"/>
    <numFmt numFmtId="194" formatCode="dddd\,\ mmmm\ dd\,\ yyyy"/>
    <numFmt numFmtId="195" formatCode="&quot;TRUE&quot;;&quot;TRUE&quot;;&quot;FALSE&quot;"/>
    <numFmt numFmtId="196" formatCode="#,##0.000000000000_ ;\-#,##0.000000000000\ "/>
  </numFmts>
  <fonts count="151">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9"/>
      <color indexed="8"/>
      <name val="Arial"/>
      <family val="2"/>
    </font>
    <font>
      <sz val="8"/>
      <name val="Arial"/>
      <family val="2"/>
    </font>
    <font>
      <i/>
      <sz val="9"/>
      <name val="Arial"/>
      <family val="2"/>
    </font>
    <font>
      <i/>
      <sz val="9"/>
      <color indexed="8"/>
      <name val="Arial"/>
      <family val="2"/>
    </font>
    <font>
      <sz val="11"/>
      <name val="Calibri"/>
      <family val="2"/>
    </font>
    <font>
      <b/>
      <sz val="11"/>
      <name val="Calibri"/>
      <family val="2"/>
    </font>
    <font>
      <i/>
      <sz val="9"/>
      <name val="Calibri"/>
      <family val="2"/>
    </font>
    <font>
      <sz val="10"/>
      <name val="Geneva"/>
      <family val="2"/>
    </font>
    <font>
      <sz val="12"/>
      <name val="Times New Roman"/>
      <family val="1"/>
    </font>
    <font>
      <b/>
      <sz val="12"/>
      <name val="Times New Roman"/>
      <family val="1"/>
    </font>
    <font>
      <b/>
      <sz val="14"/>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1"/>
      <color indexed="8"/>
      <name val="Arial"/>
      <family val="2"/>
    </font>
    <font>
      <sz val="10"/>
      <color indexed="9"/>
      <name val="Arial"/>
      <family val="2"/>
    </font>
    <font>
      <sz val="10"/>
      <color indexed="10"/>
      <name val="Arial"/>
      <family val="2"/>
    </font>
    <font>
      <sz val="12"/>
      <color indexed="8"/>
      <name val="Arial"/>
      <family val="2"/>
    </font>
    <font>
      <sz val="11"/>
      <color indexed="9"/>
      <name val="Arial"/>
      <family val="2"/>
    </font>
    <font>
      <sz val="11"/>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sz val="9"/>
      <color indexed="9"/>
      <name val="Arial"/>
      <family val="2"/>
    </font>
    <font>
      <b/>
      <sz val="10"/>
      <color indexed="10"/>
      <name val="Arial"/>
      <family val="2"/>
    </font>
    <font>
      <sz val="9"/>
      <name val="Calibri"/>
      <family val="2"/>
    </font>
    <font>
      <b/>
      <sz val="10"/>
      <color indexed="9"/>
      <name val="Arial Black"/>
      <family val="2"/>
    </font>
    <font>
      <sz val="10"/>
      <color indexed="8"/>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11"/>
      <color indexed="8"/>
      <name val="Arial"/>
      <family val="2"/>
    </font>
    <font>
      <b/>
      <sz val="9"/>
      <color indexed="9"/>
      <name val="Arial"/>
      <family val="2"/>
    </font>
    <font>
      <b/>
      <sz val="11"/>
      <color indexed="8"/>
      <name val="Arial"/>
      <family val="2"/>
    </font>
    <font>
      <b/>
      <u val="singleAccounting"/>
      <sz val="10"/>
      <color indexed="9"/>
      <name val="Arial Black"/>
      <family val="2"/>
    </font>
    <font>
      <sz val="9"/>
      <color indexed="10"/>
      <name val="Arial"/>
      <family val="2"/>
    </font>
    <font>
      <b/>
      <sz val="12"/>
      <color indexed="8"/>
      <name val="Arial"/>
      <family val="2"/>
    </font>
    <font>
      <u val="single"/>
      <sz val="10"/>
      <color indexed="8"/>
      <name val="Arial"/>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12"/>
      <color theme="1"/>
      <name val="Arial"/>
      <family val="2"/>
    </font>
    <font>
      <sz val="11"/>
      <color theme="0"/>
      <name val="Arial"/>
      <family val="2"/>
    </font>
    <font>
      <sz val="11"/>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b/>
      <sz val="10"/>
      <color rgb="FF000000"/>
      <name val="Arial"/>
      <family val="2"/>
    </font>
    <font>
      <sz val="9"/>
      <color rgb="FFFFFFFF"/>
      <name val="Arial"/>
      <family val="2"/>
    </font>
    <font>
      <b/>
      <sz val="10"/>
      <color rgb="FFFF0000"/>
      <name val="Arial"/>
      <family val="2"/>
    </font>
    <font>
      <b/>
      <sz val="10"/>
      <color theme="0"/>
      <name val="Arial Black"/>
      <family val="2"/>
    </font>
    <font>
      <sz val="10"/>
      <color theme="1"/>
      <name val="Arial Black"/>
      <family val="2"/>
    </font>
    <font>
      <sz val="9"/>
      <color rgb="FF000000"/>
      <name val="Arial"/>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i/>
      <sz val="9"/>
      <color rgb="FF000000"/>
      <name val="Arial"/>
      <family val="2"/>
    </font>
    <font>
      <i/>
      <sz val="11"/>
      <color theme="1"/>
      <name val="Arial"/>
      <family val="2"/>
    </font>
    <font>
      <b/>
      <sz val="9"/>
      <color rgb="FFFFFFFF"/>
      <name val="Arial"/>
      <family val="2"/>
    </font>
    <font>
      <b/>
      <sz val="9"/>
      <color theme="0"/>
      <name val="Arial"/>
      <family val="2"/>
    </font>
    <font>
      <b/>
      <sz val="11"/>
      <color rgb="FF000000"/>
      <name val="Calibri"/>
      <family val="2"/>
    </font>
    <font>
      <b/>
      <sz val="10"/>
      <color rgb="FFFFFFFF"/>
      <name val="Arial"/>
      <family val="2"/>
    </font>
    <font>
      <b/>
      <sz val="11"/>
      <color theme="1"/>
      <name val="Arial"/>
      <family val="2"/>
    </font>
    <font>
      <b/>
      <u val="singleAccounting"/>
      <sz val="10"/>
      <color theme="0"/>
      <name val="Arial Black"/>
      <family val="2"/>
    </font>
    <font>
      <sz val="9"/>
      <color rgb="FFFF0000"/>
      <name val="Arial"/>
      <family val="2"/>
    </font>
    <font>
      <b/>
      <sz val="12"/>
      <color theme="1"/>
      <name val="Arial"/>
      <family val="2"/>
    </font>
    <font>
      <u val="single"/>
      <sz val="10"/>
      <color theme="1"/>
      <name val="Arial"/>
      <family val="2"/>
    </font>
    <font>
      <sz val="10"/>
      <color rgb="FF000000"/>
      <name val="Calibri"/>
      <family val="2"/>
    </font>
    <font>
      <b/>
      <sz val="10"/>
      <color theme="1"/>
      <name val="Calibri"/>
      <family val="2"/>
    </font>
    <font>
      <i/>
      <sz val="9"/>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theme="0" tint="-0.14999000728130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style="thin"/>
      <right/>
      <top/>
      <bottom style="thin"/>
    </border>
    <border>
      <left style="thin"/>
      <right style="thin"/>
      <top/>
      <bottom/>
    </border>
    <border>
      <left style="medium"/>
      <right style="medium"/>
      <top style="thin"/>
      <bottom/>
    </border>
    <border>
      <left style="thin"/>
      <right/>
      <top style="thin"/>
      <bottom style="thin"/>
    </border>
    <border>
      <left/>
      <right style="thin"/>
      <top style="thin"/>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style="thin"/>
      <right style="thin"/>
      <top/>
      <bottom style="thin"/>
    </border>
    <border>
      <left/>
      <right/>
      <top style="thin"/>
      <bottom style="double"/>
    </border>
    <border>
      <left/>
      <right style="medium"/>
      <top/>
      <bottom style="thin"/>
    </border>
    <border>
      <left/>
      <right style="medium"/>
      <top style="thin"/>
      <bottom style="thin"/>
    </border>
    <border>
      <left/>
      <right style="medium"/>
      <top style="thin"/>
      <bottom/>
    </border>
    <border>
      <left/>
      <right style="thin"/>
      <top style="thin"/>
      <bottom/>
    </border>
    <border>
      <left/>
      <right/>
      <top style="thin"/>
      <bottom style="thin"/>
    </border>
    <border>
      <left/>
      <right style="thin"/>
      <top/>
      <bottom style="thin"/>
    </border>
    <border>
      <left style="medium"/>
      <right/>
      <top style="medium"/>
      <bottom style="medium"/>
    </border>
    <border>
      <left style="medium"/>
      <right/>
      <top style="medium"/>
      <bottom/>
    </border>
    <border>
      <left style="medium"/>
      <right style="medium"/>
      <top/>
      <bottom/>
    </border>
    <border>
      <left style="medium"/>
      <right style="medium"/>
      <top/>
      <bottom style="medium"/>
    </border>
    <border>
      <left/>
      <right style="medium"/>
      <top style="thin"/>
      <bottom style="medium"/>
    </border>
    <border>
      <left/>
      <right style="medium"/>
      <top/>
      <bottom/>
    </border>
    <border>
      <left/>
      <right style="medium"/>
      <top/>
      <bottom style="medium"/>
    </border>
    <border>
      <left style="medium"/>
      <right>
        <color indexed="63"/>
      </right>
      <top>
        <color indexed="63"/>
      </top>
      <bottom>
        <color indexed="63"/>
      </bottom>
    </border>
    <border>
      <left style="medium"/>
      <right/>
      <top/>
      <bottom style="medium"/>
    </border>
    <border>
      <left/>
      <right/>
      <top style="medium"/>
      <bottom style="medium"/>
    </border>
    <border>
      <left style="medium"/>
      <right style="medium"/>
      <top style="medium"/>
      <bottom>
        <color indexed="63"/>
      </bottom>
    </border>
    <border>
      <left style="thin"/>
      <right/>
      <top style="thin"/>
      <bottom style="medium"/>
    </border>
    <border>
      <left/>
      <right/>
      <top style="thin"/>
      <bottom style="medium"/>
    </border>
    <border>
      <left/>
      <right style="thin"/>
      <top style="thin"/>
      <bottom style="medium"/>
    </border>
    <border>
      <left style="thin"/>
      <right/>
      <top style="medium"/>
      <bottom/>
    </border>
    <border>
      <left/>
      <right/>
      <top style="medium"/>
      <bottom/>
    </border>
    <border>
      <left/>
      <right style="thin"/>
      <top style="medium"/>
      <bottom/>
    </border>
  </borders>
  <cellStyleXfs count="2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0" borderId="3" applyNumberFormat="0" applyFill="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8" fillId="0" borderId="4" applyNumberFormat="0" applyFill="0" applyAlignment="0" applyProtection="0"/>
    <xf numFmtId="0" fontId="89"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90" fillId="29" borderId="1"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5"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96" fillId="21" borderId="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7" applyNumberFormat="0" applyFill="0" applyAlignment="0" applyProtection="0"/>
    <xf numFmtId="0" fontId="89" fillId="0" borderId="8" applyNumberFormat="0" applyFill="0" applyAlignment="0" applyProtection="0"/>
    <xf numFmtId="0" fontId="101" fillId="0" borderId="9" applyNumberFormat="0" applyFill="0" applyAlignment="0" applyProtection="0"/>
  </cellStyleXfs>
  <cellXfs count="1025">
    <xf numFmtId="0" fontId="0" fillId="0" borderId="0" xfId="0" applyFont="1" applyAlignment="1">
      <alignment/>
    </xf>
    <xf numFmtId="0" fontId="102" fillId="0" borderId="0" xfId="0" applyFont="1" applyAlignment="1">
      <alignment vertical="center"/>
    </xf>
    <xf numFmtId="0" fontId="102" fillId="0" borderId="0" xfId="0" applyFont="1" applyAlignment="1">
      <alignment/>
    </xf>
    <xf numFmtId="0" fontId="103" fillId="0" borderId="0" xfId="0" applyFont="1" applyAlignment="1">
      <alignment vertical="center"/>
    </xf>
    <xf numFmtId="0" fontId="104" fillId="0" borderId="0" xfId="0" applyFont="1" applyAlignment="1">
      <alignment vertical="center"/>
    </xf>
    <xf numFmtId="0" fontId="105" fillId="33" borderId="0" xfId="0" applyFont="1" applyFill="1" applyAlignment="1">
      <alignment/>
    </xf>
    <xf numFmtId="0" fontId="103" fillId="33" borderId="10" xfId="0" applyFont="1" applyFill="1" applyBorder="1" applyAlignment="1">
      <alignment/>
    </xf>
    <xf numFmtId="0" fontId="102" fillId="33" borderId="0" xfId="0" applyFont="1" applyFill="1" applyAlignment="1">
      <alignment/>
    </xf>
    <xf numFmtId="0" fontId="102" fillId="0" borderId="0" xfId="0" applyFont="1" applyAlignment="1">
      <alignment horizontal="left" vertical="top" wrapText="1"/>
    </xf>
    <xf numFmtId="0" fontId="103" fillId="33" borderId="0" xfId="0" applyFont="1" applyFill="1" applyAlignment="1">
      <alignment/>
    </xf>
    <xf numFmtId="0" fontId="4" fillId="33" borderId="11" xfId="136" applyFont="1" applyFill="1" applyBorder="1" applyAlignment="1">
      <alignment horizontal="left"/>
      <protection/>
    </xf>
    <xf numFmtId="0" fontId="4" fillId="33" borderId="0" xfId="136" applyFont="1" applyFill="1" applyAlignment="1">
      <alignment horizontal="center"/>
      <protection/>
    </xf>
    <xf numFmtId="0" fontId="102" fillId="33" borderId="0" xfId="0" applyFont="1" applyFill="1" applyBorder="1" applyAlignment="1">
      <alignment/>
    </xf>
    <xf numFmtId="181" fontId="102" fillId="33" borderId="0" xfId="0" applyNumberFormat="1" applyFont="1" applyFill="1" applyAlignment="1">
      <alignment/>
    </xf>
    <xf numFmtId="0" fontId="2" fillId="33" borderId="0" xfId="136" applyFont="1" applyFill="1" applyBorder="1" applyAlignment="1">
      <alignment horizontal="left"/>
      <protection/>
    </xf>
    <xf numFmtId="0" fontId="106" fillId="0" borderId="0" xfId="0" applyFont="1" applyAlignment="1">
      <alignment vertical="center"/>
    </xf>
    <xf numFmtId="0" fontId="4" fillId="33" borderId="11" xfId="137" applyFont="1" applyFill="1" applyBorder="1" applyAlignment="1">
      <alignment horizontal="left"/>
      <protection/>
    </xf>
    <xf numFmtId="0" fontId="2" fillId="33" borderId="0" xfId="0" applyFont="1" applyFill="1" applyAlignment="1">
      <alignment/>
    </xf>
    <xf numFmtId="183" fontId="107" fillId="0" borderId="0" xfId="54" applyNumberFormat="1" applyFont="1" applyAlignment="1">
      <alignment/>
    </xf>
    <xf numFmtId="0" fontId="4" fillId="33" borderId="0" xfId="137"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2" fillId="0" borderId="0" xfId="0" applyFont="1" applyBorder="1" applyAlignment="1">
      <alignment vertical="center"/>
    </xf>
    <xf numFmtId="0" fontId="107" fillId="0" borderId="0" xfId="0" applyFont="1" applyAlignment="1">
      <alignment/>
    </xf>
    <xf numFmtId="0" fontId="107" fillId="0" borderId="0" xfId="0" applyFont="1" applyBorder="1" applyAlignment="1">
      <alignment/>
    </xf>
    <xf numFmtId="0" fontId="102" fillId="0" borderId="0" xfId="0" applyFont="1" applyBorder="1" applyAlignment="1">
      <alignment/>
    </xf>
    <xf numFmtId="0" fontId="102" fillId="34" borderId="0" xfId="0" applyFont="1" applyFill="1" applyAlignment="1">
      <alignment/>
    </xf>
    <xf numFmtId="0" fontId="103" fillId="0" borderId="0" xfId="0" applyFont="1" applyBorder="1" applyAlignment="1">
      <alignment horizontal="center"/>
    </xf>
    <xf numFmtId="0" fontId="102" fillId="0" borderId="0" xfId="0" applyFont="1" applyFill="1" applyAlignment="1">
      <alignment/>
    </xf>
    <xf numFmtId="0" fontId="4" fillId="33" borderId="11" xfId="141" applyFont="1" applyFill="1" applyBorder="1" applyAlignment="1">
      <alignment horizontal="left"/>
    </xf>
    <xf numFmtId="0" fontId="5" fillId="33" borderId="0" xfId="141" applyFont="1" applyFill="1" applyBorder="1" applyAlignment="1">
      <alignment horizontal="center"/>
    </xf>
    <xf numFmtId="0" fontId="5" fillId="33" borderId="0" xfId="141" applyFont="1" applyFill="1" applyAlignment="1">
      <alignment horizontal="center"/>
    </xf>
    <xf numFmtId="0" fontId="2" fillId="33" borderId="0" xfId="143" applyFont="1" applyFill="1" applyBorder="1">
      <alignment/>
      <protection/>
    </xf>
    <xf numFmtId="0" fontId="2" fillId="33" borderId="0" xfId="143" applyFont="1" applyFill="1">
      <alignment/>
      <protection/>
    </xf>
    <xf numFmtId="0" fontId="4" fillId="33" borderId="0" xfId="143" applyFont="1" applyFill="1">
      <alignment/>
      <protection/>
    </xf>
    <xf numFmtId="0" fontId="4" fillId="33" borderId="0" xfId="143" applyFont="1" applyFill="1" applyBorder="1">
      <alignment/>
      <protection/>
    </xf>
    <xf numFmtId="0" fontId="102" fillId="0" borderId="0" xfId="0" applyFont="1" applyAlignment="1">
      <alignment vertical="top" wrapText="1"/>
    </xf>
    <xf numFmtId="0" fontId="106" fillId="0" borderId="0" xfId="0" applyFont="1" applyFill="1" applyAlignment="1">
      <alignment/>
    </xf>
    <xf numFmtId="0" fontId="6" fillId="0" borderId="0" xfId="0" applyFont="1" applyFill="1" applyAlignment="1">
      <alignment/>
    </xf>
    <xf numFmtId="43" fontId="106" fillId="0" borderId="0" xfId="54" applyFont="1" applyFill="1" applyAlignment="1">
      <alignment/>
    </xf>
    <xf numFmtId="181" fontId="6" fillId="0" borderId="0" xfId="54" applyNumberFormat="1" applyFont="1" applyFill="1" applyAlignment="1">
      <alignment/>
    </xf>
    <xf numFmtId="181" fontId="106" fillId="0" borderId="0" xfId="54" applyNumberFormat="1" applyFont="1" applyFill="1" applyAlignment="1">
      <alignment/>
    </xf>
    <xf numFmtId="41" fontId="106" fillId="0" borderId="0" xfId="0" applyNumberFormat="1" applyFont="1" applyFill="1" applyAlignment="1">
      <alignment/>
    </xf>
    <xf numFmtId="181" fontId="102" fillId="0" borderId="0" xfId="0" applyNumberFormat="1" applyFont="1" applyAlignment="1">
      <alignment/>
    </xf>
    <xf numFmtId="0" fontId="0" fillId="0" borderId="0" xfId="0" applyFill="1" applyAlignment="1">
      <alignment/>
    </xf>
    <xf numFmtId="0" fontId="102" fillId="0" borderId="0" xfId="0" applyFont="1" applyFill="1" applyBorder="1" applyAlignment="1">
      <alignment/>
    </xf>
    <xf numFmtId="0" fontId="103" fillId="0" borderId="0" xfId="0" applyFont="1" applyFill="1" applyBorder="1" applyAlignment="1">
      <alignment/>
    </xf>
    <xf numFmtId="0" fontId="103" fillId="0" borderId="0" xfId="0" applyFont="1" applyFill="1" applyAlignment="1">
      <alignment vertical="center"/>
    </xf>
    <xf numFmtId="0" fontId="105" fillId="0" borderId="0" xfId="0" applyFont="1" applyFill="1" applyAlignment="1">
      <alignment/>
    </xf>
    <xf numFmtId="0" fontId="108" fillId="0" borderId="0" xfId="0" applyFont="1" applyAlignment="1">
      <alignment/>
    </xf>
    <xf numFmtId="181" fontId="108" fillId="0" borderId="0" xfId="54" applyNumberFormat="1" applyFont="1" applyAlignment="1">
      <alignment/>
    </xf>
    <xf numFmtId="181" fontId="108" fillId="0" borderId="0" xfId="0" applyNumberFormat="1" applyFont="1" applyAlignment="1">
      <alignment/>
    </xf>
    <xf numFmtId="181" fontId="109" fillId="0" borderId="0" xfId="54" applyNumberFormat="1" applyFont="1" applyAlignment="1">
      <alignment/>
    </xf>
    <xf numFmtId="185" fontId="102" fillId="0" borderId="0" xfId="0" applyNumberFormat="1" applyFont="1" applyAlignment="1">
      <alignment horizontal="right"/>
    </xf>
    <xf numFmtId="181" fontId="2" fillId="0" borderId="0" xfId="54" applyNumberFormat="1" applyFont="1" applyAlignment="1">
      <alignment/>
    </xf>
    <xf numFmtId="181" fontId="4" fillId="0" borderId="0" xfId="54" applyNumberFormat="1" applyFont="1" applyAlignment="1">
      <alignment/>
    </xf>
    <xf numFmtId="0" fontId="7" fillId="0" borderId="0" xfId="0" applyFont="1" applyAlignment="1">
      <alignment/>
    </xf>
    <xf numFmtId="181" fontId="7" fillId="0" borderId="0" xfId="54" applyNumberFormat="1" applyFont="1" applyAlignment="1">
      <alignment/>
    </xf>
    <xf numFmtId="0" fontId="2" fillId="0" borderId="0" xfId="139" applyFont="1" applyAlignment="1">
      <alignment/>
    </xf>
    <xf numFmtId="181" fontId="102" fillId="0" borderId="0" xfId="54" applyNumberFormat="1" applyFont="1" applyAlignment="1">
      <alignment/>
    </xf>
    <xf numFmtId="0" fontId="102" fillId="0" borderId="0" xfId="0" applyFont="1" applyAlignment="1">
      <alignment horizontal="left"/>
    </xf>
    <xf numFmtId="181" fontId="102" fillId="0" borderId="0" xfId="54" applyNumberFormat="1" applyFont="1" applyAlignment="1">
      <alignment horizontal="center"/>
    </xf>
    <xf numFmtId="0" fontId="3" fillId="0" borderId="0" xfId="0" applyFont="1" applyFill="1" applyAlignment="1">
      <alignment/>
    </xf>
    <xf numFmtId="181" fontId="105" fillId="0" borderId="0" xfId="0" applyNumberFormat="1" applyFont="1" applyFill="1" applyAlignment="1">
      <alignment/>
    </xf>
    <xf numFmtId="0" fontId="4" fillId="0" borderId="0" xfId="0" applyFont="1" applyFill="1" applyAlignment="1">
      <alignment/>
    </xf>
    <xf numFmtId="181" fontId="102" fillId="0" borderId="0" xfId="54" applyNumberFormat="1" applyFont="1" applyFill="1" applyAlignment="1">
      <alignment/>
    </xf>
    <xf numFmtId="0" fontId="102" fillId="0" borderId="0" xfId="0" applyFont="1" applyFill="1" applyAlignment="1">
      <alignment horizontal="left"/>
    </xf>
    <xf numFmtId="0" fontId="109" fillId="0" borderId="0" xfId="0" applyFont="1" applyFill="1" applyAlignment="1">
      <alignment/>
    </xf>
    <xf numFmtId="181" fontId="107" fillId="0" borderId="0" xfId="54" applyNumberFormat="1" applyFont="1" applyAlignment="1">
      <alignment/>
    </xf>
    <xf numFmtId="0" fontId="102" fillId="0" borderId="0" xfId="0" applyFont="1" applyAlignment="1">
      <alignment horizontal="left"/>
    </xf>
    <xf numFmtId="0" fontId="106"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10" fillId="0" borderId="0" xfId="0" applyFont="1" applyFill="1" applyAlignment="1">
      <alignment/>
    </xf>
    <xf numFmtId="181" fontId="102" fillId="0" borderId="0" xfId="0" applyNumberFormat="1" applyFont="1" applyFill="1" applyAlignment="1">
      <alignment/>
    </xf>
    <xf numFmtId="181" fontId="107" fillId="0" borderId="0" xfId="54" applyNumberFormat="1" applyFont="1" applyAlignment="1">
      <alignment horizontal="center"/>
    </xf>
    <xf numFmtId="0" fontId="9" fillId="0" borderId="0" xfId="0" applyFont="1" applyAlignment="1">
      <alignment/>
    </xf>
    <xf numFmtId="181" fontId="111" fillId="0" borderId="0" xfId="54" applyNumberFormat="1" applyFont="1" applyAlignment="1">
      <alignment/>
    </xf>
    <xf numFmtId="181" fontId="112" fillId="0" borderId="0" xfId="54" applyNumberFormat="1" applyFont="1" applyAlignment="1">
      <alignment/>
    </xf>
    <xf numFmtId="181" fontId="102" fillId="0" borderId="0" xfId="54" applyNumberFormat="1" applyFont="1" applyBorder="1" applyAlignment="1">
      <alignment/>
    </xf>
    <xf numFmtId="0" fontId="102" fillId="0" borderId="0" xfId="0" applyFont="1" applyBorder="1" applyAlignment="1">
      <alignment horizontal="left"/>
    </xf>
    <xf numFmtId="181" fontId="102" fillId="0" borderId="0" xfId="54" applyNumberFormat="1" applyFont="1" applyBorder="1" applyAlignment="1">
      <alignment horizontal="center"/>
    </xf>
    <xf numFmtId="181" fontId="2" fillId="0" borderId="0" xfId="54" applyNumberFormat="1" applyFont="1" applyBorder="1" applyAlignment="1">
      <alignment/>
    </xf>
    <xf numFmtId="181" fontId="109" fillId="0" borderId="0" xfId="54" applyNumberFormat="1" applyFont="1" applyBorder="1" applyAlignment="1">
      <alignment/>
    </xf>
    <xf numFmtId="0" fontId="102" fillId="0" borderId="12" xfId="0" applyFont="1" applyFill="1" applyBorder="1" applyAlignment="1">
      <alignment/>
    </xf>
    <xf numFmtId="0" fontId="102" fillId="0" borderId="13" xfId="0" applyFont="1" applyFill="1" applyBorder="1" applyAlignment="1">
      <alignment/>
    </xf>
    <xf numFmtId="0" fontId="113" fillId="0" borderId="0" xfId="0" applyFont="1" applyFill="1" applyAlignment="1">
      <alignment/>
    </xf>
    <xf numFmtId="181" fontId="110" fillId="0" borderId="0" xfId="54" applyNumberFormat="1" applyFont="1" applyFill="1" applyAlignment="1">
      <alignment/>
    </xf>
    <xf numFmtId="181" fontId="8" fillId="0" borderId="0" xfId="54" applyNumberFormat="1" applyFont="1" applyFill="1" applyAlignment="1">
      <alignment/>
    </xf>
    <xf numFmtId="0" fontId="110" fillId="0" borderId="0" xfId="0" applyFont="1" applyFill="1" applyAlignment="1">
      <alignment/>
    </xf>
    <xf numFmtId="0" fontId="8" fillId="0" borderId="0" xfId="0" applyFont="1" applyFill="1" applyAlignment="1">
      <alignment/>
    </xf>
    <xf numFmtId="14" fontId="3" fillId="33" borderId="0" xfId="143" applyNumberFormat="1" applyFont="1" applyFill="1" applyBorder="1" applyAlignment="1">
      <alignment horizontal="center"/>
      <protection/>
    </xf>
    <xf numFmtId="0" fontId="101" fillId="0" borderId="0" xfId="0" applyFont="1" applyAlignment="1">
      <alignment/>
    </xf>
    <xf numFmtId="43" fontId="102" fillId="0" borderId="0" xfId="54" applyFont="1" applyFill="1" applyAlignment="1">
      <alignment/>
    </xf>
    <xf numFmtId="181" fontId="4" fillId="0" borderId="0" xfId="54" applyNumberFormat="1" applyFont="1" applyFill="1" applyAlignment="1">
      <alignment/>
    </xf>
    <xf numFmtId="181" fontId="102" fillId="0" borderId="0" xfId="54" applyNumberFormat="1" applyFont="1" applyFill="1" applyAlignment="1">
      <alignment horizontal="center"/>
    </xf>
    <xf numFmtId="181" fontId="8" fillId="0" borderId="0" xfId="54" applyNumberFormat="1" applyFont="1" applyFill="1" applyAlignment="1">
      <alignment horizontal="left"/>
    </xf>
    <xf numFmtId="181" fontId="114" fillId="35" borderId="0" xfId="0" applyNumberFormat="1" applyFont="1" applyFill="1" applyAlignment="1">
      <alignment horizontal="center" vertical="center"/>
    </xf>
    <xf numFmtId="0" fontId="115" fillId="36" borderId="0" xfId="0" applyFont="1" applyFill="1" applyAlignment="1">
      <alignment vertical="center"/>
    </xf>
    <xf numFmtId="0" fontId="114" fillId="35" borderId="0" xfId="0" applyFont="1" applyFill="1" applyAlignment="1">
      <alignment horizontal="center" vertical="center"/>
    </xf>
    <xf numFmtId="0" fontId="116" fillId="35" borderId="0" xfId="0" applyFont="1" applyFill="1" applyAlignment="1">
      <alignment/>
    </xf>
    <xf numFmtId="0" fontId="3" fillId="37" borderId="10" xfId="124" applyFont="1" applyFill="1" applyBorder="1">
      <alignment/>
      <protection/>
    </xf>
    <xf numFmtId="183" fontId="3" fillId="37" borderId="10" xfId="92" applyNumberFormat="1" applyFont="1" applyFill="1" applyBorder="1" applyAlignment="1">
      <alignment/>
    </xf>
    <xf numFmtId="180" fontId="11" fillId="37" borderId="10" xfId="92" applyFont="1" applyFill="1" applyBorder="1" applyAlignment="1">
      <alignment/>
    </xf>
    <xf numFmtId="0" fontId="109" fillId="33" borderId="0" xfId="0" applyFont="1" applyFill="1" applyAlignment="1">
      <alignment/>
    </xf>
    <xf numFmtId="0" fontId="117" fillId="0" borderId="0" xfId="0" applyFont="1" applyFill="1" applyAlignment="1">
      <alignment/>
    </xf>
    <xf numFmtId="183" fontId="4" fillId="33" borderId="0" xfId="54" applyNumberFormat="1" applyFont="1" applyFill="1" applyBorder="1" applyAlignment="1">
      <alignment/>
    </xf>
    <xf numFmtId="0" fontId="103" fillId="0" borderId="0" xfId="0" applyFont="1" applyFill="1" applyAlignment="1">
      <alignment/>
    </xf>
    <xf numFmtId="0" fontId="4" fillId="0" borderId="0" xfId="0" applyFont="1" applyFill="1" applyAlignment="1">
      <alignment wrapText="1"/>
    </xf>
    <xf numFmtId="0" fontId="102" fillId="0" borderId="0" xfId="0" applyFont="1" applyAlignment="1">
      <alignment wrapText="1"/>
    </xf>
    <xf numFmtId="183" fontId="116" fillId="35" borderId="0" xfId="54" applyNumberFormat="1" applyFont="1" applyFill="1" applyBorder="1" applyAlignment="1">
      <alignment/>
    </xf>
    <xf numFmtId="0" fontId="104" fillId="38" borderId="0" xfId="0" applyFont="1" applyFill="1" applyAlignment="1">
      <alignment vertical="center"/>
    </xf>
    <xf numFmtId="0" fontId="102" fillId="38" borderId="0" xfId="0" applyFont="1" applyFill="1" applyAlignment="1">
      <alignment/>
    </xf>
    <xf numFmtId="0" fontId="0" fillId="38" borderId="0" xfId="0" applyFill="1" applyAlignment="1">
      <alignment/>
    </xf>
    <xf numFmtId="0" fontId="0" fillId="38" borderId="11" xfId="0" applyFill="1" applyBorder="1" applyAlignment="1">
      <alignment/>
    </xf>
    <xf numFmtId="0" fontId="101" fillId="38" borderId="11" xfId="0" applyFont="1" applyFill="1" applyBorder="1" applyAlignment="1">
      <alignment horizontal="center"/>
    </xf>
    <xf numFmtId="0" fontId="101" fillId="38" borderId="0" xfId="0" applyFont="1" applyFill="1" applyAlignment="1">
      <alignment/>
    </xf>
    <xf numFmtId="0" fontId="101" fillId="0" borderId="11" xfId="0" applyFont="1" applyBorder="1" applyAlignment="1">
      <alignment horizontal="center"/>
    </xf>
    <xf numFmtId="0" fontId="101" fillId="0" borderId="11" xfId="0" applyFont="1" applyBorder="1" applyAlignment="1">
      <alignment horizontal="center" vertical="center"/>
    </xf>
    <xf numFmtId="0" fontId="97" fillId="38" borderId="0" xfId="0" applyFont="1" applyFill="1" applyAlignment="1">
      <alignment/>
    </xf>
    <xf numFmtId="0" fontId="102" fillId="0" borderId="0" xfId="0" applyFont="1" applyAlignment="1">
      <alignment horizontal="left" vertical="top" wrapText="1"/>
    </xf>
    <xf numFmtId="0" fontId="102" fillId="0" borderId="0" xfId="0" applyFont="1" applyAlignment="1">
      <alignment vertical="justify" wrapText="1"/>
    </xf>
    <xf numFmtId="0" fontId="102" fillId="0" borderId="0" xfId="0" applyFont="1" applyFill="1" applyAlignment="1">
      <alignment vertical="justify" wrapText="1"/>
    </xf>
    <xf numFmtId="0" fontId="103" fillId="0" borderId="0" xfId="0" applyFont="1" applyAlignment="1">
      <alignment horizontal="left" vertical="top" wrapText="1"/>
    </xf>
    <xf numFmtId="0" fontId="103" fillId="0" borderId="0" xfId="0" applyFont="1" applyAlignment="1">
      <alignment vertical="top" wrapText="1"/>
    </xf>
    <xf numFmtId="0" fontId="102" fillId="38" borderId="0" xfId="0" applyFont="1" applyFill="1" applyAlignment="1">
      <alignment vertical="justify" wrapText="1"/>
    </xf>
    <xf numFmtId="0" fontId="102" fillId="38" borderId="0" xfId="0" applyFont="1" applyFill="1" applyAlignment="1">
      <alignment horizontal="left" vertical="top" wrapText="1"/>
    </xf>
    <xf numFmtId="0" fontId="102" fillId="38" borderId="0" xfId="0" applyFont="1" applyFill="1" applyAlignment="1">
      <alignment vertical="top" wrapText="1"/>
    </xf>
    <xf numFmtId="0" fontId="103" fillId="38" borderId="0" xfId="0" applyFont="1" applyFill="1" applyAlignment="1">
      <alignment vertical="top" wrapText="1"/>
    </xf>
    <xf numFmtId="0" fontId="103" fillId="38" borderId="0" xfId="0" applyFont="1" applyFill="1" applyAlignment="1">
      <alignment vertical="justify" wrapText="1"/>
    </xf>
    <xf numFmtId="0" fontId="103" fillId="38" borderId="0" xfId="0" applyFont="1" applyFill="1" applyAlignment="1">
      <alignment horizontal="center" vertical="center" wrapText="1"/>
    </xf>
    <xf numFmtId="0" fontId="91" fillId="0" borderId="0" xfId="51" applyAlignment="1">
      <alignment/>
    </xf>
    <xf numFmtId="0" fontId="91" fillId="38" borderId="0" xfId="51" applyFill="1" applyAlignment="1">
      <alignment/>
    </xf>
    <xf numFmtId="0" fontId="115" fillId="33" borderId="0" xfId="0" applyFont="1" applyFill="1" applyAlignment="1">
      <alignment horizontal="left" vertical="center"/>
    </xf>
    <xf numFmtId="0" fontId="97" fillId="0" borderId="0" xfId="0" applyFont="1" applyAlignment="1">
      <alignment/>
    </xf>
    <xf numFmtId="0" fontId="115" fillId="33" borderId="0" xfId="0" applyFont="1" applyFill="1" applyAlignment="1">
      <alignment vertical="center"/>
    </xf>
    <xf numFmtId="0" fontId="91" fillId="33" borderId="0" xfId="51" applyFill="1" applyAlignment="1">
      <alignment/>
    </xf>
    <xf numFmtId="0" fontId="101" fillId="33" borderId="0" xfId="0" applyFont="1" applyFill="1" applyAlignment="1">
      <alignment/>
    </xf>
    <xf numFmtId="0" fontId="104" fillId="38" borderId="0" xfId="0" applyFont="1" applyFill="1" applyBorder="1" applyAlignment="1">
      <alignment/>
    </xf>
    <xf numFmtId="183" fontId="104" fillId="38" borderId="0" xfId="70" applyNumberFormat="1" applyFont="1" applyFill="1" applyBorder="1" applyAlignment="1">
      <alignment/>
    </xf>
    <xf numFmtId="9" fontId="104" fillId="38" borderId="0" xfId="203" applyFont="1" applyFill="1" applyBorder="1" applyAlignment="1">
      <alignment/>
    </xf>
    <xf numFmtId="3" fontId="104" fillId="38" borderId="0" xfId="0" applyNumberFormat="1" applyFont="1" applyFill="1" applyBorder="1" applyAlignment="1">
      <alignment/>
    </xf>
    <xf numFmtId="0" fontId="118" fillId="38" borderId="0" xfId="0" applyFont="1" applyFill="1" applyBorder="1" applyAlignment="1">
      <alignment/>
    </xf>
    <xf numFmtId="41" fontId="104" fillId="38" borderId="14" xfId="55" applyFont="1" applyFill="1" applyBorder="1" applyAlignment="1">
      <alignment/>
    </xf>
    <xf numFmtId="0" fontId="0" fillId="33" borderId="0" xfId="0" applyFill="1" applyBorder="1" applyAlignment="1">
      <alignment/>
    </xf>
    <xf numFmtId="0" fontId="118" fillId="38" borderId="0" xfId="0" applyFont="1" applyFill="1" applyBorder="1" applyAlignment="1">
      <alignment vertical="center" wrapText="1"/>
    </xf>
    <xf numFmtId="0" fontId="0" fillId="36" borderId="0" xfId="0" applyFill="1" applyAlignment="1">
      <alignment/>
    </xf>
    <xf numFmtId="0" fontId="11" fillId="33" borderId="0" xfId="124" applyFont="1" applyFill="1" applyBorder="1">
      <alignment/>
      <protection/>
    </xf>
    <xf numFmtId="0" fontId="11" fillId="38" borderId="0" xfId="124" applyFont="1" applyFill="1" applyBorder="1">
      <alignment/>
      <protection/>
    </xf>
    <xf numFmtId="0" fontId="119" fillId="38" borderId="0" xfId="124" applyFont="1" applyFill="1" applyBorder="1">
      <alignment/>
      <protection/>
    </xf>
    <xf numFmtId="0" fontId="11" fillId="38" borderId="12" xfId="124" applyFont="1" applyFill="1" applyBorder="1">
      <alignment/>
      <protection/>
    </xf>
    <xf numFmtId="183" fontId="3" fillId="38" borderId="13" xfId="92" applyNumberFormat="1" applyFont="1" applyFill="1" applyBorder="1" applyAlignment="1">
      <alignment/>
    </xf>
    <xf numFmtId="183" fontId="11" fillId="38" borderId="0" xfId="124" applyNumberFormat="1" applyFont="1" applyFill="1" applyBorder="1">
      <alignment/>
      <protection/>
    </xf>
    <xf numFmtId="0" fontId="102" fillId="0" borderId="0" xfId="0" applyFont="1" applyFill="1" applyAlignment="1">
      <alignment horizontal="left" vertical="justify" wrapText="1"/>
    </xf>
    <xf numFmtId="0" fontId="120" fillId="0" borderId="12" xfId="0" applyFont="1" applyFill="1" applyBorder="1" applyAlignment="1">
      <alignment horizontal="left" vertical="justify" wrapText="1"/>
    </xf>
    <xf numFmtId="0" fontId="120" fillId="0" borderId="0" xfId="0" applyFont="1" applyFill="1" applyBorder="1" applyAlignment="1">
      <alignment horizontal="left" vertical="justify" wrapText="1"/>
    </xf>
    <xf numFmtId="0" fontId="120" fillId="0" borderId="13" xfId="0" applyFont="1" applyFill="1" applyBorder="1" applyAlignment="1">
      <alignment horizontal="left" vertical="justify" wrapText="1"/>
    </xf>
    <xf numFmtId="0" fontId="120" fillId="0" borderId="0" xfId="0" applyFont="1" applyFill="1" applyAlignment="1">
      <alignment vertical="center"/>
    </xf>
    <xf numFmtId="0" fontId="2" fillId="0" borderId="0" xfId="0" applyFont="1" applyFill="1" applyAlignment="1">
      <alignment horizontal="left" vertical="justify" wrapText="1"/>
    </xf>
    <xf numFmtId="0" fontId="0" fillId="38" borderId="0" xfId="0" applyFill="1" applyBorder="1" applyAlignment="1">
      <alignment/>
    </xf>
    <xf numFmtId="0" fontId="97" fillId="38" borderId="11"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16" fillId="38" borderId="0" xfId="0" applyFont="1" applyFill="1" applyAlignment="1">
      <alignment/>
    </xf>
    <xf numFmtId="0" fontId="16" fillId="0" borderId="0" xfId="0" applyFont="1" applyAlignment="1">
      <alignment/>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6" fillId="38" borderId="17" xfId="0" applyFont="1" applyFill="1" applyBorder="1" applyAlignment="1">
      <alignment vertical="top" wrapText="1"/>
    </xf>
    <xf numFmtId="0" fontId="16" fillId="38" borderId="18" xfId="0" applyFont="1" applyFill="1" applyBorder="1" applyAlignment="1">
      <alignment vertical="top" wrapText="1"/>
    </xf>
    <xf numFmtId="0" fontId="59" fillId="0" borderId="18" xfId="0" applyFont="1" applyBorder="1" applyAlignment="1">
      <alignment vertical="center" wrapText="1"/>
    </xf>
    <xf numFmtId="0" fontId="59" fillId="0" borderId="19" xfId="0" applyFont="1" applyBorder="1" applyAlignment="1">
      <alignment vertical="center" wrapText="1"/>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1" xfId="0" applyFont="1" applyBorder="1" applyAlignment="1">
      <alignment vertical="center" wrapText="1"/>
    </xf>
    <xf numFmtId="0" fontId="59" fillId="0" borderId="22" xfId="0" applyFont="1" applyBorder="1" applyAlignment="1">
      <alignment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4" xfId="0" applyFont="1" applyBorder="1" applyAlignment="1">
      <alignment vertical="center" wrapText="1"/>
    </xf>
    <xf numFmtId="0" fontId="59" fillId="0" borderId="25" xfId="0" applyFont="1" applyBorder="1" applyAlignment="1">
      <alignment vertical="center" wrapText="1"/>
    </xf>
    <xf numFmtId="0" fontId="59" fillId="38" borderId="0" xfId="0" applyFont="1" applyFill="1" applyAlignment="1">
      <alignment/>
    </xf>
    <xf numFmtId="0" fontId="59" fillId="0" borderId="0" xfId="0" applyFont="1" applyAlignment="1">
      <alignment/>
    </xf>
    <xf numFmtId="0" fontId="102" fillId="0" borderId="0" xfId="0" applyFont="1" applyFill="1" applyAlignment="1">
      <alignment horizontal="left" vertical="justify" wrapText="1"/>
    </xf>
    <xf numFmtId="0" fontId="105" fillId="0" borderId="0" xfId="0" applyFont="1" applyFill="1" applyAlignment="1">
      <alignment horizontal="left" vertical="justify" wrapText="1"/>
    </xf>
    <xf numFmtId="0" fontId="17" fillId="0" borderId="11" xfId="0" applyFont="1" applyFill="1" applyBorder="1" applyAlignment="1">
      <alignment horizontal="center" wrapText="1"/>
    </xf>
    <xf numFmtId="0" fontId="0" fillId="38" borderId="10" xfId="0" applyFill="1" applyBorder="1" applyAlignment="1">
      <alignment/>
    </xf>
    <xf numFmtId="0" fontId="105" fillId="35" borderId="0" xfId="0" applyFont="1" applyFill="1" applyAlignment="1">
      <alignment/>
    </xf>
    <xf numFmtId="0" fontId="102" fillId="33" borderId="0" xfId="0" applyFont="1" applyFill="1" applyAlignment="1">
      <alignment horizontal="center" vertical="center"/>
    </xf>
    <xf numFmtId="0" fontId="91" fillId="33" borderId="0" xfId="51" applyFill="1" applyAlignment="1">
      <alignment horizontal="center" vertical="center"/>
    </xf>
    <xf numFmtId="0" fontId="0" fillId="0" borderId="0" xfId="0" applyAlignment="1">
      <alignment/>
    </xf>
    <xf numFmtId="184" fontId="121" fillId="35" borderId="0" xfId="54" applyNumberFormat="1" applyFont="1" applyFill="1" applyAlignment="1">
      <alignment horizontal="center" vertical="center"/>
    </xf>
    <xf numFmtId="0" fontId="121" fillId="33" borderId="0" xfId="0" applyFont="1" applyFill="1" applyBorder="1" applyAlignment="1">
      <alignment horizontal="center" vertical="center"/>
    </xf>
    <xf numFmtId="0" fontId="122" fillId="33" borderId="0" xfId="0" applyFont="1" applyFill="1" applyAlignment="1">
      <alignment horizontal="center" vertical="center"/>
    </xf>
    <xf numFmtId="181" fontId="102" fillId="33" borderId="0" xfId="0" applyNumberFormat="1" applyFont="1" applyFill="1" applyAlignment="1">
      <alignment horizontal="center" vertical="center"/>
    </xf>
    <xf numFmtId="0" fontId="121"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05" fillId="33" borderId="0" xfId="0" applyFont="1" applyFill="1" applyAlignment="1">
      <alignment horizontal="center" vertical="center"/>
    </xf>
    <xf numFmtId="181" fontId="110" fillId="33" borderId="0" xfId="54" applyNumberFormat="1" applyFont="1" applyFill="1" applyAlignment="1">
      <alignment horizontal="center" vertical="center"/>
    </xf>
    <xf numFmtId="181" fontId="8" fillId="0" borderId="0" xfId="54" applyNumberFormat="1" applyFont="1" applyFill="1" applyAlignment="1">
      <alignment horizontal="center" vertical="center"/>
    </xf>
    <xf numFmtId="0" fontId="8" fillId="33" borderId="0" xfId="0" applyFont="1" applyFill="1" applyAlignment="1">
      <alignment horizontal="center" vertical="center"/>
    </xf>
    <xf numFmtId="0" fontId="110" fillId="33" borderId="0" xfId="0" applyFont="1" applyFill="1" applyAlignment="1">
      <alignment horizontal="center" vertical="center"/>
    </xf>
    <xf numFmtId="0" fontId="6" fillId="33" borderId="0" xfId="0" applyFont="1" applyFill="1" applyAlignment="1">
      <alignment horizontal="center" vertical="center"/>
    </xf>
    <xf numFmtId="43" fontId="106" fillId="33" borderId="0" xfId="54" applyFont="1" applyFill="1" applyAlignment="1">
      <alignment horizontal="center" vertical="center"/>
    </xf>
    <xf numFmtId="0" fontId="106" fillId="33" borderId="0" xfId="0" applyFont="1" applyFill="1" applyAlignment="1">
      <alignment horizontal="center" vertical="center"/>
    </xf>
    <xf numFmtId="0" fontId="91" fillId="0" borderId="0" xfId="51" applyAlignment="1">
      <alignment horizontal="center"/>
    </xf>
    <xf numFmtId="43" fontId="102" fillId="33" borderId="0" xfId="54" applyFont="1" applyFill="1" applyAlignment="1">
      <alignment horizontal="center" vertical="center"/>
    </xf>
    <xf numFmtId="181" fontId="102" fillId="33" borderId="0" xfId="54" applyNumberFormat="1" applyFont="1" applyFill="1" applyAlignment="1">
      <alignment horizontal="center" vertical="center"/>
    </xf>
    <xf numFmtId="181" fontId="4" fillId="33" borderId="0" xfId="54" applyNumberFormat="1" applyFont="1" applyFill="1" applyAlignment="1">
      <alignment horizontal="center" vertical="center"/>
    </xf>
    <xf numFmtId="0" fontId="107" fillId="0" borderId="0" xfId="0" applyFont="1" applyAlignment="1">
      <alignment horizontal="center"/>
    </xf>
    <xf numFmtId="0" fontId="11" fillId="0" borderId="26" xfId="0" applyFont="1" applyBorder="1" applyAlignment="1">
      <alignment vertical="center" wrapText="1"/>
    </xf>
    <xf numFmtId="0" fontId="11" fillId="0" borderId="27" xfId="0" applyFont="1" applyBorder="1" applyAlignment="1">
      <alignment vertical="center" wrapText="1"/>
    </xf>
    <xf numFmtId="0" fontId="3" fillId="0" borderId="28" xfId="0" applyFont="1" applyBorder="1" applyAlignment="1">
      <alignment vertical="center" wrapText="1"/>
    </xf>
    <xf numFmtId="0" fontId="0" fillId="33" borderId="0" xfId="0" applyFill="1" applyAlignment="1" quotePrefix="1">
      <alignment/>
    </xf>
    <xf numFmtId="0" fontId="115" fillId="33" borderId="0" xfId="0" applyFont="1" applyFill="1" applyBorder="1" applyAlignment="1">
      <alignment horizontal="left"/>
    </xf>
    <xf numFmtId="0" fontId="105" fillId="0" borderId="12" xfId="0" applyFont="1" applyFill="1" applyBorder="1" applyAlignment="1">
      <alignment horizontal="justify" vertical="justify" wrapText="1"/>
    </xf>
    <xf numFmtId="0" fontId="105" fillId="0" borderId="0" xfId="0" applyFont="1" applyFill="1" applyBorder="1" applyAlignment="1">
      <alignment horizontal="justify" vertical="justify" wrapText="1"/>
    </xf>
    <xf numFmtId="0" fontId="105" fillId="0" borderId="13" xfId="0" applyFont="1" applyFill="1" applyBorder="1" applyAlignment="1">
      <alignment horizontal="justify" vertical="justify" wrapText="1"/>
    </xf>
    <xf numFmtId="0" fontId="102" fillId="0" borderId="12" xfId="0" applyFont="1" applyFill="1" applyBorder="1" applyAlignment="1">
      <alignment horizontal="left" vertical="justify" wrapText="1"/>
    </xf>
    <xf numFmtId="0" fontId="102" fillId="0" borderId="0" xfId="0" applyFont="1" applyFill="1" applyBorder="1" applyAlignment="1">
      <alignment horizontal="left" vertical="justify" wrapText="1"/>
    </xf>
    <xf numFmtId="0" fontId="102" fillId="0" borderId="13" xfId="0" applyFont="1" applyFill="1" applyBorder="1" applyAlignment="1">
      <alignment horizontal="left" vertical="justify" wrapText="1"/>
    </xf>
    <xf numFmtId="0" fontId="123" fillId="0" borderId="12" xfId="0" applyFont="1" applyBorder="1" applyAlignment="1">
      <alignment horizontal="left" vertical="top" wrapText="1"/>
    </xf>
    <xf numFmtId="0" fontId="123" fillId="0" borderId="0" xfId="0" applyFont="1" applyBorder="1" applyAlignment="1">
      <alignment horizontal="left" vertical="top" wrapText="1"/>
    </xf>
    <xf numFmtId="0" fontId="123" fillId="0" borderId="13" xfId="0" applyFont="1" applyBorder="1" applyAlignment="1">
      <alignment horizontal="left" vertical="top" wrapText="1"/>
    </xf>
    <xf numFmtId="0" fontId="4" fillId="0" borderId="12"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3" xfId="0" applyFont="1" applyFill="1" applyBorder="1" applyAlignment="1">
      <alignment horizontal="left" vertical="justify" wrapText="1"/>
    </xf>
    <xf numFmtId="0" fontId="102" fillId="0" borderId="12" xfId="0" applyFont="1" applyFill="1" applyBorder="1" applyAlignment="1">
      <alignment horizontal="justify" vertical="justify" wrapText="1"/>
    </xf>
    <xf numFmtId="0" fontId="102" fillId="0" borderId="0" xfId="0" applyFont="1" applyFill="1" applyBorder="1" applyAlignment="1">
      <alignment horizontal="justify" vertical="justify" wrapText="1"/>
    </xf>
    <xf numFmtId="0" fontId="102" fillId="0" borderId="13" xfId="0" applyFont="1" applyFill="1" applyBorder="1" applyAlignment="1">
      <alignment horizontal="justify" vertical="justify" wrapText="1"/>
    </xf>
    <xf numFmtId="0" fontId="0" fillId="0" borderId="0" xfId="0" applyAlignment="1">
      <alignment/>
    </xf>
    <xf numFmtId="0" fontId="2" fillId="38" borderId="0" xfId="0" applyFont="1" applyFill="1" applyAlignment="1">
      <alignment/>
    </xf>
    <xf numFmtId="0" fontId="102" fillId="33" borderId="10" xfId="0" applyFont="1" applyFill="1" applyBorder="1" applyAlignment="1">
      <alignment/>
    </xf>
    <xf numFmtId="0" fontId="102" fillId="0" borderId="0" xfId="0" applyFont="1" applyAlignment="1">
      <alignment horizontal="left"/>
    </xf>
    <xf numFmtId="0" fontId="2" fillId="33" borderId="0" xfId="136" applyFont="1" applyFill="1" applyBorder="1" applyAlignment="1" quotePrefix="1">
      <alignment/>
      <protection/>
    </xf>
    <xf numFmtId="0" fontId="124" fillId="0" borderId="10" xfId="0" applyFont="1" applyBorder="1" applyAlignment="1">
      <alignment horizontal="center" vertical="center" wrapText="1"/>
    </xf>
    <xf numFmtId="0" fontId="115" fillId="0" borderId="0" xfId="0" applyFont="1" applyFill="1" applyAlignment="1">
      <alignment vertical="center"/>
    </xf>
    <xf numFmtId="0" fontId="115" fillId="38" borderId="0" xfId="0" applyFont="1" applyFill="1" applyBorder="1" applyAlignment="1">
      <alignment vertical="center"/>
    </xf>
    <xf numFmtId="41" fontId="0" fillId="38" borderId="14" xfId="55" applyFont="1" applyFill="1" applyBorder="1" applyAlignment="1">
      <alignment/>
    </xf>
    <xf numFmtId="0" fontId="125" fillId="33" borderId="0" xfId="0" applyFont="1" applyFill="1" applyAlignment="1">
      <alignment/>
    </xf>
    <xf numFmtId="41" fontId="102" fillId="0" borderId="14" xfId="55" applyFont="1" applyBorder="1" applyAlignment="1">
      <alignment vertical="top" wrapText="1"/>
    </xf>
    <xf numFmtId="41" fontId="0" fillId="0" borderId="14" xfId="55" applyFont="1" applyBorder="1" applyAlignment="1">
      <alignment/>
    </xf>
    <xf numFmtId="0" fontId="104" fillId="38" borderId="0" xfId="0" applyFont="1" applyFill="1" applyBorder="1" applyAlignment="1" quotePrefix="1">
      <alignment/>
    </xf>
    <xf numFmtId="0" fontId="86" fillId="0" borderId="0" xfId="0" applyFont="1" applyFill="1" applyAlignment="1">
      <alignment horizontal="center" vertical="center"/>
    </xf>
    <xf numFmtId="0" fontId="0" fillId="0" borderId="0" xfId="0" applyAlignment="1">
      <alignment/>
    </xf>
    <xf numFmtId="0" fontId="102" fillId="0" borderId="0" xfId="0" applyFont="1" applyFill="1" applyAlignment="1">
      <alignment horizontal="left" vertical="justify" wrapText="1"/>
    </xf>
    <xf numFmtId="0" fontId="105" fillId="0" borderId="12" xfId="0" applyFont="1" applyFill="1" applyBorder="1" applyAlignment="1">
      <alignment horizontal="justify" vertical="justify" wrapText="1"/>
    </xf>
    <xf numFmtId="0" fontId="105" fillId="0" borderId="0" xfId="0" applyFont="1" applyFill="1" applyBorder="1" applyAlignment="1">
      <alignment horizontal="justify" vertical="justify" wrapText="1"/>
    </xf>
    <xf numFmtId="0" fontId="105" fillId="0" borderId="13" xfId="0" applyFont="1" applyFill="1" applyBorder="1" applyAlignment="1">
      <alignment horizontal="justify" vertical="justify" wrapText="1"/>
    </xf>
    <xf numFmtId="0" fontId="102" fillId="0" borderId="12" xfId="0" applyFont="1" applyFill="1" applyBorder="1" applyAlignment="1">
      <alignment horizontal="justify" vertical="justify" wrapText="1"/>
    </xf>
    <xf numFmtId="0" fontId="102" fillId="0" borderId="0" xfId="0" applyFont="1" applyFill="1" applyBorder="1" applyAlignment="1">
      <alignment horizontal="justify" vertical="justify" wrapText="1"/>
    </xf>
    <xf numFmtId="0" fontId="102" fillId="0" borderId="13" xfId="0" applyFont="1" applyFill="1" applyBorder="1" applyAlignment="1">
      <alignment horizontal="justify" vertical="justify" wrapText="1"/>
    </xf>
    <xf numFmtId="0" fontId="102" fillId="34" borderId="0" xfId="0" applyFont="1" applyFill="1" applyAlignment="1">
      <alignment horizontal="left"/>
    </xf>
    <xf numFmtId="0" fontId="126" fillId="0" borderId="0" xfId="51"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3" xfId="0" applyFill="1" applyBorder="1" applyAlignment="1">
      <alignment/>
    </xf>
    <xf numFmtId="0" fontId="97" fillId="38" borderId="0" xfId="0" applyFont="1" applyFill="1" applyBorder="1" applyAlignment="1">
      <alignment/>
    </xf>
    <xf numFmtId="0" fontId="101" fillId="38" borderId="12" xfId="0" applyFont="1" applyFill="1" applyBorder="1" applyAlignment="1">
      <alignment/>
    </xf>
    <xf numFmtId="0" fontId="101" fillId="38" borderId="0" xfId="0" applyFont="1" applyFill="1" applyBorder="1" applyAlignment="1">
      <alignment/>
    </xf>
    <xf numFmtId="41" fontId="17" fillId="38" borderId="0" xfId="55" applyFont="1" applyFill="1" applyBorder="1" applyAlignment="1">
      <alignment/>
    </xf>
    <xf numFmtId="0" fontId="127" fillId="38" borderId="0" xfId="0" applyFont="1" applyFill="1" applyBorder="1" applyAlignment="1">
      <alignment/>
    </xf>
    <xf numFmtId="0" fontId="128" fillId="38" borderId="0" xfId="0" applyFont="1" applyFill="1" applyAlignment="1">
      <alignment/>
    </xf>
    <xf numFmtId="0" fontId="129" fillId="0" borderId="0" xfId="0" applyFont="1" applyAlignment="1">
      <alignment horizontal="justify" vertical="center"/>
    </xf>
    <xf numFmtId="0" fontId="115" fillId="35" borderId="0" xfId="0" applyFont="1" applyFill="1" applyAlignment="1">
      <alignment/>
    </xf>
    <xf numFmtId="0" fontId="115" fillId="0" borderId="0" xfId="0" applyFont="1" applyFill="1" applyAlignment="1">
      <alignment/>
    </xf>
    <xf numFmtId="0" fontId="129" fillId="0" borderId="0" xfId="0" applyFont="1" applyAlignment="1">
      <alignment vertical="center"/>
    </xf>
    <xf numFmtId="0" fontId="130" fillId="0" borderId="10" xfId="0" applyFont="1" applyBorder="1" applyAlignment="1">
      <alignment horizontal="justify" vertical="center" wrapText="1"/>
    </xf>
    <xf numFmtId="0" fontId="130" fillId="0" borderId="10" xfId="0" applyFont="1" applyBorder="1" applyAlignment="1">
      <alignment horizontal="center" vertical="center" wrapText="1"/>
    </xf>
    <xf numFmtId="0" fontId="130" fillId="0" borderId="10" xfId="0" applyFont="1" applyBorder="1" applyAlignment="1">
      <alignment horizontal="right" vertical="center" wrapText="1"/>
    </xf>
    <xf numFmtId="0" fontId="131" fillId="35" borderId="10" xfId="0" applyFont="1" applyFill="1" applyBorder="1" applyAlignment="1">
      <alignment horizontal="justify" vertical="center" wrapText="1"/>
    </xf>
    <xf numFmtId="0" fontId="132" fillId="35" borderId="10" xfId="0" applyFont="1" applyFill="1" applyBorder="1" applyAlignment="1">
      <alignment horizontal="right" vertical="center" wrapText="1"/>
    </xf>
    <xf numFmtId="0" fontId="132" fillId="35" borderId="10" xfId="0" applyFont="1" applyFill="1" applyBorder="1" applyAlignment="1">
      <alignment horizontal="center" vertical="center" wrapText="1"/>
    </xf>
    <xf numFmtId="0" fontId="130" fillId="38" borderId="0" xfId="0" applyFont="1" applyFill="1" applyAlignment="1">
      <alignment vertical="center" wrapText="1"/>
    </xf>
    <xf numFmtId="0" fontId="130" fillId="38" borderId="0" xfId="0" applyFont="1" applyFill="1" applyAlignment="1">
      <alignment vertical="center"/>
    </xf>
    <xf numFmtId="0" fontId="16" fillId="38" borderId="0" xfId="0" applyFont="1" applyFill="1" applyAlignment="1">
      <alignment vertical="center" wrapText="1"/>
    </xf>
    <xf numFmtId="0" fontId="59" fillId="33" borderId="0" xfId="0" applyFont="1" applyFill="1" applyAlignment="1">
      <alignment vertical="center" wrapText="1"/>
    </xf>
    <xf numFmtId="0" fontId="0" fillId="0" borderId="0" xfId="0" applyAlignment="1">
      <alignment/>
    </xf>
    <xf numFmtId="0" fontId="125" fillId="33" borderId="0" xfId="0" applyFont="1" applyFill="1" applyAlignment="1">
      <alignment horizontal="center"/>
    </xf>
    <xf numFmtId="0" fontId="0" fillId="38" borderId="29" xfId="0" applyFill="1" applyBorder="1" applyAlignment="1">
      <alignment horizontal="center" vertical="center" wrapText="1"/>
    </xf>
    <xf numFmtId="0" fontId="0" fillId="0" borderId="0" xfId="0" applyAlignment="1">
      <alignment/>
    </xf>
    <xf numFmtId="0" fontId="125" fillId="33" borderId="0" xfId="0" applyFont="1" applyFill="1" applyAlignment="1">
      <alignment horizontal="center"/>
    </xf>
    <xf numFmtId="0" fontId="103" fillId="38" borderId="0" xfId="0" applyFont="1" applyFill="1" applyAlignment="1">
      <alignment horizontal="center" vertical="center" wrapText="1"/>
    </xf>
    <xf numFmtId="0" fontId="101" fillId="38" borderId="0" xfId="0" applyFont="1" applyFill="1" applyAlignment="1">
      <alignment horizontal="center" vertical="center"/>
    </xf>
    <xf numFmtId="0" fontId="4" fillId="33" borderId="0" xfId="0" applyFont="1" applyFill="1" applyBorder="1" applyAlignment="1">
      <alignment vertical="center"/>
    </xf>
    <xf numFmtId="0" fontId="102" fillId="0" borderId="0" xfId="0" applyFont="1" applyBorder="1" applyAlignment="1">
      <alignment/>
    </xf>
    <xf numFmtId="183" fontId="2" fillId="33" borderId="0" xfId="54" applyNumberFormat="1" applyFont="1" applyFill="1" applyBorder="1" applyAlignment="1">
      <alignment/>
    </xf>
    <xf numFmtId="0" fontId="121" fillId="35" borderId="0" xfId="54" applyNumberFormat="1" applyFont="1" applyFill="1" applyAlignment="1">
      <alignment horizontal="center"/>
    </xf>
    <xf numFmtId="0" fontId="0" fillId="38" borderId="29" xfId="0" applyFill="1" applyBorder="1" applyAlignment="1">
      <alignment vertical="center" wrapText="1"/>
    </xf>
    <xf numFmtId="0" fontId="0" fillId="38" borderId="10" xfId="0" applyFill="1" applyBorder="1" applyAlignment="1">
      <alignment vertical="center" wrapText="1"/>
    </xf>
    <xf numFmtId="0" fontId="16" fillId="38" borderId="0" xfId="0" applyFont="1" applyFill="1" applyAlignment="1">
      <alignment horizontal="center"/>
    </xf>
    <xf numFmtId="0" fontId="133" fillId="0" borderId="10" xfId="0" applyFont="1" applyBorder="1" applyAlignment="1">
      <alignment horizontal="center" vertical="center" wrapText="1"/>
    </xf>
    <xf numFmtId="0" fontId="0" fillId="0" borderId="0" xfId="0" applyAlignment="1">
      <alignment horizontal="center"/>
    </xf>
    <xf numFmtId="0" fontId="115" fillId="35" borderId="0" xfId="0" applyFont="1" applyFill="1" applyAlignment="1">
      <alignment vertical="center"/>
    </xf>
    <xf numFmtId="0" fontId="102" fillId="0" borderId="0" xfId="0" applyFont="1" applyAlignment="1">
      <alignment/>
    </xf>
    <xf numFmtId="0" fontId="4" fillId="33" borderId="11" xfId="136" applyFont="1" applyFill="1" applyBorder="1" applyAlignment="1">
      <alignment horizontal="center"/>
      <protection/>
    </xf>
    <xf numFmtId="0" fontId="134" fillId="33" borderId="0" xfId="0" applyFont="1" applyFill="1" applyAlignment="1">
      <alignment/>
    </xf>
    <xf numFmtId="0" fontId="2" fillId="33" borderId="0" xfId="136" applyFont="1" applyFill="1" applyAlignment="1">
      <alignment horizontal="center"/>
      <protection/>
    </xf>
    <xf numFmtId="0" fontId="106" fillId="0" borderId="0" xfId="0" applyFont="1" applyAlignment="1">
      <alignment horizontal="center" vertical="center"/>
    </xf>
    <xf numFmtId="0" fontId="102" fillId="0" borderId="30" xfId="0" applyFont="1" applyBorder="1" applyAlignment="1">
      <alignment/>
    </xf>
    <xf numFmtId="0" fontId="4" fillId="33" borderId="14" xfId="0" applyFont="1" applyFill="1" applyBorder="1" applyAlignment="1">
      <alignment horizontal="center" vertical="center"/>
    </xf>
    <xf numFmtId="0" fontId="4" fillId="33" borderId="12" xfId="0" applyFont="1" applyFill="1" applyBorder="1" applyAlignment="1">
      <alignment vertical="center"/>
    </xf>
    <xf numFmtId="0" fontId="102" fillId="0" borderId="12" xfId="0" applyFont="1" applyBorder="1" applyAlignment="1">
      <alignment/>
    </xf>
    <xf numFmtId="0" fontId="102" fillId="0" borderId="31" xfId="0" applyFont="1" applyBorder="1" applyAlignment="1">
      <alignment/>
    </xf>
    <xf numFmtId="0" fontId="103" fillId="0" borderId="29" xfId="0" applyFont="1" applyBorder="1" applyAlignment="1">
      <alignment horizontal="center" vertical="center"/>
    </xf>
    <xf numFmtId="0" fontId="103" fillId="0" borderId="32" xfId="0" applyFont="1" applyBorder="1" applyAlignment="1">
      <alignment horizontal="center" vertical="center"/>
    </xf>
    <xf numFmtId="0" fontId="91" fillId="0" borderId="32" xfId="51" applyBorder="1" applyAlignment="1">
      <alignment horizontal="center"/>
    </xf>
    <xf numFmtId="0" fontId="91" fillId="0" borderId="32" xfId="51" applyBorder="1" applyAlignment="1" quotePrefix="1">
      <alignment horizontal="center"/>
    </xf>
    <xf numFmtId="0" fontId="126" fillId="0" borderId="32" xfId="51" applyFont="1" applyBorder="1" applyAlignment="1" quotePrefix="1">
      <alignment horizontal="center"/>
    </xf>
    <xf numFmtId="1" fontId="121" fillId="35" borderId="0" xfId="54" applyNumberFormat="1" applyFont="1" applyFill="1" applyAlignment="1">
      <alignment horizontal="center"/>
    </xf>
    <xf numFmtId="181" fontId="91" fillId="0" borderId="0" xfId="51" applyNumberFormat="1" applyAlignment="1">
      <alignment horizontal="center" vertical="center"/>
    </xf>
    <xf numFmtId="0" fontId="135" fillId="35" borderId="0" xfId="0" applyFont="1" applyFill="1" applyAlignment="1">
      <alignment vertical="center"/>
    </xf>
    <xf numFmtId="0" fontId="136" fillId="0" borderId="0" xfId="0" applyFont="1" applyAlignment="1">
      <alignment/>
    </xf>
    <xf numFmtId="0" fontId="134" fillId="38" borderId="0" xfId="0" applyFont="1" applyFill="1" applyAlignment="1">
      <alignment horizontal="left" vertical="top" wrapText="1"/>
    </xf>
    <xf numFmtId="0" fontId="0" fillId="0" borderId="11" xfId="0" applyBorder="1" applyAlignment="1">
      <alignment/>
    </xf>
    <xf numFmtId="0" fontId="0" fillId="0" borderId="11" xfId="0" applyBorder="1" applyAlignment="1">
      <alignment horizontal="center"/>
    </xf>
    <xf numFmtId="0" fontId="0" fillId="38" borderId="0" xfId="0" applyFont="1" applyFill="1" applyAlignment="1">
      <alignment/>
    </xf>
    <xf numFmtId="0" fontId="101" fillId="38" borderId="11" xfId="0" applyFont="1" applyFill="1" applyBorder="1" applyAlignment="1">
      <alignment/>
    </xf>
    <xf numFmtId="0" fontId="0" fillId="0" borderId="0" xfId="0" applyAlignment="1">
      <alignment/>
    </xf>
    <xf numFmtId="0" fontId="127" fillId="38" borderId="0" xfId="0" applyFont="1" applyFill="1" applyAlignment="1">
      <alignment horizontal="center"/>
    </xf>
    <xf numFmtId="0" fontId="115" fillId="35" borderId="30" xfId="0" applyFont="1" applyFill="1" applyBorder="1" applyAlignment="1">
      <alignment vertical="center"/>
    </xf>
    <xf numFmtId="0" fontId="115" fillId="35" borderId="14" xfId="0" applyFont="1" applyFill="1" applyBorder="1" applyAlignment="1">
      <alignment vertical="center"/>
    </xf>
    <xf numFmtId="0" fontId="115" fillId="35" borderId="0" xfId="0" applyFont="1" applyFill="1" applyBorder="1" applyAlignment="1">
      <alignment vertical="center"/>
    </xf>
    <xf numFmtId="0" fontId="103" fillId="0" borderId="0" xfId="0" applyFont="1" applyBorder="1" applyAlignment="1">
      <alignment vertical="center"/>
    </xf>
    <xf numFmtId="0" fontId="0" fillId="0" borderId="0" xfId="0" applyAlignment="1">
      <alignment/>
    </xf>
    <xf numFmtId="0" fontId="115" fillId="35" borderId="0" xfId="0" applyFont="1" applyFill="1" applyAlignment="1">
      <alignment horizontal="center" vertical="center" wrapText="1"/>
    </xf>
    <xf numFmtId="0" fontId="115" fillId="35" borderId="0" xfId="0" applyFont="1" applyFill="1" applyBorder="1" applyAlignment="1">
      <alignment horizontal="left" vertical="center"/>
    </xf>
    <xf numFmtId="0" fontId="130" fillId="0" borderId="10" xfId="0" applyFont="1" applyBorder="1" applyAlignment="1">
      <alignment horizontal="justify" vertical="center" wrapText="1"/>
    </xf>
    <xf numFmtId="0" fontId="136" fillId="33" borderId="0" xfId="0" applyFont="1" applyFill="1" applyAlignment="1">
      <alignment/>
    </xf>
    <xf numFmtId="0" fontId="136" fillId="0" borderId="0" xfId="0" applyFont="1" applyBorder="1" applyAlignment="1">
      <alignment/>
    </xf>
    <xf numFmtId="3" fontId="102" fillId="0" borderId="0" xfId="55" applyNumberFormat="1" applyFont="1" applyFill="1" applyAlignment="1">
      <alignment horizontal="center"/>
    </xf>
    <xf numFmtId="3" fontId="102" fillId="0" borderId="0" xfId="54" applyNumberFormat="1" applyFont="1" applyFill="1" applyAlignment="1">
      <alignment horizontal="center"/>
    </xf>
    <xf numFmtId="3" fontId="102" fillId="0" borderId="0" xfId="0" applyNumberFormat="1" applyFont="1" applyFill="1" applyAlignment="1">
      <alignment horizontal="center"/>
    </xf>
    <xf numFmtId="3" fontId="4" fillId="0" borderId="0" xfId="0" applyNumberFormat="1" applyFont="1" applyFill="1" applyAlignment="1">
      <alignment horizontal="center"/>
    </xf>
    <xf numFmtId="3" fontId="103" fillId="0" borderId="0" xfId="54" applyNumberFormat="1" applyFont="1" applyFill="1" applyAlignment="1">
      <alignment horizontal="center"/>
    </xf>
    <xf numFmtId="3" fontId="4" fillId="0" borderId="0" xfId="54" applyNumberFormat="1" applyFont="1" applyFill="1" applyAlignment="1">
      <alignment horizontal="center"/>
    </xf>
    <xf numFmtId="0" fontId="16"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4" fillId="0" borderId="33" xfId="0" applyFont="1" applyBorder="1" applyAlignment="1">
      <alignment vertical="center" wrapText="1"/>
    </xf>
    <xf numFmtId="9" fontId="123" fillId="38" borderId="0" xfId="203" applyFont="1" applyFill="1" applyBorder="1" applyAlignment="1">
      <alignment/>
    </xf>
    <xf numFmtId="183" fontId="104" fillId="38" borderId="0" xfId="70" applyNumberFormat="1" applyFont="1" applyFill="1" applyBorder="1" applyAlignment="1">
      <alignment horizontal="center"/>
    </xf>
    <xf numFmtId="0" fontId="123" fillId="38" borderId="0" xfId="0" applyFont="1" applyFill="1" applyBorder="1" applyAlignment="1">
      <alignment/>
    </xf>
    <xf numFmtId="0" fontId="137" fillId="38" borderId="0" xfId="0" applyFont="1" applyFill="1" applyBorder="1" applyAlignment="1">
      <alignment/>
    </xf>
    <xf numFmtId="0" fontId="97" fillId="38" borderId="0" xfId="0" applyFont="1" applyFill="1" applyAlignment="1">
      <alignment wrapText="1"/>
    </xf>
    <xf numFmtId="0" fontId="59" fillId="38" borderId="0" xfId="0" applyFont="1" applyFill="1" applyAlignment="1">
      <alignment wrapText="1"/>
    </xf>
    <xf numFmtId="3" fontId="16" fillId="38" borderId="0" xfId="0" applyNumberFormat="1" applyFont="1" applyFill="1" applyAlignment="1">
      <alignment horizontal="center"/>
    </xf>
    <xf numFmtId="0" fontId="17" fillId="38" borderId="0" xfId="0" applyFont="1" applyFill="1" applyAlignment="1">
      <alignment wrapText="1"/>
    </xf>
    <xf numFmtId="0" fontId="9" fillId="0" borderId="0" xfId="0" applyFont="1" applyAlignment="1">
      <alignment/>
    </xf>
    <xf numFmtId="0" fontId="138" fillId="0" borderId="0" xfId="0" applyFont="1" applyAlignment="1">
      <alignment/>
    </xf>
    <xf numFmtId="0" fontId="102" fillId="0" borderId="0" xfId="0" applyFont="1" applyFill="1" applyBorder="1" applyAlignment="1">
      <alignment/>
    </xf>
    <xf numFmtId="0" fontId="103" fillId="33" borderId="0" xfId="0" applyFont="1" applyFill="1" applyBorder="1" applyAlignment="1">
      <alignment vertical="center"/>
    </xf>
    <xf numFmtId="0" fontId="115" fillId="0" borderId="0" xfId="0" applyFont="1" applyFill="1" applyBorder="1" applyAlignment="1">
      <alignment vertical="center"/>
    </xf>
    <xf numFmtId="0" fontId="115" fillId="35" borderId="10" xfId="0" applyFont="1" applyFill="1" applyBorder="1" applyAlignment="1">
      <alignment horizontal="center" vertical="center"/>
    </xf>
    <xf numFmtId="0" fontId="0" fillId="0" borderId="0" xfId="0" applyAlignment="1">
      <alignment/>
    </xf>
    <xf numFmtId="0" fontId="115" fillId="35" borderId="11" xfId="136" applyNumberFormat="1" applyFont="1" applyFill="1" applyBorder="1" applyAlignment="1" quotePrefix="1">
      <alignment horizontal="center"/>
      <protection/>
    </xf>
    <xf numFmtId="0" fontId="115" fillId="35" borderId="0" xfId="0" applyFont="1" applyFill="1" applyBorder="1" applyAlignment="1">
      <alignment horizontal="center" vertical="center"/>
    </xf>
    <xf numFmtId="0" fontId="127" fillId="33" borderId="0" xfId="0" applyFont="1" applyFill="1" applyAlignment="1">
      <alignment/>
    </xf>
    <xf numFmtId="0" fontId="86" fillId="35" borderId="0" xfId="0" applyFont="1" applyFill="1" applyAlignment="1">
      <alignment horizontal="center"/>
    </xf>
    <xf numFmtId="0" fontId="86" fillId="35" borderId="0" xfId="0" applyFont="1" applyFill="1" applyAlignment="1">
      <alignment horizontal="center" vertical="center"/>
    </xf>
    <xf numFmtId="0" fontId="86" fillId="35" borderId="0" xfId="0" applyFont="1" applyFill="1" applyAlignment="1">
      <alignment vertical="center"/>
    </xf>
    <xf numFmtId="0" fontId="127" fillId="38" borderId="34" xfId="0" applyFont="1" applyFill="1" applyBorder="1" applyAlignment="1">
      <alignment/>
    </xf>
    <xf numFmtId="0" fontId="127" fillId="38" borderId="35" xfId="0" applyFont="1" applyFill="1" applyBorder="1" applyAlignment="1">
      <alignment/>
    </xf>
    <xf numFmtId="0" fontId="115" fillId="35" borderId="11" xfId="136" applyNumberFormat="1" applyFont="1" applyFill="1" applyBorder="1" applyAlignment="1" quotePrefix="1">
      <alignment horizontal="right"/>
      <protection/>
    </xf>
    <xf numFmtId="0" fontId="139" fillId="39" borderId="36" xfId="124" applyFont="1" applyFill="1" applyBorder="1" applyAlignment="1">
      <alignment vertical="center"/>
      <protection/>
    </xf>
    <xf numFmtId="0" fontId="11" fillId="39" borderId="36" xfId="124" applyFont="1" applyFill="1" applyBorder="1" applyAlignment="1">
      <alignment vertical="center"/>
      <protection/>
    </xf>
    <xf numFmtId="0" fontId="139" fillId="40" borderId="37" xfId="124" applyFont="1" applyFill="1" applyBorder="1" applyAlignment="1">
      <alignment horizontal="center" vertical="center" wrapText="1"/>
      <protection/>
    </xf>
    <xf numFmtId="0" fontId="139" fillId="40" borderId="38" xfId="124" applyFont="1" applyFill="1" applyBorder="1" applyAlignment="1">
      <alignment horizontal="center" vertical="center" wrapText="1"/>
      <protection/>
    </xf>
    <xf numFmtId="0" fontId="139" fillId="40" borderId="39" xfId="124" applyFont="1" applyFill="1" applyBorder="1" applyAlignment="1">
      <alignment horizontal="center" vertical="center"/>
      <protection/>
    </xf>
    <xf numFmtId="0" fontId="139" fillId="40" borderId="40" xfId="124" applyFont="1" applyFill="1" applyBorder="1" applyAlignment="1">
      <alignment vertical="center"/>
      <protection/>
    </xf>
    <xf numFmtId="0" fontId="139" fillId="40" borderId="40" xfId="124" applyFont="1" applyFill="1" applyBorder="1" applyAlignment="1">
      <alignment vertical="center" wrapText="1"/>
      <protection/>
    </xf>
    <xf numFmtId="0" fontId="139" fillId="40" borderId="41" xfId="124" applyFont="1" applyFill="1" applyBorder="1" applyAlignment="1">
      <alignment horizontal="center" vertical="center" wrapText="1"/>
      <protection/>
    </xf>
    <xf numFmtId="0" fontId="115" fillId="35" borderId="42" xfId="136" applyNumberFormat="1" applyFont="1" applyFill="1" applyBorder="1" applyAlignment="1" quotePrefix="1">
      <alignment horizontal="center"/>
      <protection/>
    </xf>
    <xf numFmtId="0" fontId="115" fillId="35" borderId="43" xfId="136" applyNumberFormat="1" applyFont="1" applyFill="1" applyBorder="1" applyAlignment="1" quotePrefix="1">
      <alignment horizontal="center"/>
      <protection/>
    </xf>
    <xf numFmtId="0" fontId="115" fillId="35" borderId="11" xfId="136" applyFont="1" applyFill="1" applyBorder="1" applyAlignment="1">
      <alignment horizontal="center"/>
      <protection/>
    </xf>
    <xf numFmtId="0" fontId="86" fillId="35" borderId="11" xfId="0" applyFont="1" applyFill="1" applyBorder="1" applyAlignment="1">
      <alignment horizontal="center" vertical="center"/>
    </xf>
    <xf numFmtId="0" fontId="86" fillId="35" borderId="0" xfId="0" applyFont="1" applyFill="1" applyAlignment="1">
      <alignment/>
    </xf>
    <xf numFmtId="0" fontId="115" fillId="0" borderId="0" xfId="0" applyFont="1" applyFill="1" applyAlignment="1">
      <alignment vertical="center" wrapText="1"/>
    </xf>
    <xf numFmtId="0" fontId="140" fillId="35" borderId="44" xfId="0" applyFont="1" applyFill="1" applyBorder="1" applyAlignment="1">
      <alignment horizontal="center" vertical="center" wrapText="1"/>
    </xf>
    <xf numFmtId="0" fontId="140" fillId="35" borderId="45" xfId="0" applyFont="1" applyFill="1" applyBorder="1" applyAlignment="1">
      <alignment horizontal="center" vertical="center" wrapText="1"/>
    </xf>
    <xf numFmtId="0" fontId="140" fillId="35" borderId="46" xfId="0" applyFont="1" applyFill="1" applyBorder="1" applyAlignment="1">
      <alignment vertical="center" wrapText="1"/>
    </xf>
    <xf numFmtId="0" fontId="86" fillId="35" borderId="47" xfId="0" applyFont="1" applyFill="1" applyBorder="1" applyAlignment="1">
      <alignment/>
    </xf>
    <xf numFmtId="0" fontId="118" fillId="38" borderId="0" xfId="0" applyFont="1" applyFill="1" applyBorder="1" applyAlignment="1">
      <alignment horizontal="center"/>
    </xf>
    <xf numFmtId="0" fontId="115" fillId="35" borderId="0" xfId="0" applyFont="1" applyFill="1" applyBorder="1" applyAlignment="1">
      <alignment/>
    </xf>
    <xf numFmtId="9" fontId="137" fillId="38" borderId="0" xfId="203" applyFont="1" applyFill="1" applyBorder="1" applyAlignment="1">
      <alignment/>
    </xf>
    <xf numFmtId="0" fontId="16" fillId="38" borderId="48" xfId="0" applyFont="1" applyFill="1" applyBorder="1" applyAlignment="1">
      <alignment/>
    </xf>
    <xf numFmtId="0" fontId="4" fillId="0" borderId="0" xfId="0" applyFont="1" applyFill="1" applyAlignment="1">
      <alignment/>
    </xf>
    <xf numFmtId="0" fontId="135" fillId="35" borderId="0" xfId="0" applyFont="1" applyFill="1" applyAlignment="1">
      <alignment/>
    </xf>
    <xf numFmtId="183" fontId="135" fillId="35" borderId="0" xfId="54" applyNumberFormat="1" applyFont="1" applyFill="1" applyBorder="1" applyAlignment="1">
      <alignment/>
    </xf>
    <xf numFmtId="0" fontId="102" fillId="0" borderId="0" xfId="0" applyFont="1" applyFill="1" applyAlignment="1">
      <alignment horizontal="center"/>
    </xf>
    <xf numFmtId="0" fontId="91" fillId="0" borderId="0" xfId="51" applyAlignment="1">
      <alignment horizontal="right"/>
    </xf>
    <xf numFmtId="0" fontId="102" fillId="0" borderId="0" xfId="0" applyFont="1" applyAlignment="1">
      <alignment horizontal="justify" vertical="center"/>
    </xf>
    <xf numFmtId="0" fontId="0" fillId="41" borderId="0" xfId="0" applyFont="1" applyFill="1" applyBorder="1" applyAlignment="1">
      <alignment/>
    </xf>
    <xf numFmtId="0" fontId="0" fillId="41" borderId="32" xfId="0" applyFont="1" applyFill="1" applyBorder="1" applyAlignment="1">
      <alignment/>
    </xf>
    <xf numFmtId="0" fontId="0" fillId="41" borderId="10" xfId="0" applyFont="1" applyFill="1" applyBorder="1" applyAlignment="1">
      <alignment horizontal="center"/>
    </xf>
    <xf numFmtId="0" fontId="141" fillId="41" borderId="10" xfId="0" applyFont="1" applyFill="1" applyBorder="1" applyAlignment="1">
      <alignment/>
    </xf>
    <xf numFmtId="0" fontId="0" fillId="41" borderId="10" xfId="0" applyFont="1" applyFill="1" applyBorder="1" applyAlignment="1">
      <alignment/>
    </xf>
    <xf numFmtId="0" fontId="16" fillId="41" borderId="0" xfId="0" applyFont="1" applyFill="1" applyBorder="1" applyAlignment="1">
      <alignment/>
    </xf>
    <xf numFmtId="0" fontId="17" fillId="41" borderId="49" xfId="0" applyFont="1" applyFill="1" applyBorder="1" applyAlignment="1">
      <alignment/>
    </xf>
    <xf numFmtId="0" fontId="17" fillId="41" borderId="10" xfId="0" applyFont="1" applyFill="1" applyBorder="1" applyAlignment="1">
      <alignment/>
    </xf>
    <xf numFmtId="0" fontId="16" fillId="41" borderId="10" xfId="0" applyFont="1" applyFill="1" applyBorder="1" applyAlignment="1">
      <alignment/>
    </xf>
    <xf numFmtId="0" fontId="125" fillId="41" borderId="0" xfId="0" applyFont="1" applyFill="1" applyBorder="1" applyAlignment="1">
      <alignment/>
    </xf>
    <xf numFmtId="0" fontId="142" fillId="42" borderId="0" xfId="0" applyFont="1" applyFill="1" applyBorder="1" applyAlignment="1">
      <alignment/>
    </xf>
    <xf numFmtId="0" fontId="142" fillId="39" borderId="0" xfId="0" applyFont="1" applyFill="1" applyBorder="1" applyAlignment="1">
      <alignment/>
    </xf>
    <xf numFmtId="0" fontId="91" fillId="0" borderId="0" xfId="51" applyAlignment="1">
      <alignment horizontal="center" vertical="center"/>
    </xf>
    <xf numFmtId="0" fontId="91" fillId="0" borderId="49" xfId="51" applyBorder="1" applyAlignment="1">
      <alignment horizontal="center" vertical="center"/>
    </xf>
    <xf numFmtId="0" fontId="107" fillId="0" borderId="0" xfId="0" applyFont="1" applyFill="1" applyAlignment="1">
      <alignment/>
    </xf>
    <xf numFmtId="14" fontId="108" fillId="36" borderId="0" xfId="0" applyNumberFormat="1" applyFont="1" applyFill="1" applyAlignment="1">
      <alignment/>
    </xf>
    <xf numFmtId="0" fontId="103" fillId="0" borderId="0" xfId="0" applyFont="1" applyAlignment="1">
      <alignment horizontal="right"/>
    </xf>
    <xf numFmtId="0" fontId="102" fillId="0" borderId="11" xfId="0" applyFont="1" applyBorder="1" applyAlignment="1">
      <alignment/>
    </xf>
    <xf numFmtId="0" fontId="0" fillId="38" borderId="0" xfId="0" applyFill="1" applyAlignment="1">
      <alignment horizontal="center"/>
    </xf>
    <xf numFmtId="0" fontId="125" fillId="33" borderId="0" xfId="0" applyFont="1" applyFill="1" applyAlignment="1">
      <alignment horizontal="center"/>
    </xf>
    <xf numFmtId="0" fontId="108" fillId="36" borderId="0" xfId="0" applyFont="1" applyFill="1" applyAlignment="1">
      <alignment horizontal="center"/>
    </xf>
    <xf numFmtId="0" fontId="0" fillId="0" borderId="0" xfId="0" applyAlignment="1">
      <alignment/>
    </xf>
    <xf numFmtId="0" fontId="107" fillId="0" borderId="0" xfId="0" applyFont="1" applyAlignment="1">
      <alignment/>
    </xf>
    <xf numFmtId="0" fontId="107" fillId="0" borderId="0" xfId="0" applyFont="1" applyBorder="1" applyAlignment="1">
      <alignment/>
    </xf>
    <xf numFmtId="3" fontId="0" fillId="0" borderId="0" xfId="0" applyNumberFormat="1" applyAlignment="1">
      <alignment/>
    </xf>
    <xf numFmtId="3" fontId="107" fillId="0" borderId="0" xfId="0" applyNumberFormat="1" applyFont="1" applyBorder="1" applyAlignment="1">
      <alignment horizontal="center" vertical="center"/>
    </xf>
    <xf numFmtId="3" fontId="102" fillId="33" borderId="10" xfId="0" applyNumberFormat="1" applyFont="1" applyFill="1" applyBorder="1" applyAlignment="1">
      <alignment horizontal="center"/>
    </xf>
    <xf numFmtId="3" fontId="103" fillId="33" borderId="10" xfId="0" applyNumberFormat="1" applyFont="1" applyFill="1" applyBorder="1" applyAlignment="1">
      <alignment horizontal="center"/>
    </xf>
    <xf numFmtId="3" fontId="0" fillId="0" borderId="0" xfId="0" applyNumberFormat="1" applyAlignment="1">
      <alignment horizontal="center"/>
    </xf>
    <xf numFmtId="3" fontId="102" fillId="33" borderId="0" xfId="0" applyNumberFormat="1" applyFont="1" applyFill="1" applyAlignment="1">
      <alignment horizontal="center"/>
    </xf>
    <xf numFmtId="3" fontId="2" fillId="33" borderId="0" xfId="136" applyNumberFormat="1" applyFont="1" applyFill="1" applyBorder="1" applyAlignment="1" quotePrefix="1">
      <alignment horizontal="center"/>
      <protection/>
    </xf>
    <xf numFmtId="3" fontId="4" fillId="33" borderId="50" xfId="54" applyNumberFormat="1" applyFont="1" applyFill="1" applyBorder="1" applyAlignment="1">
      <alignment horizontal="center"/>
    </xf>
    <xf numFmtId="3" fontId="2" fillId="33" borderId="0" xfId="63" applyNumberFormat="1" applyFont="1" applyFill="1" applyBorder="1" applyAlignment="1">
      <alignment horizontal="center"/>
    </xf>
    <xf numFmtId="3" fontId="2" fillId="33" borderId="0" xfId="54" applyNumberFormat="1" applyFont="1" applyFill="1" applyBorder="1" applyAlignment="1">
      <alignment horizontal="center"/>
    </xf>
    <xf numFmtId="186" fontId="4" fillId="33" borderId="0" xfId="85" applyNumberFormat="1" applyFont="1" applyFill="1" applyBorder="1" applyAlignment="1">
      <alignment horizontal="center"/>
    </xf>
    <xf numFmtId="0" fontId="20" fillId="0" borderId="10" xfId="200" applyFont="1" applyBorder="1">
      <alignment/>
      <protection/>
    </xf>
    <xf numFmtId="3" fontId="102" fillId="38" borderId="0" xfId="0" applyNumberFormat="1" applyFont="1" applyFill="1" applyAlignment="1">
      <alignment horizontal="center" vertical="top" wrapText="1"/>
    </xf>
    <xf numFmtId="3" fontId="0" fillId="38" borderId="0" xfId="0" applyNumberFormat="1" applyFill="1" applyAlignment="1">
      <alignment horizontal="center"/>
    </xf>
    <xf numFmtId="186" fontId="0" fillId="38" borderId="14" xfId="55" applyNumberFormat="1" applyFont="1" applyFill="1" applyBorder="1" applyAlignment="1">
      <alignment horizontal="center"/>
    </xf>
    <xf numFmtId="3" fontId="0" fillId="38" borderId="0" xfId="0" applyNumberFormat="1" applyFill="1" applyAlignment="1">
      <alignment/>
    </xf>
    <xf numFmtId="3" fontId="2" fillId="33" borderId="0" xfId="54" applyNumberFormat="1" applyFont="1" applyFill="1" applyAlignment="1">
      <alignment horizontal="center"/>
    </xf>
    <xf numFmtId="3" fontId="102" fillId="33" borderId="0" xfId="55" applyNumberFormat="1" applyFont="1" applyFill="1" applyAlignment="1">
      <alignment horizontal="center"/>
    </xf>
    <xf numFmtId="3" fontId="103" fillId="33" borderId="50" xfId="0" applyNumberFormat="1" applyFont="1" applyFill="1" applyBorder="1" applyAlignment="1">
      <alignment horizontal="center"/>
    </xf>
    <xf numFmtId="3" fontId="4" fillId="33" borderId="50" xfId="137" applyNumberFormat="1" applyFont="1" applyFill="1" applyBorder="1" applyAlignment="1">
      <alignment horizontal="center"/>
      <protection/>
    </xf>
    <xf numFmtId="3" fontId="0" fillId="38" borderId="14" xfId="55" applyNumberFormat="1" applyFont="1" applyFill="1" applyBorder="1" applyAlignment="1">
      <alignment horizontal="center"/>
    </xf>
    <xf numFmtId="14" fontId="0" fillId="0" borderId="0" xfId="0" applyNumberFormat="1" applyAlignment="1">
      <alignment horizontal="center"/>
    </xf>
    <xf numFmtId="14" fontId="0" fillId="0" borderId="0" xfId="0" applyNumberFormat="1" applyFont="1" applyBorder="1" applyAlignment="1">
      <alignment horizontal="center" vertical="center"/>
    </xf>
    <xf numFmtId="14" fontId="0" fillId="0" borderId="0" xfId="0" applyNumberFormat="1" applyFont="1" applyAlignment="1">
      <alignment horizontal="center"/>
    </xf>
    <xf numFmtId="0" fontId="135" fillId="35" borderId="0" xfId="0" applyFont="1" applyFill="1" applyAlignment="1">
      <alignment horizontal="center" vertical="center"/>
    </xf>
    <xf numFmtId="3" fontId="0" fillId="0" borderId="0" xfId="0" applyNumberFormat="1" applyFont="1" applyBorder="1" applyAlignment="1">
      <alignment horizontal="center"/>
    </xf>
    <xf numFmtId="3" fontId="0" fillId="0" borderId="0" xfId="0" applyNumberFormat="1" applyFont="1" applyAlignment="1">
      <alignment horizontal="center"/>
    </xf>
    <xf numFmtId="3" fontId="101" fillId="0" borderId="0" xfId="0" applyNumberFormat="1" applyFont="1" applyAlignment="1">
      <alignment horizontal="center"/>
    </xf>
    <xf numFmtId="14" fontId="0" fillId="0" borderId="0" xfId="0" applyNumberFormat="1" applyAlignment="1" quotePrefix="1">
      <alignment horizontal="center"/>
    </xf>
    <xf numFmtId="14" fontId="0" fillId="0" borderId="0" xfId="0" applyNumberFormat="1" applyFont="1" applyFill="1" applyBorder="1" applyAlignment="1">
      <alignment horizontal="center" vertical="center"/>
    </xf>
    <xf numFmtId="181" fontId="106" fillId="0" borderId="0" xfId="0" applyNumberFormat="1" applyFont="1" applyFill="1" applyAlignment="1">
      <alignment/>
    </xf>
    <xf numFmtId="3" fontId="3" fillId="38" borderId="32" xfId="92" applyNumberFormat="1" applyFont="1" applyFill="1" applyBorder="1" applyAlignment="1">
      <alignment horizontal="center"/>
    </xf>
    <xf numFmtId="3" fontId="11" fillId="38" borderId="13" xfId="92" applyNumberFormat="1" applyFont="1" applyFill="1" applyBorder="1" applyAlignment="1">
      <alignment/>
    </xf>
    <xf numFmtId="3" fontId="11" fillId="38" borderId="32" xfId="92" applyNumberFormat="1" applyFont="1" applyFill="1" applyBorder="1" applyAlignment="1">
      <alignment horizontal="center"/>
    </xf>
    <xf numFmtId="3" fontId="11" fillId="38" borderId="12" xfId="92" applyNumberFormat="1" applyFont="1" applyFill="1" applyBorder="1" applyAlignment="1">
      <alignment horizontal="center"/>
    </xf>
    <xf numFmtId="186" fontId="9" fillId="33" borderId="50" xfId="75" applyNumberFormat="1" applyFont="1" applyFill="1" applyBorder="1" applyAlignment="1">
      <alignment horizontal="center"/>
    </xf>
    <xf numFmtId="3" fontId="102" fillId="0" borderId="0" xfId="0" applyNumberFormat="1" applyFont="1" applyFill="1" applyBorder="1" applyAlignment="1">
      <alignment/>
    </xf>
    <xf numFmtId="3" fontId="102"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14" fontId="102" fillId="0" borderId="0" xfId="0" applyNumberFormat="1" applyFont="1" applyFill="1" applyBorder="1" applyAlignment="1">
      <alignment horizontal="right"/>
    </xf>
    <xf numFmtId="14" fontId="0" fillId="0" borderId="0" xfId="0" applyNumberFormat="1" applyFill="1" applyAlignment="1">
      <alignment horizontal="center"/>
    </xf>
    <xf numFmtId="0" fontId="0" fillId="0" borderId="0" xfId="0" applyFont="1" applyAlignment="1">
      <alignment/>
    </xf>
    <xf numFmtId="3" fontId="0" fillId="0" borderId="11" xfId="0" applyNumberFormat="1" applyFont="1" applyBorder="1" applyAlignment="1">
      <alignment horizontal="center"/>
    </xf>
    <xf numFmtId="3" fontId="0" fillId="0" borderId="0" xfId="0" applyNumberFormat="1" applyFill="1" applyAlignment="1">
      <alignment horizontal="center"/>
    </xf>
    <xf numFmtId="3" fontId="0" fillId="0" borderId="0" xfId="0" applyNumberFormat="1" applyFill="1" applyBorder="1" applyAlignment="1">
      <alignment/>
    </xf>
    <xf numFmtId="3" fontId="4" fillId="0" borderId="0" xfId="0" applyNumberFormat="1" applyFont="1" applyFill="1" applyAlignment="1">
      <alignment/>
    </xf>
    <xf numFmtId="3" fontId="103" fillId="0" borderId="0" xfId="0" applyNumberFormat="1" applyFont="1" applyFill="1" applyBorder="1" applyAlignment="1">
      <alignment/>
    </xf>
    <xf numFmtId="3" fontId="125" fillId="33" borderId="0" xfId="0" applyNumberFormat="1" applyFont="1" applyFill="1" applyAlignment="1">
      <alignment horizontal="center"/>
    </xf>
    <xf numFmtId="3" fontId="4" fillId="33" borderId="0" xfId="136" applyNumberFormat="1" applyFont="1" applyFill="1" applyAlignment="1" quotePrefix="1">
      <alignment horizontal="center"/>
      <protection/>
    </xf>
    <xf numFmtId="3" fontId="0" fillId="0" borderId="0" xfId="0" applyNumberFormat="1" applyBorder="1" applyAlignment="1">
      <alignment horizontal="center"/>
    </xf>
    <xf numFmtId="3" fontId="2" fillId="33" borderId="50" xfId="54" applyNumberFormat="1" applyFont="1" applyFill="1" applyBorder="1" applyAlignment="1">
      <alignment horizontal="center"/>
    </xf>
    <xf numFmtId="3" fontId="0" fillId="0" borderId="11" xfId="0" applyNumberFormat="1" applyBorder="1" applyAlignment="1">
      <alignment horizontal="center"/>
    </xf>
    <xf numFmtId="3" fontId="0" fillId="38" borderId="11" xfId="0" applyNumberFormat="1" applyFont="1" applyFill="1" applyBorder="1" applyAlignment="1">
      <alignment/>
    </xf>
    <xf numFmtId="3" fontId="0" fillId="33" borderId="0" xfId="0" applyNumberFormat="1" applyFill="1" applyAlignment="1">
      <alignment/>
    </xf>
    <xf numFmtId="3" fontId="0" fillId="33" borderId="0" xfId="0" applyNumberFormat="1" applyFill="1" applyAlignment="1">
      <alignment horizontal="center"/>
    </xf>
    <xf numFmtId="186" fontId="0" fillId="33" borderId="14" xfId="55" applyNumberFormat="1" applyFont="1" applyFill="1" applyBorder="1" applyAlignment="1">
      <alignment horizontal="center"/>
    </xf>
    <xf numFmtId="3" fontId="106" fillId="0" borderId="0" xfId="0" applyNumberFormat="1" applyFont="1" applyFill="1" applyAlignment="1">
      <alignment/>
    </xf>
    <xf numFmtId="3" fontId="11" fillId="0" borderId="51" xfId="0" applyNumberFormat="1" applyFont="1" applyBorder="1" applyAlignment="1">
      <alignment horizontal="center" vertical="center" wrapText="1"/>
    </xf>
    <xf numFmtId="3" fontId="11" fillId="0" borderId="52" xfId="0" applyNumberFormat="1" applyFont="1" applyBorder="1" applyAlignment="1">
      <alignment horizontal="center" vertical="center" wrapText="1"/>
    </xf>
    <xf numFmtId="3" fontId="11" fillId="0" borderId="53" xfId="0" applyNumberFormat="1" applyFont="1" applyBorder="1" applyAlignment="1">
      <alignment horizontal="center" vertical="center" wrapText="1"/>
    </xf>
    <xf numFmtId="0" fontId="0" fillId="0" borderId="0" xfId="0" applyFill="1" applyAlignment="1" quotePrefix="1">
      <alignment/>
    </xf>
    <xf numFmtId="3" fontId="86" fillId="0" borderId="0" xfId="0" applyNumberFormat="1" applyFont="1" applyFill="1" applyAlignment="1">
      <alignment horizontal="center" vertical="center"/>
    </xf>
    <xf numFmtId="3" fontId="0" fillId="33" borderId="14" xfId="0" applyNumberFormat="1" applyFill="1" applyBorder="1" applyAlignment="1">
      <alignment horizontal="center"/>
    </xf>
    <xf numFmtId="3" fontId="104" fillId="38" borderId="14" xfId="55" applyNumberFormat="1" applyFont="1" applyFill="1" applyBorder="1" applyAlignment="1">
      <alignment horizontal="center"/>
    </xf>
    <xf numFmtId="3" fontId="104" fillId="38" borderId="0" xfId="0" applyNumberFormat="1" applyFont="1" applyFill="1" applyBorder="1" applyAlignment="1">
      <alignment horizontal="center"/>
    </xf>
    <xf numFmtId="3" fontId="104" fillId="38" borderId="0" xfId="55" applyNumberFormat="1" applyFont="1" applyFill="1" applyBorder="1" applyAlignment="1">
      <alignment horizontal="center"/>
    </xf>
    <xf numFmtId="3" fontId="102" fillId="0" borderId="0" xfId="0" applyNumberFormat="1" applyFont="1" applyAlignment="1">
      <alignment/>
    </xf>
    <xf numFmtId="181" fontId="115" fillId="35" borderId="0" xfId="54" applyNumberFormat="1" applyFont="1" applyFill="1" applyAlignment="1">
      <alignment horizontal="center" vertical="center" wrapText="1"/>
    </xf>
    <xf numFmtId="0" fontId="107" fillId="0" borderId="0" xfId="0" applyFont="1" applyAlignment="1">
      <alignment horizontal="center"/>
    </xf>
    <xf numFmtId="0" fontId="115" fillId="35" borderId="0" xfId="0" applyFont="1" applyFill="1" applyAlignment="1">
      <alignment horizontal="center" vertical="center" wrapText="1"/>
    </xf>
    <xf numFmtId="0" fontId="7" fillId="0" borderId="0" xfId="0" applyFont="1" applyAlignment="1">
      <alignment horizontal="center"/>
    </xf>
    <xf numFmtId="3" fontId="102" fillId="0" borderId="0" xfId="54" applyNumberFormat="1" applyFont="1" applyAlignment="1">
      <alignment/>
    </xf>
    <xf numFmtId="3" fontId="102" fillId="0" borderId="0" xfId="54" applyNumberFormat="1" applyFont="1" applyBorder="1" applyAlignment="1">
      <alignment/>
    </xf>
    <xf numFmtId="3" fontId="108" fillId="0" borderId="0" xfId="54" applyNumberFormat="1" applyFont="1" applyAlignment="1">
      <alignment/>
    </xf>
    <xf numFmtId="3" fontId="108" fillId="0" borderId="0" xfId="0" applyNumberFormat="1" applyFont="1" applyAlignment="1">
      <alignment/>
    </xf>
    <xf numFmtId="3" fontId="115" fillId="36" borderId="0" xfId="54" applyNumberFormat="1" applyFont="1" applyFill="1" applyBorder="1" applyAlignment="1">
      <alignment/>
    </xf>
    <xf numFmtId="3" fontId="2" fillId="0" borderId="0" xfId="54" applyNumberFormat="1" applyFont="1" applyAlignment="1">
      <alignment/>
    </xf>
    <xf numFmtId="3" fontId="109" fillId="0" borderId="0" xfId="54" applyNumberFormat="1" applyFont="1" applyAlignment="1">
      <alignment/>
    </xf>
    <xf numFmtId="3" fontId="115" fillId="36" borderId="0" xfId="54" applyNumberFormat="1" applyFont="1" applyFill="1" applyBorder="1" applyAlignment="1">
      <alignment vertical="center"/>
    </xf>
    <xf numFmtId="3" fontId="109" fillId="0" borderId="0" xfId="0" applyNumberFormat="1" applyFont="1" applyAlignment="1">
      <alignment/>
    </xf>
    <xf numFmtId="3" fontId="2" fillId="0" borderId="0" xfId="54" applyNumberFormat="1" applyFont="1" applyBorder="1" applyAlignment="1">
      <alignment/>
    </xf>
    <xf numFmtId="181" fontId="115" fillId="35" borderId="0" xfId="54" applyNumberFormat="1" applyFont="1" applyFill="1" applyBorder="1" applyAlignment="1">
      <alignment horizontal="center" vertical="center" wrapText="1"/>
    </xf>
    <xf numFmtId="181" fontId="115" fillId="33" borderId="0" xfId="54" applyNumberFormat="1" applyFont="1" applyFill="1" applyAlignment="1">
      <alignment horizontal="center" vertical="center" wrapText="1"/>
    </xf>
    <xf numFmtId="181" fontId="115" fillId="33" borderId="0" xfId="54" applyNumberFormat="1" applyFont="1" applyFill="1" applyBorder="1" applyAlignment="1">
      <alignment horizontal="center" vertical="center" wrapText="1"/>
    </xf>
    <xf numFmtId="3" fontId="102" fillId="33" borderId="0" xfId="54" applyNumberFormat="1" applyFont="1" applyFill="1" applyAlignment="1">
      <alignment/>
    </xf>
    <xf numFmtId="3" fontId="115" fillId="33" borderId="0" xfId="54" applyNumberFormat="1" applyFont="1" applyFill="1" applyBorder="1" applyAlignment="1">
      <alignment/>
    </xf>
    <xf numFmtId="181" fontId="102" fillId="33" borderId="0" xfId="54" applyNumberFormat="1" applyFont="1" applyFill="1" applyBorder="1" applyAlignment="1">
      <alignment horizontal="center"/>
    </xf>
    <xf numFmtId="3" fontId="102" fillId="33" borderId="0" xfId="54" applyNumberFormat="1" applyFont="1" applyFill="1" applyBorder="1" applyAlignment="1">
      <alignment/>
    </xf>
    <xf numFmtId="3" fontId="102" fillId="0" borderId="0" xfId="0" applyNumberFormat="1" applyFont="1" applyFill="1" applyAlignment="1">
      <alignment horizontal="center"/>
    </xf>
    <xf numFmtId="3" fontId="102" fillId="33" borderId="0" xfId="55" applyNumberFormat="1" applyFont="1" applyFill="1" applyAlignment="1">
      <alignment/>
    </xf>
    <xf numFmtId="14" fontId="103" fillId="33" borderId="0" xfId="0" applyNumberFormat="1" applyFont="1" applyFill="1" applyBorder="1" applyAlignment="1">
      <alignment vertical="center"/>
    </xf>
    <xf numFmtId="0" fontId="2" fillId="0" borderId="0" xfId="144">
      <alignment/>
      <protection/>
    </xf>
    <xf numFmtId="0" fontId="21" fillId="0" borderId="0" xfId="201" applyFont="1" applyBorder="1" applyAlignment="1">
      <alignment/>
      <protection/>
    </xf>
    <xf numFmtId="0" fontId="4" fillId="0" borderId="12" xfId="144" applyFont="1" applyBorder="1" applyAlignment="1">
      <alignment horizontal="center"/>
      <protection/>
    </xf>
    <xf numFmtId="0" fontId="4" fillId="0" borderId="0" xfId="144" applyFont="1" applyBorder="1" applyAlignment="1">
      <alignment horizontal="center"/>
      <protection/>
    </xf>
    <xf numFmtId="0" fontId="4" fillId="0" borderId="13" xfId="144" applyFont="1" applyBorder="1" applyAlignment="1">
      <alignment horizontal="center"/>
      <protection/>
    </xf>
    <xf numFmtId="0" fontId="5" fillId="0" borderId="30" xfId="144" applyFont="1" applyBorder="1">
      <alignment/>
      <protection/>
    </xf>
    <xf numFmtId="0" fontId="5" fillId="0" borderId="14" xfId="144" applyFont="1" applyBorder="1">
      <alignment/>
      <protection/>
    </xf>
    <xf numFmtId="0" fontId="2" fillId="0" borderId="14" xfId="144" applyBorder="1">
      <alignment/>
      <protection/>
    </xf>
    <xf numFmtId="0" fontId="2" fillId="0" borderId="54" xfId="144" applyBorder="1">
      <alignment/>
      <protection/>
    </xf>
    <xf numFmtId="0" fontId="5" fillId="0" borderId="12" xfId="144" applyFont="1" applyBorder="1">
      <alignment/>
      <protection/>
    </xf>
    <xf numFmtId="0" fontId="5" fillId="0" borderId="0" xfId="144" applyFont="1" applyBorder="1">
      <alignment/>
      <protection/>
    </xf>
    <xf numFmtId="0" fontId="2" fillId="0" borderId="0" xfId="144" applyBorder="1">
      <alignment/>
      <protection/>
    </xf>
    <xf numFmtId="0" fontId="2" fillId="0" borderId="13" xfId="144" applyBorder="1">
      <alignment/>
      <protection/>
    </xf>
    <xf numFmtId="0" fontId="23" fillId="0" borderId="0" xfId="144" applyFont="1" applyBorder="1">
      <alignment/>
      <protection/>
    </xf>
    <xf numFmtId="0" fontId="2" fillId="0" borderId="12" xfId="144" applyBorder="1">
      <alignment/>
      <protection/>
    </xf>
    <xf numFmtId="0" fontId="2" fillId="0" borderId="12" xfId="144" applyFont="1" applyBorder="1">
      <alignment/>
      <protection/>
    </xf>
    <xf numFmtId="0" fontId="2" fillId="0" borderId="12" xfId="144" applyFont="1" applyFill="1" applyBorder="1">
      <alignment/>
      <protection/>
    </xf>
    <xf numFmtId="0" fontId="2" fillId="0" borderId="0" xfId="144" applyFill="1" applyBorder="1">
      <alignment/>
      <protection/>
    </xf>
    <xf numFmtId="0" fontId="2" fillId="0" borderId="12" xfId="144" applyFill="1" applyBorder="1">
      <alignment/>
      <protection/>
    </xf>
    <xf numFmtId="0" fontId="3" fillId="0" borderId="34" xfId="144" applyFont="1" applyBorder="1" applyAlignment="1">
      <alignment/>
      <protection/>
    </xf>
    <xf numFmtId="0" fontId="3" fillId="0" borderId="55" xfId="144" applyFont="1" applyBorder="1" applyAlignment="1">
      <alignment/>
      <protection/>
    </xf>
    <xf numFmtId="0" fontId="3" fillId="0" borderId="35" xfId="144" applyFont="1" applyBorder="1" applyAlignment="1">
      <alignment/>
      <protection/>
    </xf>
    <xf numFmtId="0" fontId="4" fillId="0" borderId="12" xfId="144" applyFont="1" applyBorder="1">
      <alignment/>
      <protection/>
    </xf>
    <xf numFmtId="0" fontId="4" fillId="0" borderId="0" xfId="144" applyFont="1" applyBorder="1">
      <alignment/>
      <protection/>
    </xf>
    <xf numFmtId="0" fontId="3" fillId="0" borderId="31" xfId="144" applyFont="1" applyBorder="1" applyAlignment="1">
      <alignment/>
      <protection/>
    </xf>
    <xf numFmtId="0" fontId="3" fillId="0" borderId="11" xfId="144" applyFont="1" applyBorder="1" applyAlignment="1">
      <alignment/>
      <protection/>
    </xf>
    <xf numFmtId="0" fontId="3" fillId="0" borderId="56" xfId="144" applyFont="1" applyBorder="1" applyAlignment="1">
      <alignment/>
      <protection/>
    </xf>
    <xf numFmtId="0" fontId="2" fillId="0" borderId="12" xfId="144" applyBorder="1" applyAlignment="1">
      <alignment horizontal="center"/>
      <protection/>
    </xf>
    <xf numFmtId="0" fontId="2" fillId="0" borderId="0" xfId="144" applyBorder="1" applyAlignment="1">
      <alignment horizontal="center"/>
      <protection/>
    </xf>
    <xf numFmtId="3" fontId="2" fillId="0" borderId="0" xfId="144" applyNumberFormat="1" applyBorder="1">
      <alignment/>
      <protection/>
    </xf>
    <xf numFmtId="0" fontId="2" fillId="0" borderId="12" xfId="144" applyFill="1" applyBorder="1" applyAlignment="1">
      <alignment horizontal="left"/>
      <protection/>
    </xf>
    <xf numFmtId="0" fontId="2" fillId="0" borderId="0" xfId="144" applyFont="1" applyBorder="1">
      <alignment/>
      <protection/>
    </xf>
    <xf numFmtId="3" fontId="2" fillId="0" borderId="13" xfId="144" applyNumberFormat="1" applyBorder="1">
      <alignment/>
      <protection/>
    </xf>
    <xf numFmtId="0" fontId="2" fillId="0" borderId="0" xfId="144" applyFont="1" applyFill="1" applyBorder="1">
      <alignment/>
      <protection/>
    </xf>
    <xf numFmtId="0" fontId="0" fillId="0" borderId="12" xfId="0" applyBorder="1" applyAlignment="1">
      <alignment/>
    </xf>
    <xf numFmtId="0" fontId="2" fillId="0" borderId="31" xfId="144" applyBorder="1">
      <alignment/>
      <protection/>
    </xf>
    <xf numFmtId="0" fontId="2" fillId="0" borderId="11" xfId="144" applyBorder="1">
      <alignment/>
      <protection/>
    </xf>
    <xf numFmtId="0" fontId="2" fillId="0" borderId="56" xfId="144" applyBorder="1">
      <alignment/>
      <protection/>
    </xf>
    <xf numFmtId="0" fontId="101" fillId="0" borderId="57" xfId="0" applyFont="1" applyBorder="1" applyAlignment="1">
      <alignment horizontal="center"/>
    </xf>
    <xf numFmtId="0" fontId="101" fillId="0" borderId="0" xfId="0" applyFont="1" applyBorder="1" applyAlignment="1">
      <alignment horizontal="center"/>
    </xf>
    <xf numFmtId="0" fontId="101" fillId="0" borderId="15" xfId="0" applyFont="1" applyBorder="1" applyAlignment="1">
      <alignment horizontal="center"/>
    </xf>
    <xf numFmtId="0" fontId="0" fillId="0" borderId="58" xfId="0" applyBorder="1" applyAlignment="1">
      <alignment/>
    </xf>
    <xf numFmtId="3" fontId="4" fillId="0" borderId="59" xfId="0" applyNumberFormat="1" applyFont="1" applyBorder="1" applyAlignment="1">
      <alignment horizontal="center" vertical="top" wrapText="1"/>
    </xf>
    <xf numFmtId="3" fontId="2" fillId="0" borderId="59" xfId="0" applyNumberFormat="1" applyFont="1" applyBorder="1" applyAlignment="1">
      <alignment horizontal="center" vertical="top" wrapText="1"/>
    </xf>
    <xf numFmtId="3" fontId="4" fillId="0" borderId="60" xfId="0" applyNumberFormat="1" applyFont="1" applyBorder="1" applyAlignment="1">
      <alignment horizontal="center" vertical="top" wrapText="1"/>
    </xf>
    <xf numFmtId="49" fontId="107" fillId="0" borderId="0" xfId="0" applyNumberFormat="1" applyFont="1" applyBorder="1" applyAlignment="1">
      <alignment vertical="center" wrapText="1"/>
    </xf>
    <xf numFmtId="49" fontId="107" fillId="0" borderId="0" xfId="0" applyNumberFormat="1" applyFont="1" applyBorder="1" applyAlignment="1">
      <alignment wrapText="1"/>
    </xf>
    <xf numFmtId="0" fontId="101" fillId="0" borderId="0" xfId="0" applyFont="1" applyBorder="1" applyAlignment="1">
      <alignment/>
    </xf>
    <xf numFmtId="0" fontId="0" fillId="0" borderId="0" xfId="0" applyBorder="1" applyAlignment="1">
      <alignment/>
    </xf>
    <xf numFmtId="0" fontId="143" fillId="0" borderId="0" xfId="0" applyFont="1" applyBorder="1" applyAlignment="1">
      <alignment/>
    </xf>
    <xf numFmtId="0" fontId="0" fillId="0" borderId="0" xfId="0" applyBorder="1" applyAlignment="1">
      <alignment horizontal="left"/>
    </xf>
    <xf numFmtId="0" fontId="0" fillId="0" borderId="0" xfId="0" applyFont="1" applyBorder="1" applyAlignment="1">
      <alignment horizontal="center" vertical="center" wrapText="1"/>
    </xf>
    <xf numFmtId="0" fontId="95" fillId="0" borderId="0" xfId="0" applyFont="1" applyFill="1" applyBorder="1" applyAlignment="1">
      <alignment horizontal="left"/>
    </xf>
    <xf numFmtId="0" fontId="95" fillId="0" borderId="0" xfId="0" applyFont="1" applyFill="1" applyBorder="1" applyAlignment="1">
      <alignment horizontal="center"/>
    </xf>
    <xf numFmtId="0" fontId="95" fillId="0" borderId="0" xfId="0" applyFont="1" applyFill="1" applyBorder="1" applyAlignment="1">
      <alignment horizontal="center" wrapText="1"/>
    </xf>
    <xf numFmtId="10" fontId="107" fillId="0" borderId="0" xfId="0" applyNumberFormat="1" applyFont="1" applyAlignment="1">
      <alignment/>
    </xf>
    <xf numFmtId="10" fontId="103" fillId="0" borderId="0" xfId="0" applyNumberFormat="1" applyFont="1" applyAlignment="1">
      <alignment vertical="center"/>
    </xf>
    <xf numFmtId="10" fontId="102" fillId="0" borderId="0" xfId="0" applyNumberFormat="1" applyFont="1" applyAlignment="1">
      <alignment vertical="center"/>
    </xf>
    <xf numFmtId="3" fontId="4" fillId="0" borderId="55" xfId="54" applyNumberFormat="1" applyFont="1" applyFill="1" applyBorder="1" applyAlignment="1">
      <alignment horizontal="center"/>
    </xf>
    <xf numFmtId="3" fontId="2" fillId="0" borderId="0" xfId="54" applyNumberFormat="1" applyFont="1" applyFill="1" applyAlignment="1">
      <alignment horizontal="center"/>
    </xf>
    <xf numFmtId="3" fontId="121" fillId="35" borderId="0" xfId="54" applyNumberFormat="1" applyFont="1" applyFill="1" applyBorder="1" applyAlignment="1">
      <alignment horizontal="center"/>
    </xf>
    <xf numFmtId="3" fontId="121" fillId="35" borderId="14" xfId="54" applyNumberFormat="1" applyFont="1" applyFill="1" applyBorder="1" applyAlignment="1">
      <alignment horizontal="center"/>
    </xf>
    <xf numFmtId="3" fontId="144" fillId="33" borderId="0" xfId="54" applyNumberFormat="1" applyFont="1" applyFill="1" applyAlignment="1">
      <alignment horizontal="center"/>
    </xf>
    <xf numFmtId="3" fontId="144" fillId="33" borderId="0" xfId="54" applyNumberFormat="1" applyFont="1" applyFill="1" applyBorder="1" applyAlignment="1">
      <alignment horizontal="center"/>
    </xf>
    <xf numFmtId="3" fontId="108" fillId="0" borderId="0" xfId="0" applyNumberFormat="1" applyFont="1" applyFill="1" applyAlignment="1">
      <alignment horizontal="center"/>
    </xf>
    <xf numFmtId="3" fontId="120" fillId="0" borderId="0" xfId="0" applyNumberFormat="1" applyFont="1" applyFill="1" applyAlignment="1">
      <alignment horizontal="center"/>
    </xf>
    <xf numFmtId="3" fontId="105" fillId="0" borderId="0" xfId="0" applyNumberFormat="1" applyFont="1" applyFill="1" applyAlignment="1">
      <alignment horizontal="center"/>
    </xf>
    <xf numFmtId="3" fontId="145" fillId="0" borderId="0" xfId="55" applyNumberFormat="1" applyFont="1" applyFill="1" applyAlignment="1">
      <alignment horizontal="center"/>
    </xf>
    <xf numFmtId="0" fontId="107" fillId="0" borderId="0" xfId="0" applyFont="1" applyAlignment="1">
      <alignment/>
    </xf>
    <xf numFmtId="0" fontId="107" fillId="0" borderId="0" xfId="0" applyFont="1" applyAlignment="1">
      <alignment/>
    </xf>
    <xf numFmtId="0" fontId="107" fillId="0" borderId="13" xfId="0" applyFont="1" applyBorder="1" applyAlignment="1">
      <alignment/>
    </xf>
    <xf numFmtId="3" fontId="0" fillId="38" borderId="10" xfId="0" applyNumberFormat="1" applyFill="1" applyBorder="1" applyAlignment="1">
      <alignment horizontal="center"/>
    </xf>
    <xf numFmtId="10" fontId="124" fillId="0" borderId="10" xfId="0" applyNumberFormat="1" applyFont="1" applyBorder="1" applyAlignment="1">
      <alignment horizontal="center" vertical="center" wrapText="1"/>
    </xf>
    <xf numFmtId="3" fontId="0" fillId="0" borderId="0" xfId="0" applyNumberFormat="1" applyFill="1" applyBorder="1" applyAlignment="1">
      <alignment horizontal="center"/>
    </xf>
    <xf numFmtId="0" fontId="0" fillId="0" borderId="0" xfId="0" applyAlignment="1">
      <alignment/>
    </xf>
    <xf numFmtId="0" fontId="0" fillId="0" borderId="0" xfId="0" applyAlignment="1">
      <alignment/>
    </xf>
    <xf numFmtId="3" fontId="2" fillId="38" borderId="0" xfId="0" applyNumberFormat="1" applyFont="1" applyFill="1" applyAlignment="1">
      <alignment horizontal="center"/>
    </xf>
    <xf numFmtId="0" fontId="102" fillId="33" borderId="0" xfId="0" applyFont="1" applyFill="1" applyAlignment="1">
      <alignment horizontal="center"/>
    </xf>
    <xf numFmtId="3" fontId="0" fillId="0" borderId="0" xfId="0" applyNumberFormat="1" applyFont="1" applyFill="1" applyAlignment="1">
      <alignment horizontal="center"/>
    </xf>
    <xf numFmtId="186" fontId="102" fillId="0" borderId="0" xfId="0" applyNumberFormat="1" applyFont="1" applyAlignment="1">
      <alignment horizontal="center"/>
    </xf>
    <xf numFmtId="3" fontId="103" fillId="33" borderId="0" xfId="0" applyNumberFormat="1" applyFont="1" applyFill="1" applyAlignment="1">
      <alignment/>
    </xf>
    <xf numFmtId="3" fontId="0" fillId="38" borderId="11" xfId="0" applyNumberFormat="1" applyFont="1" applyFill="1" applyBorder="1" applyAlignment="1">
      <alignment horizontal="center"/>
    </xf>
    <xf numFmtId="0" fontId="0" fillId="0" borderId="0" xfId="0" applyAlignment="1">
      <alignment/>
    </xf>
    <xf numFmtId="0" fontId="0" fillId="0" borderId="0" xfId="0" applyAlignment="1">
      <alignment/>
    </xf>
    <xf numFmtId="3" fontId="4" fillId="0" borderId="50" xfId="54" applyNumberFormat="1" applyFont="1" applyFill="1" applyBorder="1" applyAlignment="1">
      <alignment horizontal="center"/>
    </xf>
    <xf numFmtId="0" fontId="11" fillId="0" borderId="27" xfId="0" applyFont="1" applyFill="1" applyBorder="1" applyAlignment="1">
      <alignment vertical="center" wrapText="1"/>
    </xf>
    <xf numFmtId="3" fontId="11" fillId="0" borderId="52" xfId="0" applyNumberFormat="1" applyFont="1" applyFill="1" applyBorder="1" applyAlignment="1">
      <alignment horizontal="center" vertical="center" wrapText="1"/>
    </xf>
    <xf numFmtId="0" fontId="0" fillId="33" borderId="0" xfId="0" applyFill="1" applyAlignment="1">
      <alignment horizontal="center"/>
    </xf>
    <xf numFmtId="0" fontId="115" fillId="35" borderId="0" xfId="0" applyFont="1" applyFill="1" applyAlignment="1">
      <alignment horizontal="center" vertical="center"/>
    </xf>
    <xf numFmtId="41" fontId="106" fillId="33" borderId="0" xfId="0" applyNumberFormat="1" applyFont="1" applyFill="1" applyAlignment="1">
      <alignment/>
    </xf>
    <xf numFmtId="181" fontId="106" fillId="33" borderId="0" xfId="0" applyNumberFormat="1" applyFont="1" applyFill="1" applyAlignment="1">
      <alignment/>
    </xf>
    <xf numFmtId="3" fontId="2" fillId="38" borderId="0" xfId="0" applyNumberFormat="1" applyFont="1" applyFill="1" applyAlignment="1">
      <alignment/>
    </xf>
    <xf numFmtId="0" fontId="0" fillId="0" borderId="0" xfId="0" applyAlignment="1">
      <alignment vertical="center"/>
    </xf>
    <xf numFmtId="0" fontId="0" fillId="0" borderId="0" xfId="0" applyAlignment="1">
      <alignment vertical="center" wrapText="1"/>
    </xf>
    <xf numFmtId="1" fontId="2" fillId="33" borderId="0" xfId="54" applyNumberFormat="1" applyFont="1" applyFill="1" applyAlignment="1">
      <alignment horizontal="center"/>
    </xf>
    <xf numFmtId="1" fontId="2" fillId="33" borderId="0" xfId="85" applyNumberFormat="1" applyFont="1" applyFill="1" applyAlignment="1">
      <alignment horizontal="center"/>
    </xf>
    <xf numFmtId="1" fontId="2" fillId="33" borderId="50" xfId="54" applyNumberFormat="1" applyFont="1" applyFill="1" applyBorder="1" applyAlignment="1">
      <alignment horizontal="center"/>
    </xf>
    <xf numFmtId="0" fontId="0" fillId="0" borderId="29" xfId="0" applyFill="1" applyBorder="1" applyAlignment="1">
      <alignment vertical="center" wrapText="1"/>
    </xf>
    <xf numFmtId="3" fontId="0" fillId="0" borderId="10" xfId="0" applyNumberFormat="1" applyFill="1" applyBorder="1" applyAlignment="1">
      <alignment horizontal="center"/>
    </xf>
    <xf numFmtId="3" fontId="3" fillId="0" borderId="61" xfId="0" applyNumberFormat="1" applyFont="1" applyBorder="1" applyAlignment="1">
      <alignment horizontal="center" vertical="center" wrapText="1"/>
    </xf>
    <xf numFmtId="14" fontId="2" fillId="0" borderId="0" xfId="144" applyNumberFormat="1" applyBorder="1" applyAlignment="1">
      <alignment horizontal="center"/>
      <protection/>
    </xf>
    <xf numFmtId="3" fontId="2" fillId="0" borderId="0" xfId="144" applyNumberFormat="1" applyBorder="1" applyAlignment="1">
      <alignment horizontal="center"/>
      <protection/>
    </xf>
    <xf numFmtId="3" fontId="2" fillId="0" borderId="0" xfId="144" applyNumberFormat="1" applyFont="1" applyBorder="1" applyAlignment="1">
      <alignment horizontal="center"/>
      <protection/>
    </xf>
    <xf numFmtId="0" fontId="0" fillId="0" borderId="0" xfId="0" applyAlignment="1">
      <alignment/>
    </xf>
    <xf numFmtId="0" fontId="0" fillId="0" borderId="0" xfId="0" applyAlignment="1">
      <alignment/>
    </xf>
    <xf numFmtId="41" fontId="103" fillId="33" borderId="0" xfId="0" applyNumberFormat="1" applyFont="1" applyFill="1" applyBorder="1" applyAlignment="1">
      <alignment/>
    </xf>
    <xf numFmtId="181" fontId="4" fillId="33" borderId="0" xfId="137" applyNumberFormat="1" applyFont="1" applyFill="1" applyBorder="1" applyAlignment="1">
      <alignment/>
      <protection/>
    </xf>
    <xf numFmtId="0" fontId="0" fillId="0" borderId="0" xfId="0" applyAlignment="1">
      <alignment/>
    </xf>
    <xf numFmtId="3" fontId="3" fillId="37" borderId="10" xfId="92" applyNumberFormat="1" applyFont="1" applyFill="1" applyBorder="1" applyAlignment="1">
      <alignment/>
    </xf>
    <xf numFmtId="3" fontId="3" fillId="0" borderId="32" xfId="92" applyNumberFormat="1" applyFont="1" applyFill="1" applyBorder="1" applyAlignment="1">
      <alignment horizontal="center"/>
    </xf>
    <xf numFmtId="3" fontId="3" fillId="0" borderId="12" xfId="92" applyNumberFormat="1" applyFont="1" applyFill="1" applyBorder="1" applyAlignment="1">
      <alignment horizontal="center"/>
    </xf>
    <xf numFmtId="3" fontId="11" fillId="0" borderId="32" xfId="92" applyNumberFormat="1" applyFont="1" applyFill="1" applyBorder="1" applyAlignment="1">
      <alignment horizontal="center"/>
    </xf>
    <xf numFmtId="3" fontId="11" fillId="0" borderId="12" xfId="92" applyNumberFormat="1" applyFont="1" applyFill="1" applyBorder="1" applyAlignment="1">
      <alignment horizontal="center"/>
    </xf>
    <xf numFmtId="183" fontId="3" fillId="38" borderId="32" xfId="92" applyNumberFormat="1" applyFont="1" applyFill="1" applyBorder="1" applyAlignment="1">
      <alignment/>
    </xf>
    <xf numFmtId="3" fontId="103" fillId="33" borderId="0" xfId="0" applyNumberFormat="1" applyFont="1" applyFill="1" applyAlignment="1">
      <alignment horizontal="center"/>
    </xf>
    <xf numFmtId="3" fontId="106" fillId="33" borderId="0" xfId="0" applyNumberFormat="1" applyFont="1" applyFill="1" applyAlignment="1">
      <alignment/>
    </xf>
    <xf numFmtId="186" fontId="0" fillId="33" borderId="0" xfId="55" applyNumberFormat="1" applyFont="1" applyFill="1" applyBorder="1" applyAlignment="1">
      <alignment horizontal="center"/>
    </xf>
    <xf numFmtId="0" fontId="104" fillId="38" borderId="0" xfId="0" applyFont="1" applyFill="1" applyBorder="1" applyAlignment="1">
      <alignment/>
    </xf>
    <xf numFmtId="3" fontId="16" fillId="38" borderId="0" xfId="0" applyNumberFormat="1" applyFont="1" applyFill="1" applyAlignment="1">
      <alignment horizontal="center"/>
    </xf>
    <xf numFmtId="3" fontId="0" fillId="0" borderId="0" xfId="0" applyNumberFormat="1" applyAlignment="1">
      <alignment horizontal="center"/>
    </xf>
    <xf numFmtId="3" fontId="102" fillId="0" borderId="0" xfId="0" applyNumberFormat="1" applyFont="1" applyFill="1" applyAlignment="1">
      <alignment horizontal="center"/>
    </xf>
    <xf numFmtId="3" fontId="102" fillId="38" borderId="0" xfId="0" applyNumberFormat="1" applyFont="1" applyFill="1" applyAlignment="1">
      <alignment vertical="top" wrapText="1"/>
    </xf>
    <xf numFmtId="3" fontId="102" fillId="0" borderId="0" xfId="0" applyNumberFormat="1" applyFont="1" applyFill="1" applyAlignment="1">
      <alignment/>
    </xf>
    <xf numFmtId="0" fontId="107" fillId="33" borderId="0" xfId="0" applyFont="1" applyFill="1" applyBorder="1" applyAlignment="1">
      <alignment/>
    </xf>
    <xf numFmtId="0" fontId="143" fillId="33" borderId="0" xfId="0" applyFont="1" applyFill="1" applyBorder="1" applyAlignment="1">
      <alignment/>
    </xf>
    <xf numFmtId="0" fontId="0" fillId="0" borderId="11" xfId="0" applyFill="1" applyBorder="1" applyAlignment="1">
      <alignment/>
    </xf>
    <xf numFmtId="3" fontId="0" fillId="0" borderId="11" xfId="0" applyNumberFormat="1" applyFill="1" applyBorder="1" applyAlignment="1">
      <alignment horizontal="center"/>
    </xf>
    <xf numFmtId="3" fontId="16" fillId="0" borderId="0" xfId="0" applyNumberFormat="1" applyFont="1" applyFill="1" applyAlignment="1">
      <alignment horizontal="center"/>
    </xf>
    <xf numFmtId="3" fontId="16" fillId="0" borderId="0" xfId="0" applyNumberFormat="1" applyFont="1" applyFill="1" applyAlignment="1">
      <alignment horizontal="center" wrapText="1"/>
    </xf>
    <xf numFmtId="0" fontId="20" fillId="0" borderId="10" xfId="200" applyFont="1" applyFill="1" applyBorder="1">
      <alignment/>
      <protection/>
    </xf>
    <xf numFmtId="10" fontId="124" fillId="0" borderId="10" xfId="0" applyNumberFormat="1" applyFont="1" applyFill="1" applyBorder="1" applyAlignment="1">
      <alignment horizontal="center" vertical="center" wrapText="1"/>
    </xf>
    <xf numFmtId="0" fontId="0" fillId="0" borderId="0" xfId="0"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183" fontId="3" fillId="37" borderId="10" xfId="92" applyNumberFormat="1" applyFont="1" applyFill="1" applyBorder="1" applyAlignment="1">
      <alignment horizontal="center"/>
    </xf>
    <xf numFmtId="0" fontId="146" fillId="0" borderId="0" xfId="0" applyFont="1" applyBorder="1" applyAlignment="1">
      <alignment/>
    </xf>
    <xf numFmtId="0" fontId="0" fillId="0" borderId="0" xfId="0" applyAlignment="1">
      <alignment/>
    </xf>
    <xf numFmtId="3" fontId="3" fillId="0" borderId="13" xfId="92" applyNumberFormat="1" applyFont="1" applyFill="1" applyBorder="1" applyAlignment="1">
      <alignment/>
    </xf>
    <xf numFmtId="3" fontId="3" fillId="38" borderId="13" xfId="92" applyNumberFormat="1" applyFont="1" applyFill="1" applyBorder="1" applyAlignment="1">
      <alignment/>
    </xf>
    <xf numFmtId="3" fontId="0" fillId="0" borderId="14" xfId="55" applyNumberFormat="1" applyFont="1" applyFill="1" applyBorder="1" applyAlignment="1">
      <alignment horizontal="center"/>
    </xf>
    <xf numFmtId="3" fontId="103" fillId="0" borderId="0" xfId="0" applyNumberFormat="1" applyFont="1" applyAlignment="1">
      <alignment/>
    </xf>
    <xf numFmtId="3" fontId="107" fillId="0" borderId="0" xfId="0" applyNumberFormat="1" applyFont="1" applyAlignment="1">
      <alignment/>
    </xf>
    <xf numFmtId="3" fontId="0" fillId="0" borderId="0" xfId="0" applyNumberFormat="1" applyFill="1" applyAlignment="1">
      <alignment/>
    </xf>
    <xf numFmtId="0" fontId="101" fillId="0" borderId="0" xfId="0" applyFont="1" applyFill="1" applyAlignment="1">
      <alignment/>
    </xf>
    <xf numFmtId="0" fontId="17" fillId="0" borderId="0" xfId="0" applyFont="1" applyFill="1" applyAlignment="1">
      <alignment/>
    </xf>
    <xf numFmtId="0" fontId="101" fillId="0" borderId="0" xfId="0" applyFont="1" applyFill="1" applyAlignment="1">
      <alignment horizontal="left"/>
    </xf>
    <xf numFmtId="194" fontId="101" fillId="0" borderId="0" xfId="0" applyNumberFormat="1" applyFont="1" applyFill="1" applyAlignment="1">
      <alignment/>
    </xf>
    <xf numFmtId="1" fontId="101" fillId="0" borderId="0" xfId="0" applyNumberFormat="1" applyFont="1" applyFill="1" applyAlignment="1">
      <alignment/>
    </xf>
    <xf numFmtId="3" fontId="101" fillId="0" borderId="0" xfId="0" applyNumberFormat="1" applyFont="1" applyFill="1" applyAlignment="1">
      <alignment/>
    </xf>
    <xf numFmtId="0" fontId="143" fillId="0" borderId="0" xfId="0" applyFont="1" applyAlignment="1">
      <alignment/>
    </xf>
    <xf numFmtId="3" fontId="16" fillId="38" borderId="0" xfId="0" applyNumberFormat="1" applyFont="1" applyFill="1" applyBorder="1" applyAlignment="1">
      <alignment horizontal="center"/>
    </xf>
    <xf numFmtId="3" fontId="3" fillId="0" borderId="0" xfId="0" applyNumberFormat="1" applyFont="1" applyBorder="1" applyAlignment="1">
      <alignment horizontal="center" vertical="center" wrapText="1"/>
    </xf>
    <xf numFmtId="3" fontId="16" fillId="38" borderId="0" xfId="0" applyNumberFormat="1" applyFont="1" applyFill="1" applyBorder="1" applyAlignment="1">
      <alignment/>
    </xf>
    <xf numFmtId="3" fontId="97" fillId="38" borderId="0" xfId="0" applyNumberFormat="1" applyFont="1" applyFill="1" applyBorder="1" applyAlignment="1">
      <alignment/>
    </xf>
    <xf numFmtId="0" fontId="16" fillId="0" borderId="0" xfId="0" applyFont="1" applyFill="1" applyAlignment="1">
      <alignment/>
    </xf>
    <xf numFmtId="3" fontId="11" fillId="0" borderId="51" xfId="0" applyNumberFormat="1" applyFont="1" applyFill="1" applyBorder="1" applyAlignment="1">
      <alignment horizontal="center" vertical="center" wrapText="1"/>
    </xf>
    <xf numFmtId="3" fontId="11" fillId="0" borderId="53"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17" fillId="0" borderId="0" xfId="0" applyNumberFormat="1" applyFont="1" applyFill="1" applyAlignment="1">
      <alignment horizontal="center"/>
    </xf>
    <xf numFmtId="9" fontId="0" fillId="0" borderId="0" xfId="0" applyNumberFormat="1" applyBorder="1" applyAlignment="1">
      <alignment/>
    </xf>
    <xf numFmtId="3" fontId="0" fillId="0" borderId="0" xfId="0" applyNumberFormat="1" applyFont="1" applyFill="1" applyBorder="1" applyAlignment="1">
      <alignment horizontal="center"/>
    </xf>
    <xf numFmtId="3" fontId="11" fillId="0" borderId="0" xfId="92" applyNumberFormat="1" applyFont="1" applyFill="1" applyBorder="1" applyAlignment="1">
      <alignment/>
    </xf>
    <xf numFmtId="3" fontId="11" fillId="38" borderId="0" xfId="92" applyNumberFormat="1" applyFont="1" applyFill="1" applyBorder="1" applyAlignment="1">
      <alignment/>
    </xf>
    <xf numFmtId="3" fontId="11" fillId="38" borderId="13" xfId="92" applyNumberFormat="1" applyFont="1" applyFill="1" applyBorder="1" applyAlignment="1">
      <alignment horizontal="center"/>
    </xf>
    <xf numFmtId="3" fontId="3" fillId="37" borderId="34" xfId="92" applyNumberFormat="1" applyFont="1" applyFill="1" applyBorder="1" applyAlignment="1">
      <alignment/>
    </xf>
    <xf numFmtId="0" fontId="0" fillId="0" borderId="0" xfId="0" applyAlignment="1">
      <alignment/>
    </xf>
    <xf numFmtId="0" fontId="0" fillId="0" borderId="0" xfId="0" applyFill="1" applyBorder="1" applyAlignment="1">
      <alignment/>
    </xf>
    <xf numFmtId="3" fontId="102" fillId="0" borderId="0" xfId="0" applyNumberFormat="1" applyFont="1" applyFill="1" applyAlignment="1">
      <alignment horizontal="center"/>
    </xf>
    <xf numFmtId="3" fontId="3" fillId="37" borderId="49" xfId="92" applyNumberFormat="1" applyFont="1" applyFill="1" applyBorder="1" applyAlignment="1">
      <alignment horizontal="center"/>
    </xf>
    <xf numFmtId="3" fontId="3" fillId="37" borderId="35" xfId="92" applyNumberFormat="1" applyFont="1" applyFill="1" applyBorder="1" applyAlignment="1">
      <alignment horizontal="center"/>
    </xf>
    <xf numFmtId="3" fontId="3" fillId="37" borderId="10" xfId="92" applyNumberFormat="1" applyFont="1" applyFill="1" applyBorder="1" applyAlignment="1">
      <alignment horizontal="center"/>
    </xf>
    <xf numFmtId="183" fontId="107" fillId="0" borderId="0" xfId="54" applyNumberFormat="1" applyFont="1" applyAlignment="1">
      <alignment horizontal="center"/>
    </xf>
    <xf numFmtId="3" fontId="2" fillId="0" borderId="0" xfId="54" applyNumberFormat="1" applyFont="1" applyFill="1" applyBorder="1" applyAlignment="1">
      <alignment horizontal="center"/>
    </xf>
    <xf numFmtId="3" fontId="0" fillId="0" borderId="0" xfId="0" applyNumberFormat="1" applyAlignment="1">
      <alignment/>
    </xf>
    <xf numFmtId="0" fontId="0" fillId="0" borderId="0" xfId="0" applyAlignment="1">
      <alignment horizontal="center"/>
    </xf>
    <xf numFmtId="0" fontId="0" fillId="0" borderId="0" xfId="0" applyBorder="1" applyAlignment="1">
      <alignment/>
    </xf>
    <xf numFmtId="3" fontId="0" fillId="0" borderId="0" xfId="0" applyNumberFormat="1" applyBorder="1" applyAlignment="1">
      <alignment/>
    </xf>
    <xf numFmtId="10" fontId="0" fillId="0" borderId="0" xfId="0" applyNumberFormat="1" applyBorder="1" applyAlignment="1">
      <alignment/>
    </xf>
    <xf numFmtId="0" fontId="103" fillId="33" borderId="0" xfId="0" applyFont="1" applyFill="1" applyBorder="1" applyAlignment="1">
      <alignment/>
    </xf>
    <xf numFmtId="0" fontId="103" fillId="33" borderId="0" xfId="0" applyFont="1" applyFill="1" applyBorder="1" applyAlignment="1">
      <alignment horizontal="center" vertical="center" wrapText="1"/>
    </xf>
    <xf numFmtId="182" fontId="102" fillId="0" borderId="0" xfId="54" applyNumberFormat="1" applyFont="1" applyFill="1" applyBorder="1" applyAlignment="1">
      <alignment/>
    </xf>
    <xf numFmtId="9" fontId="102" fillId="0" borderId="0" xfId="54" applyNumberFormat="1" applyFont="1" applyFill="1" applyBorder="1" applyAlignment="1">
      <alignment/>
    </xf>
    <xf numFmtId="10" fontId="102" fillId="0" borderId="0" xfId="203" applyNumberFormat="1" applyFont="1" applyFill="1" applyBorder="1" applyAlignment="1">
      <alignment horizontal="center"/>
    </xf>
    <xf numFmtId="9" fontId="102" fillId="0" borderId="0" xfId="203" applyFont="1" applyFill="1" applyBorder="1" applyAlignment="1">
      <alignment horizontal="center"/>
    </xf>
    <xf numFmtId="0" fontId="134" fillId="33" borderId="0" xfId="0" applyFont="1" applyFill="1" applyBorder="1" applyAlignment="1">
      <alignment/>
    </xf>
    <xf numFmtId="187" fontId="102" fillId="0" borderId="0" xfId="203" applyNumberFormat="1" applyFont="1" applyFill="1" applyBorder="1" applyAlignment="1">
      <alignment horizontal="center"/>
    </xf>
    <xf numFmtId="182" fontId="102" fillId="33" borderId="0" xfId="54" applyNumberFormat="1" applyFont="1" applyFill="1" applyBorder="1" applyAlignment="1">
      <alignment/>
    </xf>
    <xf numFmtId="182" fontId="0" fillId="0" borderId="0" xfId="0" applyNumberFormat="1" applyBorder="1" applyAlignment="1">
      <alignment/>
    </xf>
    <xf numFmtId="0" fontId="102" fillId="33" borderId="0" xfId="0" applyFont="1" applyFill="1" applyBorder="1" applyAlignment="1">
      <alignment wrapText="1"/>
    </xf>
    <xf numFmtId="0" fontId="2" fillId="33" borderId="0" xfId="0" applyFont="1" applyFill="1" applyBorder="1" applyAlignment="1">
      <alignment/>
    </xf>
    <xf numFmtId="9" fontId="102" fillId="33" borderId="0" xfId="203" applyFont="1" applyFill="1" applyBorder="1" applyAlignment="1">
      <alignment/>
    </xf>
    <xf numFmtId="0" fontId="102" fillId="33" borderId="0" xfId="0" applyFont="1" applyFill="1" applyBorder="1" applyAlignment="1">
      <alignment/>
    </xf>
    <xf numFmtId="0" fontId="2" fillId="33" borderId="0" xfId="0" applyFont="1" applyFill="1" applyBorder="1" applyAlignment="1">
      <alignment wrapText="1"/>
    </xf>
    <xf numFmtId="182" fontId="102" fillId="33" borderId="0" xfId="54" applyNumberFormat="1" applyFont="1" applyFill="1" applyBorder="1" applyAlignment="1">
      <alignment vertical="center"/>
    </xf>
    <xf numFmtId="0" fontId="147" fillId="33" borderId="0" xfId="0" applyFont="1" applyFill="1" applyBorder="1" applyAlignment="1">
      <alignment/>
    </xf>
    <xf numFmtId="0" fontId="102" fillId="0" borderId="0" xfId="0" applyFont="1" applyFill="1" applyBorder="1" applyAlignment="1">
      <alignment horizontal="center"/>
    </xf>
    <xf numFmtId="0" fontId="102" fillId="33" borderId="0" xfId="0" applyFont="1" applyFill="1" applyBorder="1" applyAlignment="1">
      <alignment horizontal="center"/>
    </xf>
    <xf numFmtId="0" fontId="4" fillId="33" borderId="0" xfId="0" applyFont="1" applyFill="1" applyBorder="1" applyAlignment="1">
      <alignment/>
    </xf>
    <xf numFmtId="0" fontId="0" fillId="0" borderId="0" xfId="145" applyBorder="1">
      <alignment/>
      <protection/>
    </xf>
    <xf numFmtId="3" fontId="102" fillId="33" borderId="0" xfId="0" applyNumberFormat="1" applyFont="1" applyFill="1" applyBorder="1" applyAlignment="1">
      <alignment/>
    </xf>
    <xf numFmtId="0" fontId="148" fillId="0" borderId="0" xfId="145" applyFont="1" applyBorder="1">
      <alignment/>
      <protection/>
    </xf>
    <xf numFmtId="17" fontId="101" fillId="0" borderId="0" xfId="0" applyNumberFormat="1" applyFont="1" applyBorder="1" applyAlignment="1">
      <alignment horizontal="left"/>
    </xf>
    <xf numFmtId="0" fontId="0" fillId="0" borderId="0" xfId="0" applyAlignment="1">
      <alignment/>
    </xf>
    <xf numFmtId="3" fontId="102" fillId="0" borderId="0" xfId="0" applyNumberFormat="1" applyFont="1" applyFill="1" applyAlignment="1">
      <alignment horizontal="center"/>
    </xf>
    <xf numFmtId="0" fontId="0" fillId="38" borderId="0" xfId="0" applyFill="1" applyAlignment="1">
      <alignment horizontal="center"/>
    </xf>
    <xf numFmtId="0" fontId="115" fillId="35" borderId="0" xfId="0" applyFont="1" applyFill="1" applyAlignment="1">
      <alignment horizontal="center" vertical="center" wrapText="1"/>
    </xf>
    <xf numFmtId="0" fontId="125" fillId="0" borderId="0" xfId="0" applyFont="1" applyBorder="1" applyAlignment="1">
      <alignment horizontal="left"/>
    </xf>
    <xf numFmtId="0" fontId="125" fillId="0" borderId="0" xfId="0" applyFont="1" applyBorder="1" applyAlignment="1">
      <alignment/>
    </xf>
    <xf numFmtId="3" fontId="125" fillId="0" borderId="0" xfId="0" applyNumberFormat="1" applyFont="1" applyBorder="1" applyAlignment="1">
      <alignment horizontal="center"/>
    </xf>
    <xf numFmtId="0" fontId="125" fillId="0" borderId="0" xfId="0" applyFont="1" applyBorder="1" applyAlignment="1">
      <alignment horizontal="center"/>
    </xf>
    <xf numFmtId="3" fontId="101" fillId="0" borderId="0" xfId="0" applyNumberFormat="1" applyFont="1" applyBorder="1" applyAlignment="1">
      <alignment/>
    </xf>
    <xf numFmtId="0" fontId="101" fillId="0" borderId="0" xfId="0" applyFont="1" applyBorder="1" applyAlignment="1">
      <alignment/>
    </xf>
    <xf numFmtId="0" fontId="101" fillId="0" borderId="0" xfId="0" applyFont="1" applyFill="1" applyBorder="1" applyAlignment="1">
      <alignment/>
    </xf>
    <xf numFmtId="3" fontId="101" fillId="0" borderId="0" xfId="0" applyNumberFormat="1" applyFont="1" applyFill="1" applyBorder="1" applyAlignment="1">
      <alignment wrapText="1"/>
    </xf>
    <xf numFmtId="0" fontId="101" fillId="0" borderId="0" xfId="0" applyFont="1" applyFill="1" applyBorder="1" applyAlignment="1">
      <alignment wrapText="1"/>
    </xf>
    <xf numFmtId="0" fontId="11" fillId="38" borderId="0" xfId="124" applyFont="1" applyFill="1" applyBorder="1" applyAlignment="1">
      <alignment horizontal="center"/>
      <protection/>
    </xf>
    <xf numFmtId="0" fontId="139" fillId="39" borderId="36" xfId="124" applyFont="1" applyFill="1" applyBorder="1" applyAlignment="1">
      <alignment horizontal="center" vertical="center"/>
      <protection/>
    </xf>
    <xf numFmtId="0" fontId="139" fillId="40" borderId="40" xfId="124" applyFont="1" applyFill="1" applyBorder="1" applyAlignment="1">
      <alignment horizontal="center" vertical="center" wrapText="1"/>
      <protection/>
    </xf>
    <xf numFmtId="0" fontId="0" fillId="0" borderId="0" xfId="0" applyAlignment="1">
      <alignment/>
    </xf>
    <xf numFmtId="3" fontId="102" fillId="0" borderId="0" xfId="0" applyNumberFormat="1" applyFont="1" applyBorder="1" applyAlignment="1">
      <alignment horizontal="center"/>
    </xf>
    <xf numFmtId="0" fontId="115" fillId="35" borderId="0" xfId="0" applyFont="1" applyFill="1" applyAlignment="1">
      <alignment horizontal="center" vertical="center" wrapText="1"/>
    </xf>
    <xf numFmtId="0" fontId="0" fillId="0" borderId="0" xfId="0" applyAlignment="1">
      <alignment/>
    </xf>
    <xf numFmtId="0" fontId="0" fillId="0" borderId="0" xfId="0" applyFont="1" applyFill="1" applyAlignment="1">
      <alignment horizontal="left" vertical="center"/>
    </xf>
    <xf numFmtId="0" fontId="0" fillId="0" borderId="0" xfId="0" applyAlignment="1">
      <alignment/>
    </xf>
    <xf numFmtId="10" fontId="0" fillId="38" borderId="10" xfId="0" applyNumberFormat="1" applyFill="1" applyBorder="1" applyAlignment="1">
      <alignment horizontal="center"/>
    </xf>
    <xf numFmtId="3" fontId="16" fillId="33" borderId="0" xfId="0" applyNumberFormat="1" applyFont="1" applyFill="1" applyAlignment="1">
      <alignment horizontal="center" wrapText="1"/>
    </xf>
    <xf numFmtId="3" fontId="16" fillId="33" borderId="0" xfId="0" applyNumberFormat="1" applyFont="1" applyFill="1" applyAlignment="1">
      <alignment horizontal="center"/>
    </xf>
    <xf numFmtId="3" fontId="17" fillId="0" borderId="0" xfId="0" applyNumberFormat="1" applyFont="1" applyFill="1" applyAlignment="1">
      <alignment horizontal="center" wrapText="1"/>
    </xf>
    <xf numFmtId="0" fontId="0" fillId="0" borderId="0" xfId="0" applyFill="1" applyBorder="1" applyAlignment="1">
      <alignment/>
    </xf>
    <xf numFmtId="3" fontId="102" fillId="0" borderId="0" xfId="0" applyNumberFormat="1" applyFont="1" applyFill="1" applyAlignment="1">
      <alignment horizontal="center"/>
    </xf>
    <xf numFmtId="0" fontId="0" fillId="0" borderId="0" xfId="0" applyAlignment="1">
      <alignment/>
    </xf>
    <xf numFmtId="0" fontId="0" fillId="0" borderId="0" xfId="0" applyFill="1" applyBorder="1" applyAlignment="1">
      <alignment/>
    </xf>
    <xf numFmtId="3" fontId="102" fillId="0" borderId="0" xfId="0" applyNumberFormat="1" applyFont="1" applyFill="1" applyAlignment="1">
      <alignment horizontal="center"/>
    </xf>
    <xf numFmtId="3" fontId="101" fillId="0" borderId="0" xfId="0" applyNumberFormat="1" applyFont="1" applyFill="1" applyBorder="1" applyAlignment="1">
      <alignment/>
    </xf>
    <xf numFmtId="10" fontId="101" fillId="0" borderId="0" xfId="0" applyNumberFormat="1" applyFont="1" applyFill="1" applyBorder="1" applyAlignment="1">
      <alignment/>
    </xf>
    <xf numFmtId="0" fontId="148" fillId="0" borderId="0" xfId="0" applyFont="1" applyFill="1" applyBorder="1" applyAlignment="1">
      <alignment horizontal="center" vertical="center"/>
    </xf>
    <xf numFmtId="9" fontId="148" fillId="0" borderId="0" xfId="0" applyNumberFormat="1" applyFont="1" applyFill="1" applyBorder="1" applyAlignment="1">
      <alignment horizontal="center" vertical="center"/>
    </xf>
    <xf numFmtId="0" fontId="102" fillId="0" borderId="0" xfId="0" applyFont="1" applyAlignment="1">
      <alignment horizontal="center"/>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0" fillId="38" borderId="0" xfId="0" applyFill="1" applyAlignment="1">
      <alignment horizontal="center"/>
    </xf>
    <xf numFmtId="0" fontId="0" fillId="0" borderId="0" xfId="0" applyAlignment="1">
      <alignment/>
    </xf>
    <xf numFmtId="0" fontId="103" fillId="33" borderId="0" xfId="0" applyFont="1" applyFill="1" applyAlignment="1">
      <alignment/>
    </xf>
    <xf numFmtId="0" fontId="102" fillId="33" borderId="0" xfId="0" applyFont="1" applyFill="1" applyAlignment="1">
      <alignment/>
    </xf>
    <xf numFmtId="0" fontId="103" fillId="33" borderId="34" xfId="0" applyFont="1" applyFill="1" applyBorder="1" applyAlignment="1">
      <alignment vertical="center"/>
    </xf>
    <xf numFmtId="14" fontId="103" fillId="33" borderId="35" xfId="0" applyNumberFormat="1" applyFont="1" applyFill="1" applyBorder="1" applyAlignment="1">
      <alignment vertical="center"/>
    </xf>
    <xf numFmtId="14" fontId="103" fillId="33" borderId="0" xfId="0" applyNumberFormat="1" applyFont="1" applyFill="1" applyBorder="1" applyAlignment="1">
      <alignment vertical="center"/>
    </xf>
    <xf numFmtId="0" fontId="103" fillId="33" borderId="0" xfId="0" applyFont="1" applyFill="1" applyBorder="1" applyAlignment="1">
      <alignment vertical="center"/>
    </xf>
    <xf numFmtId="0" fontId="103" fillId="33" borderId="30" xfId="0" applyFont="1" applyFill="1" applyBorder="1" applyAlignment="1">
      <alignment vertical="center"/>
    </xf>
    <xf numFmtId="0" fontId="103" fillId="33" borderId="10" xfId="0" applyFont="1" applyFill="1" applyBorder="1" applyAlignment="1">
      <alignment horizontal="center" vertical="center" wrapText="1"/>
    </xf>
    <xf numFmtId="0" fontId="102" fillId="33" borderId="34" xfId="0" applyFont="1" applyFill="1" applyBorder="1" applyAlignment="1">
      <alignment/>
    </xf>
    <xf numFmtId="182" fontId="102" fillId="0" borderId="10" xfId="62" applyNumberFormat="1" applyFont="1" applyFill="1" applyBorder="1" applyAlignment="1">
      <alignment/>
    </xf>
    <xf numFmtId="3" fontId="102" fillId="0" borderId="35" xfId="203" applyNumberFormat="1" applyFont="1" applyFill="1" applyBorder="1" applyAlignment="1">
      <alignment horizontal="center"/>
    </xf>
    <xf numFmtId="0" fontId="102" fillId="33" borderId="29" xfId="0" applyFont="1" applyFill="1" applyBorder="1" applyAlignment="1">
      <alignment/>
    </xf>
    <xf numFmtId="9" fontId="102" fillId="0" borderId="35" xfId="62" applyNumberFormat="1" applyFont="1" applyFill="1" applyBorder="1" applyAlignment="1">
      <alignment/>
    </xf>
    <xf numFmtId="0" fontId="134" fillId="33" borderId="34" xfId="0" applyFont="1" applyFill="1" applyBorder="1" applyAlignment="1">
      <alignment/>
    </xf>
    <xf numFmtId="0" fontId="102" fillId="33" borderId="10" xfId="0" applyFont="1" applyFill="1" applyBorder="1" applyAlignment="1">
      <alignment/>
    </xf>
    <xf numFmtId="3" fontId="0" fillId="0" borderId="0" xfId="0" applyNumberFormat="1" applyAlignment="1">
      <alignment/>
    </xf>
    <xf numFmtId="182" fontId="102" fillId="33" borderId="55" xfId="62" applyNumberFormat="1" applyFont="1" applyFill="1" applyBorder="1" applyAlignment="1">
      <alignment/>
    </xf>
    <xf numFmtId="182" fontId="102" fillId="33" borderId="35" xfId="62" applyNumberFormat="1" applyFont="1" applyFill="1" applyBorder="1" applyAlignment="1">
      <alignment/>
    </xf>
    <xf numFmtId="0" fontId="102" fillId="33" borderId="10" xfId="0" applyFont="1" applyFill="1" applyBorder="1" applyAlignment="1">
      <alignment wrapText="1"/>
    </xf>
    <xf numFmtId="182" fontId="102" fillId="33" borderId="10" xfId="62" applyNumberFormat="1" applyFont="1" applyFill="1" applyBorder="1" applyAlignment="1">
      <alignment/>
    </xf>
    <xf numFmtId="182" fontId="102" fillId="33" borderId="56" xfId="62" applyNumberFormat="1" applyFont="1" applyFill="1" applyBorder="1" applyAlignment="1">
      <alignment/>
    </xf>
    <xf numFmtId="183" fontId="0" fillId="0" borderId="0" xfId="0" applyNumberFormat="1" applyAlignment="1">
      <alignment/>
    </xf>
    <xf numFmtId="0" fontId="2" fillId="33" borderId="10" xfId="0" applyFont="1" applyFill="1" applyBorder="1" applyAlignment="1">
      <alignment/>
    </xf>
    <xf numFmtId="183" fontId="2" fillId="33" borderId="10" xfId="62" applyNumberFormat="1" applyFont="1" applyFill="1" applyBorder="1" applyAlignment="1">
      <alignment/>
    </xf>
    <xf numFmtId="183" fontId="2" fillId="33" borderId="56" xfId="62" applyNumberFormat="1" applyFont="1" applyFill="1" applyBorder="1" applyAlignment="1">
      <alignment/>
    </xf>
    <xf numFmtId="9" fontId="102" fillId="33" borderId="56" xfId="203" applyFont="1" applyFill="1" applyBorder="1" applyAlignment="1">
      <alignment/>
    </xf>
    <xf numFmtId="0" fontId="102" fillId="33" borderId="34" xfId="0" applyFont="1" applyFill="1" applyBorder="1" applyAlignment="1">
      <alignment/>
    </xf>
    <xf numFmtId="0" fontId="102" fillId="33" borderId="55" xfId="0" applyFont="1" applyFill="1" applyBorder="1" applyAlignment="1">
      <alignment/>
    </xf>
    <xf numFmtId="0" fontId="102" fillId="33" borderId="35" xfId="0" applyFont="1" applyFill="1" applyBorder="1" applyAlignment="1">
      <alignment/>
    </xf>
    <xf numFmtId="0" fontId="2" fillId="33" borderId="10" xfId="0" applyFont="1" applyFill="1" applyBorder="1" applyAlignment="1">
      <alignment wrapText="1"/>
    </xf>
    <xf numFmtId="182" fontId="102" fillId="33" borderId="34" xfId="62" applyNumberFormat="1" applyFont="1" applyFill="1" applyBorder="1" applyAlignment="1">
      <alignment vertical="center"/>
    </xf>
    <xf numFmtId="0" fontId="0" fillId="0" borderId="0" xfId="0" applyBorder="1" applyAlignment="1">
      <alignment/>
    </xf>
    <xf numFmtId="0" fontId="102" fillId="33" borderId="14" xfId="0" applyFont="1" applyFill="1" applyBorder="1" applyAlignment="1">
      <alignment/>
    </xf>
    <xf numFmtId="0" fontId="102" fillId="33" borderId="0" xfId="0" applyFont="1" applyFill="1" applyBorder="1" applyAlignment="1">
      <alignment/>
    </xf>
    <xf numFmtId="0" fontId="103" fillId="33" borderId="10" xfId="0" applyFont="1" applyFill="1" applyBorder="1" applyAlignment="1">
      <alignment/>
    </xf>
    <xf numFmtId="0" fontId="102" fillId="0" borderId="0" xfId="0" applyFont="1" applyFill="1" applyBorder="1" applyAlignment="1">
      <alignment/>
    </xf>
    <xf numFmtId="0" fontId="147" fillId="33" borderId="10" xfId="0" applyFont="1" applyFill="1" applyBorder="1" applyAlignment="1">
      <alignment/>
    </xf>
    <xf numFmtId="0" fontId="102" fillId="0" borderId="10" xfId="0" applyFont="1" applyFill="1" applyBorder="1" applyAlignment="1">
      <alignment horizontal="center"/>
    </xf>
    <xf numFmtId="0" fontId="102" fillId="33" borderId="10" xfId="0" applyFont="1" applyFill="1" applyBorder="1" applyAlignment="1">
      <alignment horizontal="center"/>
    </xf>
    <xf numFmtId="0" fontId="4" fillId="33" borderId="0" xfId="0" applyFont="1" applyFill="1" applyAlignment="1">
      <alignment/>
    </xf>
    <xf numFmtId="0" fontId="0" fillId="0" borderId="0" xfId="145">
      <alignment/>
      <protection/>
    </xf>
    <xf numFmtId="0" fontId="148" fillId="0" borderId="0" xfId="145" applyFont="1">
      <alignment/>
      <protection/>
    </xf>
    <xf numFmtId="17" fontId="101" fillId="0" borderId="0" xfId="0" applyNumberFormat="1" applyFont="1" applyAlignment="1">
      <alignment horizontal="left"/>
    </xf>
    <xf numFmtId="0" fontId="0" fillId="0" borderId="0" xfId="0" applyAlignment="1">
      <alignment horizontal="left"/>
    </xf>
    <xf numFmtId="0" fontId="101" fillId="0" borderId="0" xfId="0" applyFont="1" applyAlignment="1">
      <alignment/>
    </xf>
    <xf numFmtId="3" fontId="101" fillId="0" borderId="0" xfId="0" applyNumberFormat="1" applyFont="1" applyAlignment="1">
      <alignment/>
    </xf>
    <xf numFmtId="0" fontId="101" fillId="43" borderId="0" xfId="0" applyFont="1" applyFill="1" applyAlignment="1">
      <alignment/>
    </xf>
    <xf numFmtId="10" fontId="101" fillId="43" borderId="0" xfId="0" applyNumberFormat="1" applyFont="1" applyFill="1" applyAlignment="1">
      <alignment/>
    </xf>
    <xf numFmtId="10" fontId="101" fillId="33" borderId="0" xfId="0" applyNumberFormat="1" applyFont="1" applyFill="1" applyAlignment="1">
      <alignment/>
    </xf>
    <xf numFmtId="0" fontId="0" fillId="44" borderId="0" xfId="0" applyFill="1" applyAlignment="1">
      <alignment/>
    </xf>
    <xf numFmtId="3" fontId="0" fillId="44" borderId="0" xfId="0" applyNumberFormat="1" applyFill="1" applyAlignment="1">
      <alignment/>
    </xf>
    <xf numFmtId="3" fontId="101" fillId="43" borderId="0" xfId="0" applyNumberFormat="1" applyFont="1" applyFill="1" applyAlignment="1">
      <alignment/>
    </xf>
    <xf numFmtId="0" fontId="101" fillId="44" borderId="0" xfId="0" applyFont="1" applyFill="1" applyAlignment="1">
      <alignment/>
    </xf>
    <xf numFmtId="3" fontId="101" fillId="44" borderId="0" xfId="0" applyNumberFormat="1" applyFont="1" applyFill="1" applyAlignment="1">
      <alignment/>
    </xf>
    <xf numFmtId="0" fontId="101" fillId="36" borderId="0" xfId="0" applyFont="1" applyFill="1" applyAlignment="1">
      <alignment/>
    </xf>
    <xf numFmtId="3" fontId="101" fillId="36" borderId="0" xfId="0" applyNumberFormat="1" applyFont="1" applyFill="1" applyAlignment="1">
      <alignment/>
    </xf>
    <xf numFmtId="0" fontId="0" fillId="0" borderId="15" xfId="0" applyBorder="1" applyAlignment="1">
      <alignment/>
    </xf>
    <xf numFmtId="0" fontId="0" fillId="0" borderId="16" xfId="0" applyBorder="1" applyAlignment="1">
      <alignment/>
    </xf>
    <xf numFmtId="0" fontId="148" fillId="33" borderId="59" xfId="0" applyFont="1" applyFill="1" applyBorder="1" applyAlignment="1">
      <alignment horizontal="center" vertical="center"/>
    </xf>
    <xf numFmtId="0" fontId="148" fillId="33" borderId="62" xfId="0" applyFont="1" applyFill="1" applyBorder="1" applyAlignment="1">
      <alignment horizontal="center" vertical="center"/>
    </xf>
    <xf numFmtId="9" fontId="148" fillId="33" borderId="62" xfId="0" applyNumberFormat="1" applyFont="1" applyFill="1" applyBorder="1" applyAlignment="1">
      <alignment horizontal="center" vertical="center"/>
    </xf>
    <xf numFmtId="0" fontId="148" fillId="45" borderId="59" xfId="0" applyFont="1" applyFill="1" applyBorder="1" applyAlignment="1">
      <alignment horizontal="center" vertical="center"/>
    </xf>
    <xf numFmtId="9" fontId="148" fillId="45" borderId="62" xfId="0" applyNumberFormat="1" applyFont="1" applyFill="1" applyBorder="1" applyAlignment="1">
      <alignment horizontal="center" vertical="center"/>
    </xf>
    <xf numFmtId="0" fontId="148" fillId="45" borderId="60" xfId="0" applyFont="1" applyFill="1" applyBorder="1" applyAlignment="1">
      <alignment horizontal="center" vertical="center"/>
    </xf>
    <xf numFmtId="9" fontId="148" fillId="45" borderId="63" xfId="0" applyNumberFormat="1" applyFont="1" applyFill="1" applyBorder="1" applyAlignment="1">
      <alignment horizontal="center" vertical="center"/>
    </xf>
    <xf numFmtId="0" fontId="0" fillId="0" borderId="0" xfId="0" applyAlignment="1">
      <alignment/>
    </xf>
    <xf numFmtId="3" fontId="0" fillId="0" borderId="0" xfId="0" applyNumberFormat="1" applyAlignment="1">
      <alignment/>
    </xf>
    <xf numFmtId="3" fontId="2" fillId="0" borderId="0" xfId="144" applyNumberFormat="1" applyFont="1" applyFill="1" applyBorder="1" applyAlignment="1">
      <alignment horizontal="center"/>
      <protection/>
    </xf>
    <xf numFmtId="0" fontId="17" fillId="0" borderId="0" xfId="0" applyFont="1" applyFill="1" applyBorder="1" applyAlignment="1">
      <alignment/>
    </xf>
    <xf numFmtId="0" fontId="125" fillId="0" borderId="64" xfId="0" applyFont="1" applyBorder="1" applyAlignment="1">
      <alignment horizontal="center"/>
    </xf>
    <xf numFmtId="0" fontId="149" fillId="0" borderId="57" xfId="0" applyFont="1" applyBorder="1" applyAlignment="1">
      <alignment horizontal="center"/>
    </xf>
    <xf numFmtId="0" fontId="125" fillId="0" borderId="0" xfId="0" applyFont="1" applyBorder="1" applyAlignment="1">
      <alignment/>
    </xf>
    <xf numFmtId="0" fontId="149" fillId="0" borderId="15" xfId="0" applyFont="1" applyBorder="1" applyAlignment="1">
      <alignment horizontal="center"/>
    </xf>
    <xf numFmtId="0" fontId="125" fillId="0" borderId="59" xfId="0" applyFont="1" applyBorder="1" applyAlignment="1">
      <alignment horizontal="left"/>
    </xf>
    <xf numFmtId="0" fontId="125" fillId="0" borderId="60" xfId="0" applyFont="1" applyBorder="1" applyAlignment="1">
      <alignment horizontal="left"/>
    </xf>
    <xf numFmtId="0" fontId="149" fillId="0" borderId="15" xfId="0" applyFont="1" applyBorder="1" applyAlignment="1">
      <alignment/>
    </xf>
    <xf numFmtId="0" fontId="125" fillId="0" borderId="59" xfId="0" applyFont="1" applyBorder="1" applyAlignment="1">
      <alignment/>
    </xf>
    <xf numFmtId="0" fontId="125" fillId="0" borderId="60" xfId="0" applyFont="1" applyBorder="1" applyAlignment="1">
      <alignment/>
    </xf>
    <xf numFmtId="0" fontId="125" fillId="0" borderId="59" xfId="0" applyFont="1" applyBorder="1" applyAlignment="1">
      <alignment horizontal="center"/>
    </xf>
    <xf numFmtId="0" fontId="125" fillId="0" borderId="60" xfId="0" applyFont="1" applyBorder="1" applyAlignment="1">
      <alignment horizontal="center"/>
    </xf>
    <xf numFmtId="3" fontId="149" fillId="0" borderId="15" xfId="0" applyNumberFormat="1" applyFont="1" applyBorder="1" applyAlignment="1">
      <alignment horizontal="center"/>
    </xf>
    <xf numFmtId="3" fontId="125" fillId="0" borderId="59" xfId="0" applyNumberFormat="1" applyFont="1" applyBorder="1" applyAlignment="1">
      <alignment horizontal="center"/>
    </xf>
    <xf numFmtId="3" fontId="125" fillId="0" borderId="60" xfId="0" applyNumberFormat="1" applyFont="1" applyBorder="1" applyAlignment="1">
      <alignment horizontal="center"/>
    </xf>
    <xf numFmtId="0" fontId="125" fillId="0" borderId="59" xfId="0" applyFont="1" applyBorder="1" applyAlignment="1">
      <alignment/>
    </xf>
    <xf numFmtId="0" fontId="125" fillId="0" borderId="60" xfId="0" applyFont="1" applyBorder="1" applyAlignment="1">
      <alignment/>
    </xf>
    <xf numFmtId="0" fontId="125" fillId="0" borderId="65" xfId="0" applyFont="1" applyBorder="1" applyAlignment="1">
      <alignment horizontal="center"/>
    </xf>
    <xf numFmtId="3" fontId="125" fillId="0" borderId="15" xfId="0" applyNumberFormat="1" applyFont="1" applyBorder="1" applyAlignment="1">
      <alignment horizontal="center"/>
    </xf>
    <xf numFmtId="3" fontId="149" fillId="0" borderId="60" xfId="0" applyNumberFormat="1" applyFont="1" applyBorder="1" applyAlignment="1">
      <alignment horizontal="center"/>
    </xf>
    <xf numFmtId="0" fontId="125" fillId="0" borderId="57" xfId="0" applyFont="1" applyBorder="1" applyAlignment="1">
      <alignment horizontal="center"/>
    </xf>
    <xf numFmtId="3" fontId="125" fillId="0" borderId="66" xfId="0" applyNumberFormat="1" applyFont="1" applyBorder="1" applyAlignment="1">
      <alignment horizontal="center"/>
    </xf>
    <xf numFmtId="0" fontId="0" fillId="0" borderId="15"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25" fillId="0" borderId="15" xfId="0" applyFont="1" applyBorder="1" applyAlignment="1">
      <alignment horizontal="center"/>
    </xf>
    <xf numFmtId="0" fontId="125" fillId="0" borderId="66" xfId="0" applyFont="1" applyBorder="1" applyAlignment="1">
      <alignment horizontal="left"/>
    </xf>
    <xf numFmtId="0" fontId="125" fillId="0" borderId="66" xfId="0" applyFont="1" applyBorder="1" applyAlignment="1">
      <alignment/>
    </xf>
    <xf numFmtId="0" fontId="125" fillId="0" borderId="16" xfId="0" applyFont="1" applyBorder="1" applyAlignment="1">
      <alignment/>
    </xf>
    <xf numFmtId="3" fontId="0" fillId="0" borderId="59" xfId="0" applyNumberFormat="1" applyBorder="1" applyAlignment="1">
      <alignment/>
    </xf>
    <xf numFmtId="0" fontId="107" fillId="0" borderId="59" xfId="0" applyFont="1" applyBorder="1" applyAlignment="1">
      <alignment/>
    </xf>
    <xf numFmtId="0" fontId="107" fillId="0" borderId="60" xfId="0" applyFont="1" applyBorder="1" applyAlignment="1">
      <alignment/>
    </xf>
    <xf numFmtId="10" fontId="0" fillId="0" borderId="67" xfId="0" applyNumberFormat="1" applyBorder="1" applyAlignment="1">
      <alignment horizontal="center"/>
    </xf>
    <xf numFmtId="10" fontId="0" fillId="0" borderId="59" xfId="0" applyNumberFormat="1" applyBorder="1" applyAlignment="1">
      <alignment horizontal="center"/>
    </xf>
    <xf numFmtId="0" fontId="101" fillId="0" borderId="15" xfId="0" applyFont="1" applyBorder="1" applyAlignment="1">
      <alignment/>
    </xf>
    <xf numFmtId="10" fontId="0" fillId="0" borderId="60" xfId="0" applyNumberFormat="1" applyBorder="1" applyAlignment="1">
      <alignment horizontal="center"/>
    </xf>
    <xf numFmtId="3" fontId="101" fillId="0" borderId="15" xfId="0" applyNumberFormat="1" applyFont="1" applyBorder="1" applyAlignment="1">
      <alignment horizontal="center"/>
    </xf>
    <xf numFmtId="0" fontId="125" fillId="0" borderId="15" xfId="0" applyFont="1" applyBorder="1" applyAlignment="1">
      <alignment horizontal="left"/>
    </xf>
    <xf numFmtId="0" fontId="125" fillId="0" borderId="15" xfId="0" applyFont="1" applyBorder="1" applyAlignment="1">
      <alignment/>
    </xf>
    <xf numFmtId="10" fontId="0" fillId="0" borderId="15" xfId="0" applyNumberFormat="1" applyBorder="1" applyAlignment="1">
      <alignment horizontal="center"/>
    </xf>
    <xf numFmtId="10" fontId="101" fillId="0" borderId="59" xfId="0" applyNumberFormat="1" applyFont="1" applyBorder="1" applyAlignment="1">
      <alignment horizontal="center"/>
    </xf>
    <xf numFmtId="10" fontId="101" fillId="0" borderId="15" xfId="0" applyNumberFormat="1" applyFont="1" applyBorder="1" applyAlignment="1">
      <alignment horizontal="center"/>
    </xf>
    <xf numFmtId="3" fontId="104" fillId="0" borderId="0" xfId="0" applyNumberFormat="1" applyFont="1" applyFill="1" applyBorder="1" applyAlignment="1">
      <alignment horizontal="center"/>
    </xf>
    <xf numFmtId="3" fontId="104" fillId="0" borderId="0" xfId="203" applyNumberFormat="1" applyFont="1" applyFill="1" applyBorder="1" applyAlignment="1">
      <alignment horizontal="center"/>
    </xf>
    <xf numFmtId="3" fontId="104" fillId="0" borderId="14" xfId="55" applyNumberFormat="1" applyFont="1" applyFill="1" applyBorder="1" applyAlignment="1">
      <alignment horizontal="center"/>
    </xf>
    <xf numFmtId="0" fontId="0" fillId="38" borderId="10" xfId="0" applyFill="1" applyBorder="1" applyAlignment="1">
      <alignment horizontal="center"/>
    </xf>
    <xf numFmtId="0" fontId="0" fillId="38" borderId="10" xfId="0" applyFill="1" applyBorder="1" applyAlignment="1">
      <alignment horizontal="center" vertical="center" wrapText="1"/>
    </xf>
    <xf numFmtId="0" fontId="0" fillId="0" borderId="0" xfId="0" applyAlignment="1">
      <alignment/>
    </xf>
    <xf numFmtId="181" fontId="4" fillId="33" borderId="50" xfId="75" applyNumberFormat="1" applyFont="1" applyFill="1" applyBorder="1" applyAlignment="1">
      <alignment horizontal="left"/>
    </xf>
    <xf numFmtId="3" fontId="0" fillId="33" borderId="10" xfId="0" applyNumberFormat="1" applyFill="1" applyBorder="1" applyAlignment="1">
      <alignment horizontal="center"/>
    </xf>
    <xf numFmtId="10" fontId="0" fillId="33" borderId="10" xfId="0" applyNumberFormat="1" applyFill="1" applyBorder="1" applyAlignment="1">
      <alignment horizontal="center"/>
    </xf>
    <xf numFmtId="3" fontId="0" fillId="33" borderId="0" xfId="0" applyNumberFormat="1" applyFont="1" applyFill="1" applyAlignment="1">
      <alignment horizontal="center"/>
    </xf>
    <xf numFmtId="3" fontId="11" fillId="33" borderId="52" xfId="0" applyNumberFormat="1" applyFont="1" applyFill="1" applyBorder="1" applyAlignment="1">
      <alignment horizontal="center" vertical="center" wrapText="1"/>
    </xf>
    <xf numFmtId="0" fontId="2" fillId="0" borderId="12" xfId="144" applyFill="1" applyBorder="1" applyAlignment="1">
      <alignment horizontal="center"/>
      <protection/>
    </xf>
    <xf numFmtId="0" fontId="2" fillId="0" borderId="0" xfId="144" applyFill="1" applyBorder="1" applyAlignment="1">
      <alignment horizontal="center"/>
      <protection/>
    </xf>
    <xf numFmtId="3" fontId="2" fillId="0" borderId="0" xfId="144" applyNumberFormat="1" applyFill="1" applyBorder="1" applyAlignment="1">
      <alignment horizontal="center"/>
      <protection/>
    </xf>
    <xf numFmtId="0" fontId="109" fillId="0" borderId="0" xfId="144" applyFont="1" applyBorder="1" applyAlignment="1">
      <alignment horizontal="center"/>
      <protection/>
    </xf>
    <xf numFmtId="0" fontId="109" fillId="0" borderId="13" xfId="144" applyFont="1" applyBorder="1" applyAlignment="1">
      <alignment horizontal="center"/>
      <protection/>
    </xf>
    <xf numFmtId="3" fontId="0" fillId="33" borderId="0" xfId="0" applyNumberFormat="1" applyFill="1" applyAlignment="1">
      <alignment horizontal="center"/>
    </xf>
    <xf numFmtId="3" fontId="0" fillId="38" borderId="10" xfId="0" applyNumberFormat="1" applyFill="1" applyBorder="1" applyAlignment="1">
      <alignment horizontal="center"/>
    </xf>
    <xf numFmtId="3" fontId="0" fillId="0" borderId="10" xfId="0" applyNumberFormat="1" applyFill="1" applyBorder="1" applyAlignment="1">
      <alignment horizontal="center"/>
    </xf>
    <xf numFmtId="0" fontId="4" fillId="0" borderId="0" xfId="0" applyFont="1" applyFill="1" applyAlignment="1">
      <alignment horizontal="left" vertical="center"/>
    </xf>
    <xf numFmtId="0" fontId="0" fillId="0" borderId="0" xfId="0" applyAlignment="1">
      <alignment/>
    </xf>
    <xf numFmtId="0" fontId="121" fillId="35"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center"/>
    </xf>
    <xf numFmtId="0" fontId="0" fillId="0" borderId="0" xfId="0" applyFill="1" applyBorder="1" applyAlignment="1">
      <alignment/>
    </xf>
    <xf numFmtId="3" fontId="4" fillId="0" borderId="0" xfId="0" applyNumberFormat="1" applyFont="1" applyFill="1" applyAlignment="1">
      <alignment horizontal="center"/>
    </xf>
    <xf numFmtId="0" fontId="8" fillId="0" borderId="0" xfId="0" applyFont="1" applyFill="1" applyAlignment="1">
      <alignment horizontal="left" vertical="center"/>
    </xf>
    <xf numFmtId="181" fontId="146" fillId="0" borderId="0" xfId="54" applyNumberFormat="1" applyFont="1" applyFill="1" applyAlignment="1">
      <alignment horizontal="center"/>
    </xf>
    <xf numFmtId="181" fontId="110" fillId="0" borderId="0" xfId="54" applyNumberFormat="1" applyFont="1" applyFill="1" applyAlignment="1">
      <alignment horizontal="center"/>
    </xf>
    <xf numFmtId="3" fontId="110" fillId="0" borderId="0" xfId="54" applyNumberFormat="1" applyFont="1" applyFill="1" applyAlignment="1">
      <alignment horizontal="center"/>
    </xf>
    <xf numFmtId="0" fontId="102" fillId="0" borderId="0" xfId="0" applyFont="1" applyFill="1" applyAlignment="1">
      <alignment horizontal="left"/>
    </xf>
    <xf numFmtId="0" fontId="121" fillId="35" borderId="0" xfId="0" applyFont="1" applyFill="1" applyAlignment="1">
      <alignment horizontal="left"/>
    </xf>
    <xf numFmtId="0" fontId="0" fillId="0" borderId="0" xfId="0" applyAlignment="1">
      <alignment horizontal="left"/>
    </xf>
    <xf numFmtId="0" fontId="115" fillId="0" borderId="0" xfId="0" applyFont="1" applyFill="1" applyAlignment="1">
      <alignment horizontal="center" vertical="center" wrapText="1"/>
    </xf>
    <xf numFmtId="0" fontId="115" fillId="35" borderId="0" xfId="0" applyFont="1" applyFill="1" applyAlignment="1">
      <alignment horizontal="center" vertical="center" wrapText="1"/>
    </xf>
    <xf numFmtId="181" fontId="115" fillId="35" borderId="0" xfId="54" applyNumberFormat="1" applyFont="1" applyFill="1" applyAlignment="1">
      <alignment horizontal="center" vertical="center" wrapText="1"/>
    </xf>
    <xf numFmtId="181" fontId="115" fillId="35" borderId="11" xfId="54" applyNumberFormat="1" applyFont="1" applyFill="1" applyBorder="1" applyAlignment="1">
      <alignment horizontal="center" vertical="center" wrapText="1"/>
    </xf>
    <xf numFmtId="0" fontId="107" fillId="0" borderId="0" xfId="0" applyFont="1" applyAlignment="1">
      <alignment horizontal="center"/>
    </xf>
    <xf numFmtId="3" fontId="102" fillId="0" borderId="0" xfId="0" applyNumberFormat="1" applyFont="1" applyFill="1" applyAlignment="1">
      <alignment horizontal="center"/>
    </xf>
    <xf numFmtId="0" fontId="102" fillId="0" borderId="0" xfId="0" applyFont="1" applyFill="1" applyAlignment="1">
      <alignment horizontal="center"/>
    </xf>
    <xf numFmtId="0" fontId="107"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49" fontId="107" fillId="0" borderId="0" xfId="0" applyNumberFormat="1" applyFont="1" applyAlignment="1">
      <alignment horizontal="justify" vertical="center" wrapText="1"/>
    </xf>
    <xf numFmtId="49" fontId="107" fillId="0" borderId="0" xfId="0" applyNumberFormat="1" applyFont="1" applyAlignment="1">
      <alignment wrapText="1"/>
    </xf>
    <xf numFmtId="49" fontId="107" fillId="0" borderId="0" xfId="0" applyNumberFormat="1" applyFont="1" applyAlignment="1">
      <alignment horizontal="left" wrapText="1"/>
    </xf>
    <xf numFmtId="0" fontId="102" fillId="0" borderId="0" xfId="0" applyFont="1" applyBorder="1" applyAlignment="1">
      <alignment horizontal="center" vertical="center"/>
    </xf>
    <xf numFmtId="0" fontId="103" fillId="0" borderId="0" xfId="0" applyFont="1" applyAlignment="1">
      <alignment horizontal="left" vertical="center"/>
    </xf>
    <xf numFmtId="0" fontId="107" fillId="0" borderId="0" xfId="0" applyFont="1" applyAlignment="1">
      <alignment wrapText="1"/>
    </xf>
    <xf numFmtId="0" fontId="13" fillId="0" borderId="0" xfId="0" applyFont="1" applyBorder="1" applyAlignment="1">
      <alignment horizontal="justify" vertical="justify" wrapText="1"/>
    </xf>
    <xf numFmtId="0" fontId="0" fillId="0" borderId="0" xfId="0" applyAlignment="1">
      <alignment horizontal="center" vertical="center" wrapText="1"/>
    </xf>
    <xf numFmtId="0" fontId="107" fillId="0" borderId="0" xfId="0" applyFont="1" applyBorder="1" applyAlignment="1">
      <alignment horizontal="left" wrapText="1"/>
    </xf>
    <xf numFmtId="0" fontId="101" fillId="0" borderId="57" xfId="0" applyFont="1" applyBorder="1" applyAlignment="1">
      <alignment horizontal="center"/>
    </xf>
    <xf numFmtId="0" fontId="101" fillId="0" borderId="66" xfId="0" applyFont="1" applyBorder="1" applyAlignment="1">
      <alignment horizontal="center"/>
    </xf>
    <xf numFmtId="0" fontId="101" fillId="0" borderId="16" xfId="0" applyFont="1" applyBorder="1" applyAlignment="1">
      <alignment horizontal="center"/>
    </xf>
    <xf numFmtId="0" fontId="4" fillId="43" borderId="57" xfId="0" applyFont="1" applyFill="1" applyBorder="1" applyAlignment="1">
      <alignment horizontal="center" vertical="top" wrapText="1"/>
    </xf>
    <xf numFmtId="0" fontId="4" fillId="43" borderId="66" xfId="0" applyFont="1" applyFill="1" applyBorder="1" applyAlignment="1">
      <alignment horizontal="center" vertical="top" wrapText="1"/>
    </xf>
    <xf numFmtId="0" fontId="4" fillId="43" borderId="16" xfId="0" applyFont="1" applyFill="1" applyBorder="1" applyAlignment="1">
      <alignment horizontal="center" vertical="top" wrapText="1"/>
    </xf>
    <xf numFmtId="0" fontId="102" fillId="0" borderId="0" xfId="0" applyFont="1" applyFill="1" applyAlignment="1">
      <alignment horizontal="left" vertical="justify" wrapText="1"/>
    </xf>
    <xf numFmtId="0" fontId="105" fillId="0" borderId="12" xfId="0" applyFont="1" applyFill="1" applyBorder="1" applyAlignment="1">
      <alignment horizontal="justify" vertical="justify" wrapText="1"/>
    </xf>
    <xf numFmtId="0" fontId="105" fillId="0" borderId="0" xfId="0" applyFont="1" applyFill="1" applyBorder="1" applyAlignment="1">
      <alignment horizontal="justify" vertical="justify" wrapText="1"/>
    </xf>
    <xf numFmtId="0" fontId="105" fillId="0" borderId="13" xfId="0" applyFont="1" applyFill="1" applyBorder="1" applyAlignment="1">
      <alignment horizontal="justify" vertical="justify" wrapText="1"/>
    </xf>
    <xf numFmtId="0" fontId="102" fillId="0" borderId="12" xfId="0" applyFont="1" applyFill="1" applyBorder="1" applyAlignment="1">
      <alignment horizontal="left" vertical="justify" wrapText="1"/>
    </xf>
    <xf numFmtId="0" fontId="102" fillId="0" borderId="0" xfId="0" applyFont="1" applyFill="1" applyBorder="1" applyAlignment="1">
      <alignment horizontal="left" vertical="justify" wrapText="1"/>
    </xf>
    <xf numFmtId="0" fontId="102" fillId="0" borderId="13" xfId="0" applyFont="1" applyFill="1" applyBorder="1" applyAlignment="1">
      <alignment horizontal="left" vertical="justify" wrapText="1"/>
    </xf>
    <xf numFmtId="0" fontId="103" fillId="0" borderId="12" xfId="0" applyFont="1" applyFill="1" applyBorder="1" applyAlignment="1">
      <alignment horizontal="left" vertical="justify" wrapText="1"/>
    </xf>
    <xf numFmtId="0" fontId="103" fillId="0" borderId="0" xfId="0" applyFont="1" applyFill="1" applyBorder="1" applyAlignment="1">
      <alignment horizontal="left" vertical="justify" wrapText="1"/>
    </xf>
    <xf numFmtId="0" fontId="103" fillId="0" borderId="13" xfId="0" applyFont="1" applyFill="1" applyBorder="1" applyAlignment="1">
      <alignment horizontal="left" vertical="justify" wrapText="1"/>
    </xf>
    <xf numFmtId="0" fontId="105" fillId="0" borderId="0" xfId="0" applyFont="1" applyFill="1" applyAlignment="1">
      <alignment horizontal="left" vertical="justify" wrapText="1"/>
    </xf>
    <xf numFmtId="0" fontId="102" fillId="0" borderId="0" xfId="0" applyFont="1" applyAlignment="1">
      <alignment horizontal="left" vertical="top" wrapText="1"/>
    </xf>
    <xf numFmtId="0" fontId="2" fillId="0" borderId="31" xfId="0" applyFont="1" applyFill="1" applyBorder="1" applyAlignment="1">
      <alignment horizontal="left" vertical="justify" wrapText="1"/>
    </xf>
    <xf numFmtId="0" fontId="2" fillId="0" borderId="11" xfId="0" applyFont="1" applyFill="1" applyBorder="1" applyAlignment="1">
      <alignment horizontal="left" vertical="justify" wrapText="1"/>
    </xf>
    <xf numFmtId="0" fontId="2" fillId="0" borderId="56" xfId="0" applyFont="1" applyFill="1" applyBorder="1" applyAlignment="1">
      <alignment horizontal="left" vertical="justify" wrapText="1"/>
    </xf>
    <xf numFmtId="0" fontId="18" fillId="14" borderId="0" xfId="0" applyFont="1" applyFill="1" applyAlignment="1">
      <alignment horizontal="left" vertical="center" wrapText="1"/>
    </xf>
    <xf numFmtId="0" fontId="18" fillId="14" borderId="13" xfId="0" applyFont="1" applyFill="1" applyBorder="1" applyAlignment="1">
      <alignment horizontal="left" vertical="center" wrapText="1"/>
    </xf>
    <xf numFmtId="0" fontId="103" fillId="0" borderId="12" xfId="0" applyFont="1" applyFill="1" applyBorder="1" applyAlignment="1">
      <alignment horizontal="left"/>
    </xf>
    <xf numFmtId="0" fontId="103" fillId="0" borderId="0" xfId="0" applyFont="1" applyFill="1" applyBorder="1" applyAlignment="1">
      <alignment horizontal="left"/>
    </xf>
    <xf numFmtId="0" fontId="103" fillId="0" borderId="13" xfId="0" applyFont="1" applyFill="1" applyBorder="1" applyAlignment="1">
      <alignment horizontal="left"/>
    </xf>
    <xf numFmtId="0" fontId="105" fillId="0" borderId="0" xfId="0" applyFont="1" applyFill="1" applyBorder="1" applyAlignment="1">
      <alignment horizontal="justify" vertical="justify"/>
    </xf>
    <xf numFmtId="0" fontId="105" fillId="0" borderId="13" xfId="0" applyFont="1" applyFill="1" applyBorder="1" applyAlignment="1">
      <alignment horizontal="justify" vertical="justify"/>
    </xf>
    <xf numFmtId="0" fontId="105" fillId="0" borderId="12" xfId="0" applyFont="1" applyFill="1" applyBorder="1" applyAlignment="1">
      <alignment horizontal="left" vertical="justify" wrapText="1"/>
    </xf>
    <xf numFmtId="0" fontId="105" fillId="0" borderId="0" xfId="0" applyFont="1" applyFill="1" applyBorder="1" applyAlignment="1">
      <alignment horizontal="left" vertical="justify" wrapText="1"/>
    </xf>
    <xf numFmtId="0" fontId="105" fillId="0" borderId="13" xfId="0" applyFont="1" applyFill="1" applyBorder="1" applyAlignment="1">
      <alignment horizontal="left" vertical="justify" wrapText="1"/>
    </xf>
    <xf numFmtId="0" fontId="4" fillId="0" borderId="12"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3" xfId="0" applyFont="1" applyFill="1" applyBorder="1" applyAlignment="1">
      <alignment horizontal="left" vertical="justify" wrapText="1"/>
    </xf>
    <xf numFmtId="0" fontId="115" fillId="35" borderId="12" xfId="0" applyFont="1" applyFill="1" applyBorder="1" applyAlignment="1">
      <alignment horizontal="left" vertical="center"/>
    </xf>
    <xf numFmtId="0" fontId="115" fillId="35" borderId="0" xfId="0" applyFont="1" applyFill="1" applyBorder="1" applyAlignment="1">
      <alignment horizontal="left" vertical="center"/>
    </xf>
    <xf numFmtId="0" fontId="115" fillId="35" borderId="13" xfId="0" applyFont="1" applyFill="1" applyBorder="1" applyAlignment="1">
      <alignment horizontal="left" vertical="center"/>
    </xf>
    <xf numFmtId="0" fontId="123" fillId="0" borderId="12" xfId="0" applyFont="1" applyBorder="1" applyAlignment="1">
      <alignment horizontal="left" vertical="top" wrapText="1"/>
    </xf>
    <xf numFmtId="0" fontId="123" fillId="0" borderId="0" xfId="0" applyFont="1" applyBorder="1" applyAlignment="1">
      <alignment horizontal="left" vertical="top" wrapText="1"/>
    </xf>
    <xf numFmtId="0" fontId="123" fillId="0" borderId="13" xfId="0" applyFont="1" applyBorder="1" applyAlignment="1">
      <alignment horizontal="left" vertical="top" wrapText="1"/>
    </xf>
    <xf numFmtId="0" fontId="150" fillId="0" borderId="12" xfId="0" applyFont="1" applyFill="1" applyBorder="1" applyAlignment="1">
      <alignment horizontal="left" wrapText="1"/>
    </xf>
    <xf numFmtId="0" fontId="150" fillId="0" borderId="0" xfId="0" applyFont="1" applyFill="1" applyBorder="1" applyAlignment="1">
      <alignment horizontal="left" wrapText="1"/>
    </xf>
    <xf numFmtId="0" fontId="150" fillId="0" borderId="13" xfId="0" applyFont="1" applyFill="1" applyBorder="1" applyAlignment="1">
      <alignment horizontal="left" wrapText="1"/>
    </xf>
    <xf numFmtId="0" fontId="11" fillId="0" borderId="30" xfId="0" applyFont="1" applyFill="1" applyBorder="1" applyAlignment="1">
      <alignment horizontal="justify" vertical="justify" wrapText="1"/>
    </xf>
    <xf numFmtId="0" fontId="11" fillId="0" borderId="14" xfId="0" applyFont="1" applyFill="1" applyBorder="1" applyAlignment="1">
      <alignment horizontal="justify" vertical="justify" wrapText="1"/>
    </xf>
    <xf numFmtId="0" fontId="11" fillId="0" borderId="54" xfId="0" applyFont="1" applyFill="1" applyBorder="1" applyAlignment="1">
      <alignment horizontal="justify" vertical="justify" wrapText="1"/>
    </xf>
    <xf numFmtId="0" fontId="115" fillId="35" borderId="0" xfId="0" applyFont="1" applyFill="1" applyAlignment="1">
      <alignment horizontal="left"/>
    </xf>
    <xf numFmtId="0" fontId="125" fillId="33" borderId="0" xfId="0" applyFont="1" applyFill="1" applyAlignment="1">
      <alignment horizontal="center"/>
    </xf>
    <xf numFmtId="0" fontId="105" fillId="33" borderId="34" xfId="0" applyFont="1" applyFill="1" applyBorder="1" applyAlignment="1">
      <alignment horizontal="center"/>
    </xf>
    <xf numFmtId="0" fontId="105" fillId="33" borderId="35" xfId="0" applyFont="1" applyFill="1" applyBorder="1" applyAlignment="1">
      <alignment horizontal="center"/>
    </xf>
    <xf numFmtId="0" fontId="102" fillId="0" borderId="0" xfId="0" applyFont="1" applyAlignment="1">
      <alignment horizontal="left" vertical="center"/>
    </xf>
    <xf numFmtId="0" fontId="115" fillId="35" borderId="0" xfId="0" applyFont="1" applyFill="1" applyAlignment="1">
      <alignment horizontal="left" vertical="center"/>
    </xf>
    <xf numFmtId="0" fontId="139" fillId="40" borderId="34" xfId="124" applyFont="1" applyFill="1" applyBorder="1" applyAlignment="1">
      <alignment horizontal="left" vertical="center"/>
      <protection/>
    </xf>
    <xf numFmtId="0" fontId="139" fillId="40" borderId="55" xfId="124" applyFont="1" applyFill="1" applyBorder="1" applyAlignment="1">
      <alignment horizontal="left" vertical="center"/>
      <protection/>
    </xf>
    <xf numFmtId="0" fontId="139" fillId="40" borderId="35" xfId="124" applyFont="1" applyFill="1" applyBorder="1" applyAlignment="1">
      <alignment horizontal="left" vertical="center"/>
      <protection/>
    </xf>
    <xf numFmtId="0" fontId="103" fillId="0" borderId="0" xfId="0" applyFont="1" applyAlignment="1">
      <alignment horizontal="left"/>
    </xf>
    <xf numFmtId="0" fontId="101" fillId="38" borderId="0" xfId="0" applyFont="1" applyFill="1" applyAlignment="1">
      <alignment horizontal="center" vertical="center"/>
    </xf>
    <xf numFmtId="0" fontId="128" fillId="33" borderId="0" xfId="0" applyFont="1" applyFill="1" applyAlignment="1">
      <alignment horizontal="left"/>
    </xf>
    <xf numFmtId="0" fontId="115" fillId="35" borderId="0" xfId="0" applyFont="1" applyFill="1" applyAlignment="1">
      <alignment horizontal="center" vertical="center"/>
    </xf>
    <xf numFmtId="0" fontId="0" fillId="38" borderId="0" xfId="0" applyFill="1" applyAlignment="1">
      <alignment horizontal="center"/>
    </xf>
    <xf numFmtId="0" fontId="127" fillId="38" borderId="0" xfId="0" applyFont="1" applyFill="1" applyAlignment="1">
      <alignment horizontal="center"/>
    </xf>
    <xf numFmtId="0" fontId="18" fillId="38" borderId="0" xfId="0" applyFont="1" applyFill="1" applyAlignment="1">
      <alignment horizontal="left" wrapText="1"/>
    </xf>
    <xf numFmtId="0" fontId="11" fillId="0" borderId="58" xfId="0" applyFont="1" applyBorder="1" applyAlignment="1">
      <alignment horizontal="center" vertical="center" wrapText="1"/>
    </xf>
    <xf numFmtId="0" fontId="11" fillId="0" borderId="65" xfId="0" applyFont="1" applyBorder="1" applyAlignment="1">
      <alignment horizontal="center" vertical="center" wrapText="1"/>
    </xf>
    <xf numFmtId="0" fontId="115" fillId="35" borderId="0" xfId="0" applyFont="1" applyFill="1" applyBorder="1" applyAlignment="1">
      <alignment horizontal="left"/>
    </xf>
    <xf numFmtId="9" fontId="104" fillId="38" borderId="0" xfId="203" applyFont="1" applyFill="1" applyBorder="1" applyAlignment="1">
      <alignment horizontal="center"/>
    </xf>
    <xf numFmtId="9" fontId="137" fillId="38" borderId="0" xfId="203" applyFont="1" applyFill="1" applyBorder="1" applyAlignment="1">
      <alignment horizontal="left"/>
    </xf>
    <xf numFmtId="0" fontId="123" fillId="38" borderId="0" xfId="0" applyFont="1" applyFill="1" applyBorder="1" applyAlignment="1">
      <alignment horizontal="left"/>
    </xf>
    <xf numFmtId="0" fontId="16" fillId="38" borderId="0" xfId="0" applyFont="1" applyFill="1" applyAlignment="1">
      <alignment horizontal="left"/>
    </xf>
    <xf numFmtId="0" fontId="18" fillId="0" borderId="0" xfId="0" applyFont="1" applyFill="1" applyAlignment="1">
      <alignment horizontal="left" vertical="center" wrapText="1"/>
    </xf>
    <xf numFmtId="0" fontId="16" fillId="38" borderId="0" xfId="0" applyFont="1" applyFill="1" applyAlignment="1">
      <alignment horizontal="left" vertical="center" wrapText="1"/>
    </xf>
    <xf numFmtId="0" fontId="86" fillId="35" borderId="0" xfId="0" applyFont="1" applyFill="1" applyAlignment="1">
      <alignment horizontal="left"/>
    </xf>
    <xf numFmtId="0" fontId="130" fillId="0" borderId="0" xfId="0" applyFont="1" applyAlignment="1">
      <alignment horizontal="left" vertical="center" wrapText="1"/>
    </xf>
    <xf numFmtId="0" fontId="130" fillId="38" borderId="0" xfId="0" applyFont="1" applyFill="1" applyAlignment="1">
      <alignment horizontal="left" vertical="center" wrapText="1"/>
    </xf>
    <xf numFmtId="0" fontId="130" fillId="38" borderId="0" xfId="0" applyFont="1" applyFill="1" applyAlignment="1">
      <alignment horizontal="left" vertical="center"/>
    </xf>
    <xf numFmtId="0" fontId="16" fillId="38" borderId="0" xfId="0" applyFont="1" applyFill="1" applyAlignment="1">
      <alignment horizontal="left" wrapText="1"/>
    </xf>
    <xf numFmtId="0" fontId="141" fillId="41" borderId="0" xfId="0" applyFont="1" applyFill="1" applyBorder="1" applyAlignment="1">
      <alignment horizontal="left"/>
    </xf>
    <xf numFmtId="0" fontId="18" fillId="41" borderId="0" xfId="0" applyFont="1" applyFill="1" applyBorder="1" applyAlignment="1">
      <alignment horizontal="left" wrapText="1"/>
    </xf>
    <xf numFmtId="0" fontId="2" fillId="0" borderId="10" xfId="144" applyBorder="1" applyAlignment="1">
      <alignment horizontal="center"/>
      <protection/>
    </xf>
    <xf numFmtId="0" fontId="2" fillId="0" borderId="0" xfId="144" applyFont="1" applyBorder="1" applyAlignment="1">
      <alignment horizontal="center"/>
      <protection/>
    </xf>
    <xf numFmtId="0" fontId="2" fillId="0" borderId="0" xfId="144" applyBorder="1" applyAlignment="1">
      <alignment horizontal="center"/>
      <protection/>
    </xf>
    <xf numFmtId="0" fontId="3" fillId="0" borderId="12" xfId="144" applyFont="1" applyFill="1" applyBorder="1" applyAlignment="1">
      <alignment horizontal="left"/>
      <protection/>
    </xf>
    <xf numFmtId="0" fontId="3" fillId="0" borderId="0" xfId="144" applyFont="1" applyFill="1" applyBorder="1" applyAlignment="1">
      <alignment horizontal="left"/>
      <protection/>
    </xf>
    <xf numFmtId="0" fontId="3" fillId="0" borderId="13" xfId="144" applyFont="1" applyFill="1" applyBorder="1" applyAlignment="1">
      <alignment horizontal="left"/>
      <protection/>
    </xf>
    <xf numFmtId="0" fontId="6" fillId="46" borderId="34" xfId="144" applyFont="1" applyFill="1" applyBorder="1" applyAlignment="1">
      <alignment horizontal="center" vertical="center"/>
      <protection/>
    </xf>
    <xf numFmtId="0" fontId="6" fillId="46" borderId="55" xfId="144" applyFont="1" applyFill="1" applyBorder="1" applyAlignment="1">
      <alignment horizontal="center" vertical="center"/>
      <protection/>
    </xf>
    <xf numFmtId="0" fontId="6" fillId="46" borderId="35" xfId="144" applyFont="1" applyFill="1" applyBorder="1" applyAlignment="1">
      <alignment horizontal="center" vertical="center"/>
      <protection/>
    </xf>
    <xf numFmtId="0" fontId="13" fillId="46" borderId="55" xfId="144" applyFont="1" applyFill="1" applyBorder="1" applyAlignment="1">
      <alignment horizontal="center" vertical="center" wrapText="1" shrinkToFit="1"/>
      <protection/>
    </xf>
    <xf numFmtId="0" fontId="13" fillId="46" borderId="35" xfId="144" applyFont="1" applyFill="1" applyBorder="1" applyAlignment="1">
      <alignment horizontal="center" vertical="center" wrapText="1" shrinkToFit="1"/>
      <protection/>
    </xf>
    <xf numFmtId="0" fontId="24" fillId="46" borderId="12" xfId="144" applyFont="1" applyFill="1" applyBorder="1" applyAlignment="1">
      <alignment horizontal="center"/>
      <protection/>
    </xf>
    <xf numFmtId="0" fontId="24" fillId="46" borderId="0" xfId="144" applyFont="1" applyFill="1" applyBorder="1" applyAlignment="1">
      <alignment horizontal="center"/>
      <protection/>
    </xf>
    <xf numFmtId="0" fontId="24" fillId="46" borderId="13" xfId="144" applyFont="1" applyFill="1" applyBorder="1" applyAlignment="1">
      <alignment horizontal="center"/>
      <protection/>
    </xf>
    <xf numFmtId="0" fontId="13" fillId="0" borderId="10" xfId="144" applyFont="1" applyBorder="1" applyAlignment="1">
      <alignment horizontal="center" vertical="center"/>
      <protection/>
    </xf>
    <xf numFmtId="0" fontId="13" fillId="0" borderId="34" xfId="144" applyFont="1" applyBorder="1" applyAlignment="1">
      <alignment horizontal="center" vertical="center" wrapText="1" shrinkToFit="1"/>
      <protection/>
    </xf>
    <xf numFmtId="0" fontId="13" fillId="0" borderId="35" xfId="144" applyFont="1" applyBorder="1" applyAlignment="1">
      <alignment horizontal="center" vertical="center" wrapText="1" shrinkToFit="1"/>
      <protection/>
    </xf>
    <xf numFmtId="0" fontId="13" fillId="0" borderId="10" xfId="144" applyFont="1" applyBorder="1" applyAlignment="1">
      <alignment horizontal="center" wrapText="1" shrinkToFit="1"/>
      <protection/>
    </xf>
    <xf numFmtId="3" fontId="2" fillId="0" borderId="34" xfId="144" applyNumberFormat="1" applyBorder="1" applyAlignment="1">
      <alignment horizontal="center"/>
      <protection/>
    </xf>
    <xf numFmtId="3" fontId="2" fillId="0" borderId="35" xfId="144" applyNumberFormat="1" applyBorder="1" applyAlignment="1">
      <alignment horizontal="center"/>
      <protection/>
    </xf>
    <xf numFmtId="10" fontId="2" fillId="0" borderId="10" xfId="144" applyNumberFormat="1" applyBorder="1" applyAlignment="1">
      <alignment horizontal="center"/>
      <protection/>
    </xf>
    <xf numFmtId="0" fontId="2" fillId="0" borderId="10" xfId="144" applyFill="1" applyBorder="1" applyAlignment="1">
      <alignment horizontal="center"/>
      <protection/>
    </xf>
    <xf numFmtId="3" fontId="2" fillId="0" borderId="34" xfId="144" applyNumberFormat="1" applyFill="1" applyBorder="1" applyAlignment="1">
      <alignment horizontal="center"/>
      <protection/>
    </xf>
    <xf numFmtId="3" fontId="2" fillId="0" borderId="35" xfId="144" applyNumberFormat="1" applyFill="1" applyBorder="1" applyAlignment="1">
      <alignment horizontal="center"/>
      <protection/>
    </xf>
    <xf numFmtId="10" fontId="2" fillId="0" borderId="10" xfId="144" applyNumberFormat="1" applyFill="1" applyBorder="1" applyAlignment="1">
      <alignment horizontal="center"/>
      <protection/>
    </xf>
    <xf numFmtId="0" fontId="22" fillId="46" borderId="68" xfId="144" applyFont="1" applyFill="1" applyBorder="1" applyAlignment="1">
      <alignment horizontal="center"/>
      <protection/>
    </xf>
    <xf numFmtId="0" fontId="22" fillId="46" borderId="69" xfId="144" applyFont="1" applyFill="1" applyBorder="1" applyAlignment="1">
      <alignment horizontal="center"/>
      <protection/>
    </xf>
    <xf numFmtId="0" fontId="22" fillId="46" borderId="70" xfId="144" applyFont="1" applyFill="1" applyBorder="1" applyAlignment="1">
      <alignment horizontal="center"/>
      <protection/>
    </xf>
    <xf numFmtId="0" fontId="4" fillId="0" borderId="71" xfId="144" applyFont="1" applyBorder="1" applyAlignment="1">
      <alignment horizontal="center"/>
      <protection/>
    </xf>
    <xf numFmtId="0" fontId="4" fillId="0" borderId="72" xfId="144" applyFont="1" applyBorder="1" applyAlignment="1">
      <alignment horizontal="center"/>
      <protection/>
    </xf>
    <xf numFmtId="0" fontId="4" fillId="0" borderId="73" xfId="144" applyFont="1" applyBorder="1" applyAlignment="1">
      <alignment horizontal="center"/>
      <protection/>
    </xf>
  </cellXfs>
  <cellStyles count="1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4 2" xfId="37"/>
    <cellStyle name="Comma 4 2 2" xfId="38"/>
    <cellStyle name="Comma 4 2 2 2" xfId="39"/>
    <cellStyle name="Comma 4 2 3" xfId="40"/>
    <cellStyle name="Comma 4 2 3 2"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Hyperlink" xfId="51"/>
    <cellStyle name="Followed Hyperlink" xfId="52"/>
    <cellStyle name="Incorrecto" xfId="53"/>
    <cellStyle name="Comma" xfId="54"/>
    <cellStyle name="Comma [0]" xfId="55"/>
    <cellStyle name="Millares [0] 2" xfId="56"/>
    <cellStyle name="Millares [0] 2 2" xfId="57"/>
    <cellStyle name="Millares [0] 3" xfId="58"/>
    <cellStyle name="Millares [0] 4" xfId="59"/>
    <cellStyle name="Millares [0] 4 2" xfId="60"/>
    <cellStyle name="Millares [0] 5" xfId="61"/>
    <cellStyle name="Millares 10" xfId="62"/>
    <cellStyle name="Millares 100 11" xfId="63"/>
    <cellStyle name="Millares 100 11 2" xfId="64"/>
    <cellStyle name="Millares 100 11 2 2" xfId="65"/>
    <cellStyle name="Millares 100 11 3" xfId="66"/>
    <cellStyle name="Millares 100 11 3 2" xfId="67"/>
    <cellStyle name="Millares 11" xfId="68"/>
    <cellStyle name="Millares 12" xfId="69"/>
    <cellStyle name="Millares 174 2" xfId="70"/>
    <cellStyle name="Millares 174 2 2" xfId="71"/>
    <cellStyle name="Millares 174 2 2 2" xfId="72"/>
    <cellStyle name="Millares 174 2 3" xfId="73"/>
    <cellStyle name="Millares 174 2 3 2" xfId="74"/>
    <cellStyle name="Millares 2" xfId="75"/>
    <cellStyle name="Millares 2 2" xfId="76"/>
    <cellStyle name="Millares 2 2 2" xfId="77"/>
    <cellStyle name="Millares 2 2 2 2" xfId="78"/>
    <cellStyle name="Millares 2 2 3" xfId="79"/>
    <cellStyle name="Millares 2 2 3 2" xfId="80"/>
    <cellStyle name="Millares 2 3" xfId="81"/>
    <cellStyle name="Millares 2 3 2" xfId="82"/>
    <cellStyle name="Millares 2 4" xfId="83"/>
    <cellStyle name="Millares 2 4 2" xfId="84"/>
    <cellStyle name="Millares 212" xfId="85"/>
    <cellStyle name="Millares 212 2" xfId="86"/>
    <cellStyle name="Millares 212 2 2" xfId="87"/>
    <cellStyle name="Millares 212 3" xfId="88"/>
    <cellStyle name="Millares 212 3 2" xfId="89"/>
    <cellStyle name="Millares 212 4" xfId="90"/>
    <cellStyle name="Millares 3" xfId="91"/>
    <cellStyle name="Millares 3 11" xfId="92"/>
    <cellStyle name="Millares 3 11 2" xfId="93"/>
    <cellStyle name="Millares 3 11 2 2" xfId="94"/>
    <cellStyle name="Millares 3 11 3" xfId="95"/>
    <cellStyle name="Millares 3 11 3 2" xfId="96"/>
    <cellStyle name="Millares 4" xfId="97"/>
    <cellStyle name="Millares 4 2" xfId="98"/>
    <cellStyle name="Millares 4 2 2" xfId="99"/>
    <cellStyle name="Millares 5" xfId="100"/>
    <cellStyle name="Millares 5 2" xfId="101"/>
    <cellStyle name="Millares 6" xfId="102"/>
    <cellStyle name="Millares 6 2" xfId="103"/>
    <cellStyle name="Millares 654 2 2" xfId="104"/>
    <cellStyle name="Millares 656" xfId="105"/>
    <cellStyle name="Millares 656 2" xfId="106"/>
    <cellStyle name="Millares 656 2 2" xfId="107"/>
    <cellStyle name="Millares 656 3" xfId="108"/>
    <cellStyle name="Millares 656 3 2" xfId="109"/>
    <cellStyle name="Millares 657" xfId="110"/>
    <cellStyle name="Millares 657 2" xfId="111"/>
    <cellStyle name="Millares 657 2 2" xfId="112"/>
    <cellStyle name="Millares 657 3" xfId="113"/>
    <cellStyle name="Millares 657 3 2" xfId="114"/>
    <cellStyle name="Millares 7" xfId="115"/>
    <cellStyle name="Millares 7 2" xfId="116"/>
    <cellStyle name="Millares 8" xfId="117"/>
    <cellStyle name="Millares 8 2" xfId="118"/>
    <cellStyle name="Millares 9" xfId="119"/>
    <cellStyle name="Millares 9 2" xfId="120"/>
    <cellStyle name="Currency" xfId="121"/>
    <cellStyle name="Currency [0]" xfId="122"/>
    <cellStyle name="Neutral" xfId="123"/>
    <cellStyle name="Normal 10 10 2 2 2" xfId="124"/>
    <cellStyle name="Normal 1016" xfId="125"/>
    <cellStyle name="Normal 1018" xfId="126"/>
    <cellStyle name="Normal 1022" xfId="127"/>
    <cellStyle name="Normal 1024" xfId="128"/>
    <cellStyle name="Normal 1025" xfId="129"/>
    <cellStyle name="Normal 1026" xfId="130"/>
    <cellStyle name="Normal 1027" xfId="131"/>
    <cellStyle name="Normal 105" xfId="132"/>
    <cellStyle name="Normal 107" xfId="133"/>
    <cellStyle name="Normal 109" xfId="134"/>
    <cellStyle name="Normal 12 10" xfId="135"/>
    <cellStyle name="Normal 12 2 10" xfId="136"/>
    <cellStyle name="Normal 12 2 2 4" xfId="137"/>
    <cellStyle name="Normal 125" xfId="138"/>
    <cellStyle name="Normal 126" xfId="139"/>
    <cellStyle name="Normal 199 2 2" xfId="140"/>
    <cellStyle name="Normal 2" xfId="141"/>
    <cellStyle name="Normal 2 10 2 2 2" xfId="142"/>
    <cellStyle name="Normal 2 2 2 3" xfId="143"/>
    <cellStyle name="Normal 4" xfId="144"/>
    <cellStyle name="Normal 6" xfId="145"/>
    <cellStyle name="Normal 601" xfId="146"/>
    <cellStyle name="Normal 605" xfId="147"/>
    <cellStyle name="Normal 606" xfId="148"/>
    <cellStyle name="Normal 636" xfId="149"/>
    <cellStyle name="Normal 640" xfId="150"/>
    <cellStyle name="Normal 643" xfId="151"/>
    <cellStyle name="Normal 646" xfId="152"/>
    <cellStyle name="Normal 647" xfId="153"/>
    <cellStyle name="Normal 649" xfId="154"/>
    <cellStyle name="Normal 650" xfId="155"/>
    <cellStyle name="Normal 651" xfId="156"/>
    <cellStyle name="Normal 652" xfId="157"/>
    <cellStyle name="Normal 653" xfId="158"/>
    <cellStyle name="Normal 654" xfId="159"/>
    <cellStyle name="Normal 655" xfId="160"/>
    <cellStyle name="Normal 656" xfId="161"/>
    <cellStyle name="Normal 657" xfId="162"/>
    <cellStyle name="Normal 658" xfId="163"/>
    <cellStyle name="Normal 659" xfId="164"/>
    <cellStyle name="Normal 660" xfId="165"/>
    <cellStyle name="Normal 662" xfId="166"/>
    <cellStyle name="Normal 663" xfId="167"/>
    <cellStyle name="Normal 664" xfId="168"/>
    <cellStyle name="Normal 665" xfId="169"/>
    <cellStyle name="Normal 667" xfId="170"/>
    <cellStyle name="Normal 673" xfId="171"/>
    <cellStyle name="Normal 674" xfId="172"/>
    <cellStyle name="Normal 675" xfId="173"/>
    <cellStyle name="Normal 676" xfId="174"/>
    <cellStyle name="Normal 677" xfId="175"/>
    <cellStyle name="Normal 678" xfId="176"/>
    <cellStyle name="Normal 679" xfId="177"/>
    <cellStyle name="Normal 684" xfId="178"/>
    <cellStyle name="Normal 713" xfId="179"/>
    <cellStyle name="Normal 714" xfId="180"/>
    <cellStyle name="Normal 715" xfId="181"/>
    <cellStyle name="Normal 744" xfId="182"/>
    <cellStyle name="Normal 802" xfId="183"/>
    <cellStyle name="Normal 944" xfId="184"/>
    <cellStyle name="Normal 947" xfId="185"/>
    <cellStyle name="Normal 952" xfId="186"/>
    <cellStyle name="Normal 957" xfId="187"/>
    <cellStyle name="Normal 958" xfId="188"/>
    <cellStyle name="Normal 959" xfId="189"/>
    <cellStyle name="Normal 960" xfId="190"/>
    <cellStyle name="Normal 961" xfId="191"/>
    <cellStyle name="Normal 962" xfId="192"/>
    <cellStyle name="Normal 963" xfId="193"/>
    <cellStyle name="Normal 964" xfId="194"/>
    <cellStyle name="Normal 965" xfId="195"/>
    <cellStyle name="Normal 966" xfId="196"/>
    <cellStyle name="Normal 967" xfId="197"/>
    <cellStyle name="Normal 971" xfId="198"/>
    <cellStyle name="Normal 986" xfId="199"/>
    <cellStyle name="Normal_ANEXOC" xfId="200"/>
    <cellStyle name="Normal_ANEXOJ" xfId="201"/>
    <cellStyle name="Notas" xfId="202"/>
    <cellStyle name="Percent" xfId="203"/>
    <cellStyle name="Salida" xfId="204"/>
    <cellStyle name="Texto de advertencia" xfId="205"/>
    <cellStyle name="Texto explicativo" xfId="206"/>
    <cellStyle name="Título" xfId="207"/>
    <cellStyle name="Título 2" xfId="208"/>
    <cellStyle name="Título 3" xfId="209"/>
    <cellStyle name="Total" xfId="2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1390650</xdr:colOff>
      <xdr:row>3</xdr:row>
      <xdr:rowOff>47625</xdr:rowOff>
    </xdr:to>
    <xdr:pic>
      <xdr:nvPicPr>
        <xdr:cNvPr id="1" name="Picture 1" descr="image001"/>
        <xdr:cNvPicPr preferRelativeResize="1">
          <a:picLocks noChangeAspect="1"/>
        </xdr:cNvPicPr>
      </xdr:nvPicPr>
      <xdr:blipFill>
        <a:blip r:embed="rId1"/>
        <a:stretch>
          <a:fillRect/>
        </a:stretch>
      </xdr:blipFill>
      <xdr:spPr>
        <a:xfrm>
          <a:off x="104775" y="76200"/>
          <a:ext cx="1285875"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0</xdr:row>
      <xdr:rowOff>47625</xdr:rowOff>
    </xdr:from>
    <xdr:to>
      <xdr:col>6</xdr:col>
      <xdr:colOff>819150</xdr:colOff>
      <xdr:row>2</xdr:row>
      <xdr:rowOff>161925</xdr:rowOff>
    </xdr:to>
    <xdr:pic>
      <xdr:nvPicPr>
        <xdr:cNvPr id="1" name="Picture 1" descr="image001"/>
        <xdr:cNvPicPr preferRelativeResize="1">
          <a:picLocks noChangeAspect="1"/>
        </xdr:cNvPicPr>
      </xdr:nvPicPr>
      <xdr:blipFill>
        <a:blip r:embed="rId1"/>
        <a:stretch>
          <a:fillRect/>
        </a:stretch>
      </xdr:blipFill>
      <xdr:spPr>
        <a:xfrm>
          <a:off x="8924925" y="47625"/>
          <a:ext cx="1257300" cy="457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0</xdr:row>
      <xdr:rowOff>0</xdr:rowOff>
    </xdr:from>
    <xdr:to>
      <xdr:col>2</xdr:col>
      <xdr:colOff>1085850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448175" y="0"/>
          <a:ext cx="1247775"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47625</xdr:rowOff>
    </xdr:from>
    <xdr:to>
      <xdr:col>2</xdr:col>
      <xdr:colOff>1685925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4714875" y="47625"/>
          <a:ext cx="1285875"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95250</xdr:rowOff>
    </xdr:from>
    <xdr:to>
      <xdr:col>12</xdr:col>
      <xdr:colOff>742950</xdr:colOff>
      <xdr:row>3</xdr:row>
      <xdr:rowOff>171450</xdr:rowOff>
    </xdr:to>
    <xdr:pic>
      <xdr:nvPicPr>
        <xdr:cNvPr id="1" name="Picture 1" descr="image001"/>
        <xdr:cNvPicPr preferRelativeResize="1">
          <a:picLocks noChangeAspect="1"/>
        </xdr:cNvPicPr>
      </xdr:nvPicPr>
      <xdr:blipFill>
        <a:blip r:embed="rId1"/>
        <a:stretch>
          <a:fillRect/>
        </a:stretch>
      </xdr:blipFill>
      <xdr:spPr>
        <a:xfrm>
          <a:off x="11820525" y="276225"/>
          <a:ext cx="1257300"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0</xdr:row>
      <xdr:rowOff>19050</xdr:rowOff>
    </xdr:from>
    <xdr:to>
      <xdr:col>4</xdr:col>
      <xdr:colOff>9525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57750" y="19050"/>
          <a:ext cx="1219200" cy="447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57150</xdr:rowOff>
    </xdr:from>
    <xdr:to>
      <xdr:col>4</xdr:col>
      <xdr:colOff>514350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4819650" y="57150"/>
          <a:ext cx="1266825" cy="447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57150</xdr:rowOff>
    </xdr:from>
    <xdr:to>
      <xdr:col>3</xdr:col>
      <xdr:colOff>628650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3324225" y="57150"/>
          <a:ext cx="1247775"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0</xdr:row>
      <xdr:rowOff>57150</xdr:rowOff>
    </xdr:from>
    <xdr:to>
      <xdr:col>4</xdr:col>
      <xdr:colOff>1143000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8267700" y="57150"/>
          <a:ext cx="1247775" cy="4476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1209675</xdr:colOff>
      <xdr:row>0</xdr:row>
      <xdr:rowOff>66675</xdr:rowOff>
    </xdr:from>
    <xdr:to>
      <xdr:col>11</xdr:col>
      <xdr:colOff>1257300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15249525" y="66675"/>
          <a:ext cx="1257300"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1276350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200525" y="95250"/>
          <a:ext cx="12763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6</xdr:col>
      <xdr:colOff>1276350</xdr:colOff>
      <xdr:row>4</xdr:row>
      <xdr:rowOff>19050</xdr:rowOff>
    </xdr:to>
    <xdr:pic>
      <xdr:nvPicPr>
        <xdr:cNvPr id="1" name="Picture 1" descr="image001"/>
        <xdr:cNvPicPr preferRelativeResize="1">
          <a:picLocks noChangeAspect="1"/>
        </xdr:cNvPicPr>
      </xdr:nvPicPr>
      <xdr:blipFill>
        <a:blip r:embed="rId1"/>
        <a:stretch>
          <a:fillRect/>
        </a:stretch>
      </xdr:blipFill>
      <xdr:spPr>
        <a:xfrm>
          <a:off x="6019800" y="180975"/>
          <a:ext cx="1276350" cy="4762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0</xdr:row>
      <xdr:rowOff>28575</xdr:rowOff>
    </xdr:from>
    <xdr:to>
      <xdr:col>4</xdr:col>
      <xdr:colOff>438150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238875" y="28575"/>
          <a:ext cx="1219200" cy="4381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0</xdr:row>
      <xdr:rowOff>47625</xdr:rowOff>
    </xdr:from>
    <xdr:to>
      <xdr:col>5</xdr:col>
      <xdr:colOff>447675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28725" cy="4476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0</xdr:rowOff>
    </xdr:from>
    <xdr:to>
      <xdr:col>4</xdr:col>
      <xdr:colOff>762000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505575" y="0"/>
          <a:ext cx="1247775" cy="4476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7</xdr:col>
      <xdr:colOff>104775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10401300" y="0"/>
          <a:ext cx="1247775" cy="4476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2</xdr:col>
      <xdr:colOff>1123950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3724275" y="0"/>
          <a:ext cx="1257300" cy="4476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85725</xdr:colOff>
      <xdr:row>10</xdr:row>
      <xdr:rowOff>152400</xdr:rowOff>
    </xdr:to>
    <xdr:sp>
      <xdr:nvSpPr>
        <xdr:cNvPr id="1" name="CuadroTexto 2"/>
        <xdr:cNvSpPr txBox="1">
          <a:spLocks noChangeArrowheads="1"/>
        </xdr:cNvSpPr>
      </xdr:nvSpPr>
      <xdr:spPr>
        <a:xfrm>
          <a:off x="47625" y="1485900"/>
          <a:ext cx="78581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p>
      </xdr:txBody>
    </xdr:sp>
    <xdr:clientData/>
  </xdr:twoCellAnchor>
  <xdr:twoCellAnchor>
    <xdr:from>
      <xdr:col>0</xdr:col>
      <xdr:colOff>47625</xdr:colOff>
      <xdr:row>12</xdr:row>
      <xdr:rowOff>38100</xdr:rowOff>
    </xdr:from>
    <xdr:to>
      <xdr:col>8</xdr:col>
      <xdr:colOff>85725</xdr:colOff>
      <xdr:row>14</xdr:row>
      <xdr:rowOff>161925</xdr:rowOff>
    </xdr:to>
    <xdr:sp>
      <xdr:nvSpPr>
        <xdr:cNvPr id="2" name="CuadroTexto 3"/>
        <xdr:cNvSpPr txBox="1">
          <a:spLocks noChangeArrowheads="1"/>
        </xdr:cNvSpPr>
      </xdr:nvSpPr>
      <xdr:spPr>
        <a:xfrm>
          <a:off x="47625" y="2219325"/>
          <a:ext cx="78581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38100</xdr:rowOff>
    </xdr:from>
    <xdr:to>
      <xdr:col>8</xdr:col>
      <xdr:colOff>85725</xdr:colOff>
      <xdr:row>18</xdr:row>
      <xdr:rowOff>152400</xdr:rowOff>
    </xdr:to>
    <xdr:sp>
      <xdr:nvSpPr>
        <xdr:cNvPr id="3" name="CuadroTexto 4"/>
        <xdr:cNvSpPr txBox="1">
          <a:spLocks noChangeArrowheads="1"/>
        </xdr:cNvSpPr>
      </xdr:nvSpPr>
      <xdr:spPr>
        <a:xfrm>
          <a:off x="47625" y="2943225"/>
          <a:ext cx="785812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23</xdr:row>
      <xdr:rowOff>85725</xdr:rowOff>
    </xdr:from>
    <xdr:to>
      <xdr:col>8</xdr:col>
      <xdr:colOff>85725</xdr:colOff>
      <xdr:row>27</xdr:row>
      <xdr:rowOff>95250</xdr:rowOff>
    </xdr:to>
    <xdr:sp>
      <xdr:nvSpPr>
        <xdr:cNvPr id="4" name="CuadroTexto 5"/>
        <xdr:cNvSpPr txBox="1">
          <a:spLocks noChangeArrowheads="1"/>
        </xdr:cNvSpPr>
      </xdr:nvSpPr>
      <xdr:spPr>
        <a:xfrm>
          <a:off x="47625" y="4257675"/>
          <a:ext cx="7858125" cy="733425"/>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Dentro de la reserva facultativa se encuentra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Gs. </a:t>
          </a:r>
          <a:r>
            <a:rPr lang="en-US" cap="none" sz="1100" b="0" i="0" u="none" baseline="0">
              <a:solidFill>
                <a:srgbClr val="000000"/>
              </a:solidFill>
              <a:latin typeface="Calibri"/>
              <a:ea typeface="Calibri"/>
              <a:cs typeface="Calibri"/>
            </a:rPr>
            <a:t>4.862.778</a:t>
          </a:r>
          <a:r>
            <a:rPr lang="en-US" cap="none" sz="1100" b="0" i="0" u="none" baseline="0">
              <a:solidFill>
                <a:srgbClr val="000000"/>
              </a:solidFill>
              <a:latin typeface="Calibri"/>
              <a:ea typeface="Calibri"/>
              <a:cs typeface="Calibri"/>
            </a:rPr>
            <a:t> para pagos de dividendos</a:t>
          </a:r>
        </a:p>
      </xdr:txBody>
    </xdr:sp>
    <xdr:clientData/>
  </xdr:twoCellAnchor>
  <xdr:twoCellAnchor>
    <xdr:from>
      <xdr:col>6</xdr:col>
      <xdr:colOff>114300</xdr:colOff>
      <xdr:row>0</xdr:row>
      <xdr:rowOff>76200</xdr:rowOff>
    </xdr:from>
    <xdr:to>
      <xdr:col>7</xdr:col>
      <xdr:colOff>619125</xdr:colOff>
      <xdr:row>2</xdr:row>
      <xdr:rowOff>133350</xdr:rowOff>
    </xdr:to>
    <xdr:pic>
      <xdr:nvPicPr>
        <xdr:cNvPr id="5" name="Picture 1" descr="image001"/>
        <xdr:cNvPicPr preferRelativeResize="1">
          <a:picLocks noChangeAspect="1"/>
        </xdr:cNvPicPr>
      </xdr:nvPicPr>
      <xdr:blipFill>
        <a:blip r:embed="rId1"/>
        <a:stretch>
          <a:fillRect/>
        </a:stretch>
      </xdr:blipFill>
      <xdr:spPr>
        <a:xfrm>
          <a:off x="6410325" y="76200"/>
          <a:ext cx="1266825" cy="4286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28575</xdr:rowOff>
    </xdr:from>
    <xdr:to>
      <xdr:col>4</xdr:col>
      <xdr:colOff>476250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29175" y="28575"/>
          <a:ext cx="1238250" cy="4381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19050</xdr:rowOff>
    </xdr:from>
    <xdr:to>
      <xdr:col>4</xdr:col>
      <xdr:colOff>552450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267325" y="19050"/>
          <a:ext cx="1257300" cy="4476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76200</xdr:rowOff>
    </xdr:from>
    <xdr:to>
      <xdr:col>4</xdr:col>
      <xdr:colOff>476250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5248275" y="76200"/>
          <a:ext cx="1238250" cy="4381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19050</xdr:rowOff>
    </xdr:from>
    <xdr:to>
      <xdr:col>6</xdr:col>
      <xdr:colOff>95250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534150" y="19050"/>
          <a:ext cx="12382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171450</xdr:rowOff>
    </xdr:from>
    <xdr:to>
      <xdr:col>22</xdr:col>
      <xdr:colOff>180975</xdr:colOff>
      <xdr:row>3</xdr:row>
      <xdr:rowOff>152400</xdr:rowOff>
    </xdr:to>
    <xdr:pic>
      <xdr:nvPicPr>
        <xdr:cNvPr id="1" name="Picture 1" descr="image001"/>
        <xdr:cNvPicPr preferRelativeResize="1">
          <a:picLocks noChangeAspect="1"/>
        </xdr:cNvPicPr>
      </xdr:nvPicPr>
      <xdr:blipFill>
        <a:blip r:embed="rId1"/>
        <a:stretch>
          <a:fillRect/>
        </a:stretch>
      </xdr:blipFill>
      <xdr:spPr>
        <a:xfrm>
          <a:off x="14420850" y="171450"/>
          <a:ext cx="1419225" cy="5238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0</xdr:rowOff>
    </xdr:from>
    <xdr:to>
      <xdr:col>6</xdr:col>
      <xdr:colOff>28575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5962650" y="0"/>
          <a:ext cx="1238250" cy="4476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xdr:row>
      <xdr:rowOff>0</xdr:rowOff>
    </xdr:from>
    <xdr:to>
      <xdr:col>7</xdr:col>
      <xdr:colOff>19050</xdr:colOff>
      <xdr:row>3</xdr:row>
      <xdr:rowOff>76200</xdr:rowOff>
    </xdr:to>
    <xdr:pic>
      <xdr:nvPicPr>
        <xdr:cNvPr id="1" name="Picture 1" descr="image001"/>
        <xdr:cNvPicPr preferRelativeResize="1">
          <a:picLocks noChangeAspect="1"/>
        </xdr:cNvPicPr>
      </xdr:nvPicPr>
      <xdr:blipFill>
        <a:blip r:embed="rId1"/>
        <a:stretch>
          <a:fillRect/>
        </a:stretch>
      </xdr:blipFill>
      <xdr:spPr>
        <a:xfrm>
          <a:off x="10515600" y="180975"/>
          <a:ext cx="1238250" cy="4572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0</xdr:row>
      <xdr:rowOff>95250</xdr:rowOff>
    </xdr:from>
    <xdr:to>
      <xdr:col>7</xdr:col>
      <xdr:colOff>28575</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6619875" y="95250"/>
          <a:ext cx="1228725" cy="4476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0</xdr:row>
      <xdr:rowOff>123825</xdr:rowOff>
    </xdr:from>
    <xdr:to>
      <xdr:col>6</xdr:col>
      <xdr:colOff>1009650</xdr:colOff>
      <xdr:row>3</xdr:row>
      <xdr:rowOff>19050</xdr:rowOff>
    </xdr:to>
    <xdr:pic>
      <xdr:nvPicPr>
        <xdr:cNvPr id="1" name="Picture 1" descr="image001"/>
        <xdr:cNvPicPr preferRelativeResize="1">
          <a:picLocks noChangeAspect="1"/>
        </xdr:cNvPicPr>
      </xdr:nvPicPr>
      <xdr:blipFill>
        <a:blip r:embed="rId1"/>
        <a:stretch>
          <a:fillRect/>
        </a:stretch>
      </xdr:blipFill>
      <xdr:spPr>
        <a:xfrm>
          <a:off x="8439150" y="123825"/>
          <a:ext cx="1247775" cy="4572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28575</xdr:rowOff>
    </xdr:from>
    <xdr:to>
      <xdr:col>3</xdr:col>
      <xdr:colOff>581025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972300" y="28575"/>
          <a:ext cx="1257300" cy="4381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3</xdr:col>
      <xdr:colOff>704850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391025" y="0"/>
          <a:ext cx="1257300" cy="4476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38100</xdr:rowOff>
    </xdr:from>
    <xdr:to>
      <xdr:col>3</xdr:col>
      <xdr:colOff>714375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267200" y="38100"/>
          <a:ext cx="1247775" cy="4095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47625</xdr:rowOff>
    </xdr:from>
    <xdr:to>
      <xdr:col>3</xdr:col>
      <xdr:colOff>628650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3609975" y="47625"/>
          <a:ext cx="1247775" cy="4476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57150</xdr:rowOff>
    </xdr:from>
    <xdr:to>
      <xdr:col>3</xdr:col>
      <xdr:colOff>685800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5238750" y="57150"/>
          <a:ext cx="1247775" cy="4476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3</xdr:col>
      <xdr:colOff>1476375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267450" y="0"/>
          <a:ext cx="12763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1276350</xdr:colOff>
      <xdr:row>3</xdr:row>
      <xdr:rowOff>133350</xdr:rowOff>
    </xdr:to>
    <xdr:pic>
      <xdr:nvPicPr>
        <xdr:cNvPr id="1" name="Picture 1" descr="image001"/>
        <xdr:cNvPicPr preferRelativeResize="1">
          <a:picLocks noChangeAspect="1"/>
        </xdr:cNvPicPr>
      </xdr:nvPicPr>
      <xdr:blipFill>
        <a:blip r:embed="rId1"/>
        <a:stretch>
          <a:fillRect/>
        </a:stretch>
      </xdr:blipFill>
      <xdr:spPr>
        <a:xfrm>
          <a:off x="6943725" y="180975"/>
          <a:ext cx="1276350" cy="4857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0</xdr:row>
      <xdr:rowOff>47625</xdr:rowOff>
    </xdr:from>
    <xdr:to>
      <xdr:col>5</xdr:col>
      <xdr:colOff>123825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38250" cy="4381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57150</xdr:rowOff>
    </xdr:from>
    <xdr:to>
      <xdr:col>7</xdr:col>
      <xdr:colOff>904875</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9401175" y="57150"/>
          <a:ext cx="1266825" cy="43815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47625</xdr:rowOff>
    </xdr:from>
    <xdr:to>
      <xdr:col>6</xdr:col>
      <xdr:colOff>638175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8096250" y="47625"/>
          <a:ext cx="1266825" cy="4476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95250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9763125" y="0"/>
          <a:ext cx="1247775" cy="4381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95250</xdr:rowOff>
    </xdr:from>
    <xdr:to>
      <xdr:col>4</xdr:col>
      <xdr:colOff>57150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733925" y="95250"/>
          <a:ext cx="1228725" cy="4476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76200</xdr:rowOff>
    </xdr:from>
    <xdr:to>
      <xdr:col>8</xdr:col>
      <xdr:colOff>762000</xdr:colOff>
      <xdr:row>3</xdr:row>
      <xdr:rowOff>28575</xdr:rowOff>
    </xdr:to>
    <xdr:pic>
      <xdr:nvPicPr>
        <xdr:cNvPr id="1" name="Picture 1" descr="image001"/>
        <xdr:cNvPicPr preferRelativeResize="1">
          <a:picLocks noChangeAspect="1"/>
        </xdr:cNvPicPr>
      </xdr:nvPicPr>
      <xdr:blipFill>
        <a:blip r:embed="rId1"/>
        <a:stretch>
          <a:fillRect/>
        </a:stretch>
      </xdr:blipFill>
      <xdr:spPr>
        <a:xfrm>
          <a:off x="8048625" y="76200"/>
          <a:ext cx="152400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123825</xdr:rowOff>
    </xdr:from>
    <xdr:to>
      <xdr:col>2</xdr:col>
      <xdr:colOff>1638300</xdr:colOff>
      <xdr:row>4</xdr:row>
      <xdr:rowOff>95250</xdr:rowOff>
    </xdr:to>
    <xdr:pic>
      <xdr:nvPicPr>
        <xdr:cNvPr id="1" name="Picture 1" descr="image001"/>
        <xdr:cNvPicPr preferRelativeResize="1">
          <a:picLocks noChangeAspect="1"/>
        </xdr:cNvPicPr>
      </xdr:nvPicPr>
      <xdr:blipFill>
        <a:blip r:embed="rId1"/>
        <a:stretch>
          <a:fillRect/>
        </a:stretch>
      </xdr:blipFill>
      <xdr:spPr>
        <a:xfrm>
          <a:off x="6791325" y="123825"/>
          <a:ext cx="1457325" cy="485775"/>
        </a:xfrm>
        <a:prstGeom prst="rect">
          <a:avLst/>
        </a:prstGeom>
        <a:noFill/>
        <a:ln w="9525" cmpd="sng">
          <a:noFill/>
        </a:ln>
      </xdr:spPr>
    </xdr:pic>
    <xdr:clientData/>
  </xdr:twoCellAnchor>
  <xdr:twoCellAnchor>
    <xdr:from>
      <xdr:col>2</xdr:col>
      <xdr:colOff>180975</xdr:colOff>
      <xdr:row>0</xdr:row>
      <xdr:rowOff>123825</xdr:rowOff>
    </xdr:from>
    <xdr:to>
      <xdr:col>2</xdr:col>
      <xdr:colOff>1638300</xdr:colOff>
      <xdr:row>4</xdr:row>
      <xdr:rowOff>95250</xdr:rowOff>
    </xdr:to>
    <xdr:pic>
      <xdr:nvPicPr>
        <xdr:cNvPr id="2" name="Picture 1" descr="image001"/>
        <xdr:cNvPicPr preferRelativeResize="1">
          <a:picLocks noChangeAspect="1"/>
        </xdr:cNvPicPr>
      </xdr:nvPicPr>
      <xdr:blipFill>
        <a:blip r:embed="rId1"/>
        <a:stretch>
          <a:fillRect/>
        </a:stretch>
      </xdr:blipFill>
      <xdr:spPr>
        <a:xfrm>
          <a:off x="6791325" y="123825"/>
          <a:ext cx="145732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123825</xdr:rowOff>
    </xdr:from>
    <xdr:to>
      <xdr:col>0</xdr:col>
      <xdr:colOff>1333500</xdr:colOff>
      <xdr:row>3</xdr:row>
      <xdr:rowOff>9525</xdr:rowOff>
    </xdr:to>
    <xdr:pic>
      <xdr:nvPicPr>
        <xdr:cNvPr id="1" name="Picture 1" descr="image001"/>
        <xdr:cNvPicPr preferRelativeResize="1">
          <a:picLocks noChangeAspect="1"/>
        </xdr:cNvPicPr>
      </xdr:nvPicPr>
      <xdr:blipFill>
        <a:blip r:embed="rId1"/>
        <a:stretch>
          <a:fillRect/>
        </a:stretch>
      </xdr:blipFill>
      <xdr:spPr>
        <a:xfrm>
          <a:off x="47625" y="123825"/>
          <a:ext cx="1285875" cy="457200"/>
        </a:xfrm>
        <a:prstGeom prst="rect">
          <a:avLst/>
        </a:prstGeom>
        <a:noFill/>
        <a:ln w="9525" cmpd="sng">
          <a:noFill/>
        </a:ln>
      </xdr:spPr>
    </xdr:pic>
    <xdr:clientData/>
  </xdr:twoCellAnchor>
  <xdr:twoCellAnchor editAs="oneCell">
    <xdr:from>
      <xdr:col>0</xdr:col>
      <xdr:colOff>1228725</xdr:colOff>
      <xdr:row>45</xdr:row>
      <xdr:rowOff>9525</xdr:rowOff>
    </xdr:from>
    <xdr:to>
      <xdr:col>4</xdr:col>
      <xdr:colOff>438150</xdr:colOff>
      <xdr:row>47</xdr:row>
      <xdr:rowOff>542925</xdr:rowOff>
    </xdr:to>
    <xdr:pic>
      <xdr:nvPicPr>
        <xdr:cNvPr id="2" name="Imagen 2"/>
        <xdr:cNvPicPr preferRelativeResize="1">
          <a:picLocks noChangeAspect="1"/>
        </xdr:cNvPicPr>
      </xdr:nvPicPr>
      <xdr:blipFill>
        <a:blip r:embed="rId2"/>
        <a:srcRect l="11004" r="10534" b="16900"/>
        <a:stretch>
          <a:fillRect/>
        </a:stretch>
      </xdr:blipFill>
      <xdr:spPr>
        <a:xfrm>
          <a:off x="1228725" y="12534900"/>
          <a:ext cx="4086225" cy="1447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0</xdr:row>
      <xdr:rowOff>47625</xdr:rowOff>
    </xdr:from>
    <xdr:to>
      <xdr:col>3</xdr:col>
      <xdr:colOff>962025</xdr:colOff>
      <xdr:row>2</xdr:row>
      <xdr:rowOff>190500</xdr:rowOff>
    </xdr:to>
    <xdr:pic>
      <xdr:nvPicPr>
        <xdr:cNvPr id="1" name="Picture 1" descr="image001"/>
        <xdr:cNvPicPr preferRelativeResize="1">
          <a:picLocks noChangeAspect="1"/>
        </xdr:cNvPicPr>
      </xdr:nvPicPr>
      <xdr:blipFill>
        <a:blip r:embed="rId1"/>
        <a:stretch>
          <a:fillRect/>
        </a:stretch>
      </xdr:blipFill>
      <xdr:spPr>
        <a:xfrm>
          <a:off x="4667250" y="47625"/>
          <a:ext cx="123825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19050</xdr:rowOff>
    </xdr:from>
    <xdr:to>
      <xdr:col>2</xdr:col>
      <xdr:colOff>1019175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695950" y="19050"/>
          <a:ext cx="1257300" cy="438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1181100</xdr:colOff>
      <xdr:row>2</xdr:row>
      <xdr:rowOff>66675</xdr:rowOff>
    </xdr:to>
    <xdr:pic>
      <xdr:nvPicPr>
        <xdr:cNvPr id="1" name="Picture 1" descr="image001"/>
        <xdr:cNvPicPr preferRelativeResize="1">
          <a:picLocks noChangeAspect="1"/>
        </xdr:cNvPicPr>
      </xdr:nvPicPr>
      <xdr:blipFill>
        <a:blip r:embed="rId1"/>
        <a:stretch>
          <a:fillRect/>
        </a:stretch>
      </xdr:blipFill>
      <xdr:spPr>
        <a:xfrm>
          <a:off x="13249275" y="0"/>
          <a:ext cx="1181100"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53.12\Users\User\AppData\Local\Temp\flujo%20cnv2020\Notas%20a%20los%20Estados%20Financieros%2031%2003%2021%20FLUJ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widilfo%20Copia%20de%20plana%20ejecutiva%20bcp%2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omar%20negofin%20saeca%20-%20solicitud%20bcp%20-%20datos%20personales%20-%200701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lore%20de%20plana%20ejecutiva%20bcp.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53.12\Contabilidad\Fiorella%20Vergara\CNV\A&#241;o%202021%20CNV\4-Diciembre%20%202021\Con%20Firma\Copia%20de%20Negofin%20SAECA%20EEFF%20y%20Notas%20a%20los%20Estados%20Contables%2030.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BG"/>
      <sheetName val="ER"/>
      <sheetName val="EVPN"/>
      <sheetName val="Hoja1"/>
      <sheetName val="EEFF-"/>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anexo c"/>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co c"/>
    </sheetNames>
    <sheetDataSet>
      <sheetData sheetId="0">
        <row r="1">
          <cell r="C1" t="str">
            <v>NEGOFIN S.A.E.C.A.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6">
          <cell r="C6" t="str">
            <v>Widilfo Escobar Cikel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Financiero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Gte. RRHH.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O C"/>
      <sheetName val="ANEXO 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5.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6.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7.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8.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9.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T67"/>
  <sheetViews>
    <sheetView showGridLines="0" zoomScalePageLayoutView="0" workbookViewId="0" topLeftCell="A1">
      <selection activeCell="B8" sqref="B8"/>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33" customWidth="1"/>
    <col min="5" max="5" width="49.8515625" style="2" bestFit="1" customWidth="1"/>
    <col min="6" max="6" width="6.7109375" style="2" bestFit="1" customWidth="1"/>
    <col min="7" max="16384" width="11.421875" style="2" customWidth="1"/>
  </cols>
  <sheetData>
    <row r="1" spans="2:4" ht="12.75">
      <c r="B1" s="408" t="s">
        <v>836</v>
      </c>
      <c r="C1" s="412" t="s">
        <v>912</v>
      </c>
      <c r="D1" s="2"/>
    </row>
    <row r="2" spans="19:20" ht="12.75">
      <c r="S2" s="2">
        <v>1</v>
      </c>
      <c r="T2" s="2" t="s">
        <v>453</v>
      </c>
    </row>
    <row r="3" spans="19:20" ht="12.75">
      <c r="S3" s="2">
        <v>2</v>
      </c>
      <c r="T3" s="2" t="s">
        <v>454</v>
      </c>
    </row>
    <row r="4" spans="19:20" ht="12.75">
      <c r="S4" s="2">
        <v>3</v>
      </c>
      <c r="T4" s="2" t="s">
        <v>455</v>
      </c>
    </row>
    <row r="5" spans="19:20" ht="12.75">
      <c r="S5" s="2">
        <v>4</v>
      </c>
      <c r="T5" s="2" t="s">
        <v>456</v>
      </c>
    </row>
    <row r="6" spans="1:20" ht="12.75">
      <c r="A6" s="408" t="s">
        <v>833</v>
      </c>
      <c r="B6" s="407">
        <v>44926</v>
      </c>
      <c r="S6" s="2">
        <v>5</v>
      </c>
      <c r="T6" s="2" t="s">
        <v>457</v>
      </c>
    </row>
    <row r="7" spans="1:20" ht="12.75" customHeight="1" hidden="1">
      <c r="A7" s="27"/>
      <c r="B7" s="27"/>
      <c r="C7" s="27"/>
      <c r="D7" s="252"/>
      <c r="S7" s="2">
        <v>6</v>
      </c>
      <c r="T7" s="2" t="s">
        <v>458</v>
      </c>
    </row>
    <row r="8" spans="1:20" ht="12.75">
      <c r="A8" s="298"/>
      <c r="S8" s="2">
        <v>7</v>
      </c>
      <c r="T8" s="2" t="s">
        <v>459</v>
      </c>
    </row>
    <row r="9" spans="2:20" ht="26.25" customHeight="1">
      <c r="B9" s="299"/>
      <c r="C9" s="300" t="s">
        <v>22</v>
      </c>
      <c r="D9" s="304" t="s">
        <v>377</v>
      </c>
      <c r="S9" s="2">
        <v>8</v>
      </c>
      <c r="T9" s="2" t="s">
        <v>460</v>
      </c>
    </row>
    <row r="10" spans="2:20" ht="26.25" customHeight="1">
      <c r="B10" s="301" t="s">
        <v>427</v>
      </c>
      <c r="C10" s="284"/>
      <c r="D10" s="305"/>
      <c r="S10" s="2">
        <v>9</v>
      </c>
      <c r="T10" s="2" t="s">
        <v>461</v>
      </c>
    </row>
    <row r="11" spans="1:20" ht="14.25">
      <c r="A11" s="81"/>
      <c r="B11" s="302"/>
      <c r="C11" s="285" t="s">
        <v>351</v>
      </c>
      <c r="D11" s="306" t="s">
        <v>23</v>
      </c>
      <c r="S11" s="2">
        <v>10</v>
      </c>
      <c r="T11" s="2" t="s">
        <v>462</v>
      </c>
    </row>
    <row r="12" spans="1:20" ht="14.25">
      <c r="A12" s="81"/>
      <c r="B12" s="302"/>
      <c r="C12" s="285" t="s">
        <v>39</v>
      </c>
      <c r="D12" s="307" t="s">
        <v>24</v>
      </c>
      <c r="S12" s="2">
        <v>11</v>
      </c>
      <c r="T12" s="2" t="s">
        <v>463</v>
      </c>
    </row>
    <row r="13" spans="1:20" ht="14.25">
      <c r="A13" s="81"/>
      <c r="B13" s="301" t="s">
        <v>282</v>
      </c>
      <c r="C13" s="285"/>
      <c r="D13" s="306" t="s">
        <v>131</v>
      </c>
      <c r="S13" s="2">
        <v>12</v>
      </c>
      <c r="T13" s="2" t="s">
        <v>464</v>
      </c>
    </row>
    <row r="14" spans="1:4" ht="12.75">
      <c r="A14" s="81"/>
      <c r="B14" s="302"/>
      <c r="C14" s="26" t="s">
        <v>221</v>
      </c>
      <c r="D14" s="308" t="s">
        <v>25</v>
      </c>
    </row>
    <row r="15" spans="1:4" ht="12.75">
      <c r="A15" s="81"/>
      <c r="B15" s="302"/>
      <c r="C15" s="26" t="s">
        <v>109</v>
      </c>
      <c r="D15" s="308" t="s">
        <v>26</v>
      </c>
    </row>
    <row r="16" spans="1:4" ht="12.75">
      <c r="A16" s="81"/>
      <c r="B16" s="302"/>
      <c r="C16" s="26" t="s">
        <v>222</v>
      </c>
      <c r="D16" s="308" t="s">
        <v>27</v>
      </c>
    </row>
    <row r="17" spans="1:4" ht="12.75">
      <c r="A17" s="81"/>
      <c r="B17" s="302"/>
      <c r="C17" s="26">
        <v>5850172.838</v>
      </c>
      <c r="D17" s="308" t="s">
        <v>28</v>
      </c>
    </row>
    <row r="18" spans="1:4" ht="14.25">
      <c r="A18" s="81"/>
      <c r="B18" s="302"/>
      <c r="C18" s="26" t="s">
        <v>222</v>
      </c>
      <c r="D18" s="307" t="s">
        <v>27</v>
      </c>
    </row>
    <row r="19" spans="1:4" ht="12.75">
      <c r="A19" s="81"/>
      <c r="B19" s="302"/>
      <c r="C19" s="26" t="s">
        <v>223</v>
      </c>
      <c r="D19" s="308" t="s">
        <v>29</v>
      </c>
    </row>
    <row r="20" spans="1:4" ht="12.75">
      <c r="A20" s="81"/>
      <c r="B20" s="302"/>
      <c r="C20" s="26" t="s">
        <v>410</v>
      </c>
      <c r="D20" s="308" t="s">
        <v>30</v>
      </c>
    </row>
    <row r="21" spans="1:4" ht="12.75">
      <c r="A21" s="81"/>
      <c r="B21" s="302"/>
      <c r="C21" s="26" t="s">
        <v>352</v>
      </c>
      <c r="D21" s="308" t="s">
        <v>31</v>
      </c>
    </row>
    <row r="22" spans="1:4" ht="12.75">
      <c r="A22" s="81"/>
      <c r="B22" s="302"/>
      <c r="C22" s="26" t="s">
        <v>242</v>
      </c>
      <c r="D22" s="308" t="s">
        <v>32</v>
      </c>
    </row>
    <row r="23" spans="1:4" ht="14.25">
      <c r="A23" s="81"/>
      <c r="B23" s="302"/>
      <c r="C23" s="26" t="s">
        <v>124</v>
      </c>
      <c r="D23" s="307" t="s">
        <v>33</v>
      </c>
    </row>
    <row r="24" spans="1:4" ht="14.25">
      <c r="A24" s="81"/>
      <c r="B24" s="302"/>
      <c r="C24" s="26" t="s">
        <v>130</v>
      </c>
      <c r="D24" s="306" t="s">
        <v>34</v>
      </c>
    </row>
    <row r="25" spans="1:4" ht="14.25">
      <c r="A25" s="81"/>
      <c r="B25" s="302"/>
      <c r="C25" s="26" t="s">
        <v>110</v>
      </c>
      <c r="D25" s="307" t="s">
        <v>35</v>
      </c>
    </row>
    <row r="26" spans="1:4" ht="12.75">
      <c r="A26" s="81"/>
      <c r="B26" s="302"/>
      <c r="C26" s="26" t="s">
        <v>111</v>
      </c>
      <c r="D26" s="308" t="s">
        <v>36</v>
      </c>
    </row>
    <row r="27" spans="1:4" ht="12.75">
      <c r="A27" s="81"/>
      <c r="B27" s="302"/>
      <c r="C27" s="26" t="s">
        <v>132</v>
      </c>
      <c r="D27" s="308" t="s">
        <v>37</v>
      </c>
    </row>
    <row r="28" spans="1:4" ht="12.75">
      <c r="A28" s="81"/>
      <c r="B28" s="302"/>
      <c r="C28" s="26" t="s">
        <v>66</v>
      </c>
      <c r="D28" s="308" t="s">
        <v>38</v>
      </c>
    </row>
    <row r="29" spans="1:4" ht="14.25">
      <c r="A29" s="81"/>
      <c r="B29" s="302"/>
      <c r="C29" s="26" t="s">
        <v>67</v>
      </c>
      <c r="D29" s="307" t="s">
        <v>353</v>
      </c>
    </row>
    <row r="30" spans="1:4" ht="14.25">
      <c r="A30" s="81"/>
      <c r="B30" s="302"/>
      <c r="C30" s="26" t="s">
        <v>68</v>
      </c>
      <c r="D30" s="307" t="s">
        <v>354</v>
      </c>
    </row>
    <row r="31" spans="1:4" ht="14.25">
      <c r="A31" s="81"/>
      <c r="B31" s="302"/>
      <c r="C31" s="26" t="s">
        <v>248</v>
      </c>
      <c r="D31" s="307" t="s">
        <v>355</v>
      </c>
    </row>
    <row r="32" spans="1:4" ht="14.25">
      <c r="A32" s="81"/>
      <c r="B32" s="302"/>
      <c r="C32" s="26" t="s">
        <v>357</v>
      </c>
      <c r="D32" s="307" t="s">
        <v>36</v>
      </c>
    </row>
    <row r="33" spans="1:4" ht="14.25">
      <c r="A33" s="81"/>
      <c r="B33" s="302"/>
      <c r="C33" s="26" t="s">
        <v>359</v>
      </c>
      <c r="D33" s="307" t="s">
        <v>355</v>
      </c>
    </row>
    <row r="34" spans="1:4" ht="14.25">
      <c r="A34" s="81"/>
      <c r="B34" s="302"/>
      <c r="C34" s="26" t="s">
        <v>252</v>
      </c>
      <c r="D34" s="307" t="s">
        <v>356</v>
      </c>
    </row>
    <row r="35" spans="1:4" ht="14.25">
      <c r="A35" s="81"/>
      <c r="B35" s="302"/>
      <c r="C35" s="26" t="s">
        <v>43</v>
      </c>
      <c r="D35" s="307" t="s">
        <v>360</v>
      </c>
    </row>
    <row r="36" spans="1:4" ht="14.25">
      <c r="A36" s="81"/>
      <c r="B36" s="302"/>
      <c r="C36" s="26" t="s">
        <v>80</v>
      </c>
      <c r="D36" s="307" t="s">
        <v>360</v>
      </c>
    </row>
    <row r="37" spans="1:4" ht="14.25">
      <c r="A37" s="81"/>
      <c r="B37" s="302"/>
      <c r="C37" s="26" t="s">
        <v>253</v>
      </c>
      <c r="D37" s="307" t="s">
        <v>360</v>
      </c>
    </row>
    <row r="38" spans="1:4" ht="14.25">
      <c r="A38" s="81"/>
      <c r="B38" s="302"/>
      <c r="C38" s="26" t="s">
        <v>413</v>
      </c>
      <c r="D38" s="307" t="s">
        <v>360</v>
      </c>
    </row>
    <row r="39" spans="1:4" ht="14.25">
      <c r="A39" s="81"/>
      <c r="B39" s="302"/>
      <c r="C39" s="26" t="s">
        <v>69</v>
      </c>
      <c r="D39" s="307" t="s">
        <v>361</v>
      </c>
    </row>
    <row r="40" spans="1:4" ht="14.25">
      <c r="A40" s="81"/>
      <c r="B40" s="302"/>
      <c r="C40" s="26" t="s">
        <v>44</v>
      </c>
      <c r="D40" s="307" t="s">
        <v>362</v>
      </c>
    </row>
    <row r="41" spans="1:4" ht="14.25">
      <c r="A41" s="81"/>
      <c r="B41" s="302"/>
      <c r="C41" s="26" t="s">
        <v>70</v>
      </c>
      <c r="D41" s="307" t="s">
        <v>363</v>
      </c>
    </row>
    <row r="42" spans="1:4" ht="14.25">
      <c r="A42" s="81"/>
      <c r="B42" s="301" t="s">
        <v>57</v>
      </c>
      <c r="C42" s="285"/>
      <c r="D42" s="306" t="s">
        <v>146</v>
      </c>
    </row>
    <row r="43" spans="1:4" ht="14.25">
      <c r="A43" s="81"/>
      <c r="B43" s="302"/>
      <c r="C43" s="26" t="s">
        <v>62</v>
      </c>
      <c r="D43" s="307" t="s">
        <v>364</v>
      </c>
    </row>
    <row r="44" spans="1:4" ht="14.25">
      <c r="A44" s="81"/>
      <c r="B44" s="302"/>
      <c r="C44" s="26" t="s">
        <v>154</v>
      </c>
      <c r="D44" s="307" t="s">
        <v>365</v>
      </c>
    </row>
    <row r="45" spans="1:4" ht="14.25">
      <c r="A45" s="81"/>
      <c r="B45" s="302"/>
      <c r="C45" s="26" t="s">
        <v>258</v>
      </c>
      <c r="D45" s="307" t="s">
        <v>366</v>
      </c>
    </row>
    <row r="46" spans="1:4" ht="14.25">
      <c r="A46" s="81"/>
      <c r="B46" s="302"/>
      <c r="C46" s="26" t="s">
        <v>182</v>
      </c>
      <c r="D46" s="307" t="s">
        <v>366</v>
      </c>
    </row>
    <row r="47" spans="1:4" ht="14.25">
      <c r="A47" s="81"/>
      <c r="B47" s="302"/>
      <c r="C47" s="26" t="s">
        <v>368</v>
      </c>
      <c r="D47" s="307" t="s">
        <v>367</v>
      </c>
    </row>
    <row r="48" spans="1:4" ht="14.25">
      <c r="A48" s="81"/>
      <c r="B48" s="302"/>
      <c r="C48" s="26" t="s">
        <v>415</v>
      </c>
      <c r="D48" s="307" t="s">
        <v>369</v>
      </c>
    </row>
    <row r="49" spans="1:4" ht="14.25">
      <c r="A49" s="81"/>
      <c r="B49" s="302"/>
      <c r="C49" s="26" t="s">
        <v>418</v>
      </c>
      <c r="D49" s="307" t="s">
        <v>369</v>
      </c>
    </row>
    <row r="50" spans="1:4" ht="14.25">
      <c r="A50" s="81"/>
      <c r="B50" s="302"/>
      <c r="C50" s="26" t="s">
        <v>160</v>
      </c>
      <c r="D50" s="307" t="s">
        <v>370</v>
      </c>
    </row>
    <row r="51" spans="1:4" ht="14.25">
      <c r="A51" s="81"/>
      <c r="B51" s="302"/>
      <c r="C51" s="26" t="s">
        <v>161</v>
      </c>
      <c r="D51" s="307" t="s">
        <v>371</v>
      </c>
    </row>
    <row r="52" spans="1:4" ht="14.25">
      <c r="A52" s="81"/>
      <c r="B52" s="302"/>
      <c r="C52" s="26" t="s">
        <v>46</v>
      </c>
      <c r="D52" s="307" t="s">
        <v>372</v>
      </c>
    </row>
    <row r="53" spans="1:4" ht="14.25">
      <c r="A53" s="81"/>
      <c r="B53" s="302"/>
      <c r="C53" s="26" t="s">
        <v>72</v>
      </c>
      <c r="D53" s="307" t="s">
        <v>373</v>
      </c>
    </row>
    <row r="54" spans="1:4" ht="14.25">
      <c r="A54" s="81"/>
      <c r="B54" s="302"/>
      <c r="C54" s="26" t="s">
        <v>73</v>
      </c>
      <c r="D54" s="307" t="s">
        <v>374</v>
      </c>
    </row>
    <row r="55" spans="1:4" ht="14.25">
      <c r="A55" s="81"/>
      <c r="B55" s="302"/>
      <c r="C55" s="26" t="s">
        <v>376</v>
      </c>
      <c r="D55" s="307" t="s">
        <v>375</v>
      </c>
    </row>
    <row r="56" spans="1:4" ht="14.25">
      <c r="A56" s="81"/>
      <c r="B56" s="302"/>
      <c r="C56" s="26" t="s">
        <v>74</v>
      </c>
      <c r="D56" s="306" t="s">
        <v>375</v>
      </c>
    </row>
    <row r="57" spans="1:4" ht="14.25">
      <c r="A57" s="81"/>
      <c r="B57" s="301" t="s">
        <v>58</v>
      </c>
      <c r="C57" s="285"/>
      <c r="D57" s="306" t="s">
        <v>56</v>
      </c>
    </row>
    <row r="58" spans="1:4" ht="14.25">
      <c r="A58" s="81"/>
      <c r="B58" s="301" t="s">
        <v>283</v>
      </c>
      <c r="C58" s="285"/>
      <c r="D58" s="307" t="s">
        <v>284</v>
      </c>
    </row>
    <row r="59" spans="1:4" ht="14.25">
      <c r="A59" s="81"/>
      <c r="B59" s="301" t="s">
        <v>428</v>
      </c>
      <c r="C59" s="285"/>
      <c r="D59" s="307"/>
    </row>
    <row r="60" spans="1:4" ht="14.25">
      <c r="A60" s="81"/>
      <c r="B60" s="302"/>
      <c r="C60" s="26" t="s">
        <v>381</v>
      </c>
      <c r="D60" s="306" t="s">
        <v>382</v>
      </c>
    </row>
    <row r="61" spans="1:4" ht="14.25">
      <c r="A61" s="81"/>
      <c r="B61" s="302"/>
      <c r="C61" s="26" t="s">
        <v>386</v>
      </c>
      <c r="D61" s="306" t="s">
        <v>387</v>
      </c>
    </row>
    <row r="62" spans="1:4" ht="14.25">
      <c r="A62" s="81"/>
      <c r="B62" s="302"/>
      <c r="C62" s="26" t="s">
        <v>419</v>
      </c>
      <c r="D62" s="306" t="s">
        <v>389</v>
      </c>
    </row>
    <row r="63" spans="1:4" ht="14.25">
      <c r="A63" s="81"/>
      <c r="B63" s="302"/>
      <c r="C63" s="26" t="s">
        <v>388</v>
      </c>
      <c r="D63" s="306" t="s">
        <v>390</v>
      </c>
    </row>
    <row r="64" spans="1:4" ht="14.25">
      <c r="A64" s="81"/>
      <c r="B64" s="303"/>
      <c r="C64" s="409" t="s">
        <v>897</v>
      </c>
      <c r="D64" s="405" t="s">
        <v>898</v>
      </c>
    </row>
    <row r="65" spans="1:4" s="26" customFormat="1" ht="21" customHeight="1">
      <c r="A65" s="28"/>
      <c r="D65" s="253"/>
    </row>
    <row r="66" spans="2:4" ht="12.75">
      <c r="B66" s="26"/>
      <c r="C66" s="26"/>
      <c r="D66" s="81"/>
    </row>
    <row r="67" spans="2:4" ht="12.75">
      <c r="B67" s="26"/>
      <c r="C67" s="26"/>
      <c r="D67" s="81"/>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L87"/>
  <sheetViews>
    <sheetView showGridLines="0" zoomScalePageLayoutView="0" workbookViewId="0" topLeftCell="A31">
      <selection activeCell="C57" sqref="C57"/>
    </sheetView>
  </sheetViews>
  <sheetFormatPr defaultColWidth="11.421875" defaultRowHeight="15"/>
  <cols>
    <col min="1" max="1" width="40.28125" style="7" customWidth="1"/>
    <col min="2" max="2" width="27.7109375" style="7" customWidth="1"/>
    <col min="3" max="3" width="25.421875" style="7" customWidth="1"/>
    <col min="4" max="4" width="19.57421875" style="7" customWidth="1"/>
    <col min="5" max="5" width="4.8515625" style="7" customWidth="1"/>
    <col min="6" max="6" width="61.57421875" style="7" customWidth="1"/>
    <col min="7" max="7" width="19.28125" style="7" bestFit="1" customWidth="1"/>
    <col min="8" max="8" width="17.7109375" style="7" customWidth="1"/>
    <col min="9" max="9" width="15.8515625" style="7" bestFit="1" customWidth="1"/>
    <col min="10" max="10" width="13.7109375" style="7" bestFit="1" customWidth="1"/>
    <col min="11" max="11" width="14.7109375" style="7" bestFit="1" customWidth="1"/>
    <col min="12" max="16384" width="11.421875" style="7" customWidth="1"/>
  </cols>
  <sheetData>
    <row r="1" spans="1:6" ht="14.25">
      <c r="A1" s="9" t="str">
        <f>Indice!C1</f>
        <v>NEGOFIN S.A.E.C.A.</v>
      </c>
      <c r="F1" s="137" t="s">
        <v>131</v>
      </c>
    </row>
    <row r="2" spans="1:6" ht="14.25">
      <c r="A2" s="231" t="s">
        <v>102</v>
      </c>
      <c r="B2" s="231"/>
      <c r="F2" s="137"/>
    </row>
    <row r="3" spans="1:6" ht="11.25" customHeight="1">
      <c r="A3" s="391" t="s">
        <v>883</v>
      </c>
      <c r="B3" s="231"/>
      <c r="F3" s="137"/>
    </row>
    <row r="4" ht="12.75">
      <c r="C4" s="105"/>
    </row>
    <row r="5" spans="1:5" ht="12.75">
      <c r="A5" s="322" t="s">
        <v>289</v>
      </c>
      <c r="B5" s="322"/>
      <c r="C5" s="352"/>
      <c r="D5" s="352"/>
      <c r="E5" s="352"/>
    </row>
    <row r="6" spans="1:5" ht="12.75">
      <c r="A6" s="2" t="s">
        <v>881</v>
      </c>
      <c r="B6" s="2"/>
      <c r="E6" s="105"/>
    </row>
    <row r="7" spans="1:5" ht="12.75">
      <c r="A7" s="113"/>
      <c r="B7" s="113"/>
      <c r="C7" s="964" t="s">
        <v>241</v>
      </c>
      <c r="D7" s="965"/>
      <c r="E7" s="105"/>
    </row>
    <row r="8" spans="1:5" ht="12.75">
      <c r="A8" s="12"/>
      <c r="B8" s="12"/>
      <c r="C8" s="353">
        <f>_xlfn.IFERROR(IF(Indice!B6="","2XX2",YEAR(Indice!B6)),"2XX2")</f>
        <v>2022</v>
      </c>
      <c r="D8" s="353">
        <f>_xlfn.IFERROR(YEAR(Indice!B6-365),"2XX1")</f>
        <v>2021</v>
      </c>
      <c r="E8" s="105"/>
    </row>
    <row r="9" spans="1:12" ht="14.25">
      <c r="A9" s="232" t="s">
        <v>295</v>
      </c>
      <c r="B9" s="232" t="s">
        <v>445</v>
      </c>
      <c r="C9" s="418">
        <v>734977042.896</v>
      </c>
      <c r="D9" s="418">
        <v>571290382.846</v>
      </c>
      <c r="E9" s="105"/>
      <c r="J9" s="642"/>
      <c r="K9" s="642"/>
      <c r="L9" s="642"/>
    </row>
    <row r="10" spans="1:12" ht="12.75" customHeight="1">
      <c r="A10" s="232" t="s">
        <v>295</v>
      </c>
      <c r="B10" s="232" t="s">
        <v>446</v>
      </c>
      <c r="C10" s="418">
        <v>0</v>
      </c>
      <c r="D10" s="418">
        <v>0</v>
      </c>
      <c r="E10" s="105"/>
      <c r="F10" s="687"/>
      <c r="G10" s="12"/>
      <c r="H10" s="12"/>
      <c r="I10" s="12"/>
      <c r="J10" s="684"/>
      <c r="K10" s="684"/>
      <c r="L10" s="684"/>
    </row>
    <row r="11" spans="1:12" ht="14.25">
      <c r="A11" s="232" t="s">
        <v>295</v>
      </c>
      <c r="B11" s="232" t="s">
        <v>447</v>
      </c>
      <c r="C11" s="418">
        <v>0</v>
      </c>
      <c r="D11" s="418">
        <v>0</v>
      </c>
      <c r="E11" s="105"/>
      <c r="F11" s="351"/>
      <c r="G11" s="507"/>
      <c r="H11" s="507"/>
      <c r="I11" s="351"/>
      <c r="J11" s="684"/>
      <c r="K11" s="684"/>
      <c r="L11" s="684"/>
    </row>
    <row r="12" spans="1:12" ht="14.25">
      <c r="A12" s="232" t="s">
        <v>296</v>
      </c>
      <c r="B12" s="232" t="s">
        <v>445</v>
      </c>
      <c r="C12" s="418">
        <v>0</v>
      </c>
      <c r="D12" s="418">
        <v>0</v>
      </c>
      <c r="E12" s="105"/>
      <c r="F12" s="351"/>
      <c r="G12" s="688"/>
      <c r="H12" s="688"/>
      <c r="I12" s="688"/>
      <c r="J12" s="684"/>
      <c r="K12" s="684"/>
      <c r="L12" s="684"/>
    </row>
    <row r="13" spans="1:12" ht="14.25">
      <c r="A13" s="232" t="s">
        <v>296</v>
      </c>
      <c r="B13" s="232" t="s">
        <v>446</v>
      </c>
      <c r="C13" s="418">
        <v>0</v>
      </c>
      <c r="D13" s="418">
        <v>0</v>
      </c>
      <c r="E13" s="105"/>
      <c r="F13" s="12"/>
      <c r="G13" s="689"/>
      <c r="H13" s="690"/>
      <c r="I13" s="691"/>
      <c r="J13" s="684"/>
      <c r="K13" s="684"/>
      <c r="L13" s="684"/>
    </row>
    <row r="14" spans="1:12" ht="14.25">
      <c r="A14" s="232" t="s">
        <v>296</v>
      </c>
      <c r="B14" s="232" t="s">
        <v>447</v>
      </c>
      <c r="C14" s="418">
        <v>0</v>
      </c>
      <c r="D14" s="418">
        <v>0</v>
      </c>
      <c r="E14" s="105"/>
      <c r="F14" s="12"/>
      <c r="G14" s="689"/>
      <c r="H14" s="690"/>
      <c r="I14" s="692"/>
      <c r="J14" s="684"/>
      <c r="K14" s="684"/>
      <c r="L14" s="684"/>
    </row>
    <row r="15" spans="1:12" ht="14.25">
      <c r="A15" s="232" t="s">
        <v>448</v>
      </c>
      <c r="B15" s="232" t="s">
        <v>445</v>
      </c>
      <c r="C15" s="418">
        <v>0</v>
      </c>
      <c r="D15" s="418">
        <v>0</v>
      </c>
      <c r="E15" s="105"/>
      <c r="F15" s="693"/>
      <c r="G15" s="689"/>
      <c r="H15" s="690"/>
      <c r="I15" s="692"/>
      <c r="J15" s="684"/>
      <c r="K15" s="684"/>
      <c r="L15" s="684"/>
    </row>
    <row r="16" spans="1:12" ht="14.25">
      <c r="A16" s="232" t="s">
        <v>448</v>
      </c>
      <c r="B16" s="232" t="s">
        <v>446</v>
      </c>
      <c r="C16" s="418">
        <v>0</v>
      </c>
      <c r="D16" s="418">
        <v>0</v>
      </c>
      <c r="E16" s="105"/>
      <c r="F16" s="12"/>
      <c r="G16" s="689"/>
      <c r="H16" s="690"/>
      <c r="I16" s="694"/>
      <c r="J16" s="684"/>
      <c r="K16" s="668"/>
      <c r="L16" s="684"/>
    </row>
    <row r="17" spans="1:12" ht="14.25">
      <c r="A17" s="232" t="s">
        <v>448</v>
      </c>
      <c r="B17" s="232" t="s">
        <v>447</v>
      </c>
      <c r="C17" s="418">
        <v>0</v>
      </c>
      <c r="D17" s="418">
        <v>0</v>
      </c>
      <c r="E17" s="105"/>
      <c r="F17" s="12"/>
      <c r="G17" s="689"/>
      <c r="H17" s="690"/>
      <c r="I17" s="694"/>
      <c r="J17" s="684"/>
      <c r="K17" s="685"/>
      <c r="L17" s="684"/>
    </row>
    <row r="18" spans="1:12" ht="14.25">
      <c r="A18" s="232" t="s">
        <v>292</v>
      </c>
      <c r="B18" s="232" t="s">
        <v>445</v>
      </c>
      <c r="C18" s="418">
        <v>0</v>
      </c>
      <c r="D18" s="418">
        <v>0</v>
      </c>
      <c r="E18" s="105"/>
      <c r="F18" s="12"/>
      <c r="G18" s="689"/>
      <c r="H18" s="690"/>
      <c r="I18" s="694"/>
      <c r="J18" s="684"/>
      <c r="K18" s="668"/>
      <c r="L18" s="684"/>
    </row>
    <row r="19" spans="1:12" ht="14.25">
      <c r="A19" s="232" t="s">
        <v>292</v>
      </c>
      <c r="B19" s="232" t="s">
        <v>446</v>
      </c>
      <c r="C19" s="418">
        <v>0</v>
      </c>
      <c r="D19" s="418">
        <v>0</v>
      </c>
      <c r="E19" s="105"/>
      <c r="F19" s="12"/>
      <c r="G19" s="695"/>
      <c r="H19" s="695"/>
      <c r="I19" s="695"/>
      <c r="J19" s="696"/>
      <c r="K19" s="685"/>
      <c r="L19" s="684"/>
    </row>
    <row r="20" spans="1:12" ht="14.25">
      <c r="A20" s="232" t="s">
        <v>292</v>
      </c>
      <c r="B20" s="232" t="s">
        <v>447</v>
      </c>
      <c r="C20" s="418">
        <v>0</v>
      </c>
      <c r="D20" s="418">
        <v>0</v>
      </c>
      <c r="E20" s="105"/>
      <c r="F20" s="697"/>
      <c r="G20" s="695"/>
      <c r="H20" s="695"/>
      <c r="I20" s="695"/>
      <c r="J20" s="696"/>
      <c r="K20" s="685"/>
      <c r="L20" s="684"/>
    </row>
    <row r="21" spans="1:12" ht="14.25">
      <c r="A21" s="232" t="s">
        <v>294</v>
      </c>
      <c r="B21" s="232" t="s">
        <v>445</v>
      </c>
      <c r="C21" s="418">
        <v>0</v>
      </c>
      <c r="D21" s="418">
        <v>0</v>
      </c>
      <c r="E21" s="105"/>
      <c r="F21" s="12"/>
      <c r="G21" s="695"/>
      <c r="H21" s="695"/>
      <c r="I21" s="695"/>
      <c r="J21" s="684"/>
      <c r="K21" s="685"/>
      <c r="L21" s="684"/>
    </row>
    <row r="22" spans="1:12" ht="14.25">
      <c r="A22" s="232" t="s">
        <v>294</v>
      </c>
      <c r="B22" s="232" t="s">
        <v>446</v>
      </c>
      <c r="C22" s="418">
        <v>0</v>
      </c>
      <c r="D22" s="418">
        <v>0</v>
      </c>
      <c r="E22" s="105"/>
      <c r="F22" s="698"/>
      <c r="G22" s="286"/>
      <c r="H22" s="286"/>
      <c r="I22" s="699"/>
      <c r="J22" s="684"/>
      <c r="K22" s="504"/>
      <c r="L22" s="684"/>
    </row>
    <row r="23" spans="1:12" ht="15" customHeight="1">
      <c r="A23" s="232" t="s">
        <v>449</v>
      </c>
      <c r="B23" s="232" t="s">
        <v>445</v>
      </c>
      <c r="C23" s="418">
        <v>0</v>
      </c>
      <c r="D23" s="418">
        <v>0</v>
      </c>
      <c r="E23" s="105"/>
      <c r="F23" s="700"/>
      <c r="G23" s="700"/>
      <c r="H23" s="700"/>
      <c r="I23" s="700"/>
      <c r="J23" s="684"/>
      <c r="K23" s="685"/>
      <c r="L23" s="684"/>
    </row>
    <row r="24" spans="1:12" ht="14.25">
      <c r="A24" s="232" t="s">
        <v>449</v>
      </c>
      <c r="B24" s="232" t="s">
        <v>446</v>
      </c>
      <c r="C24" s="418">
        <v>0</v>
      </c>
      <c r="D24" s="418">
        <v>0</v>
      </c>
      <c r="E24" s="105"/>
      <c r="F24" s="701"/>
      <c r="G24" s="702"/>
      <c r="H24" s="702"/>
      <c r="I24" s="695"/>
      <c r="J24" s="684"/>
      <c r="K24" s="684"/>
      <c r="L24" s="684"/>
    </row>
    <row r="25" spans="1:12" ht="14.25">
      <c r="A25" s="232" t="s">
        <v>449</v>
      </c>
      <c r="B25" s="232" t="s">
        <v>447</v>
      </c>
      <c r="C25" s="418">
        <v>0</v>
      </c>
      <c r="D25" s="418">
        <v>0</v>
      </c>
      <c r="E25" s="105"/>
      <c r="F25" s="12"/>
      <c r="G25" s="12"/>
      <c r="H25" s="12"/>
      <c r="I25" s="12"/>
      <c r="J25" s="684"/>
      <c r="K25" s="684"/>
      <c r="L25" s="684"/>
    </row>
    <row r="26" spans="1:12" ht="14.25">
      <c r="A26" s="232" t="s">
        <v>450</v>
      </c>
      <c r="B26" s="232"/>
      <c r="C26" s="418">
        <v>-249346057.347</v>
      </c>
      <c r="D26" s="418">
        <v>-168939056.278</v>
      </c>
      <c r="E26" s="105"/>
      <c r="F26" s="687"/>
      <c r="G26" s="350"/>
      <c r="H26" s="350"/>
      <c r="I26" s="350"/>
      <c r="J26" s="684"/>
      <c r="K26" s="684"/>
      <c r="L26" s="684"/>
    </row>
    <row r="27" spans="1:12" ht="14.25">
      <c r="A27" s="6" t="s">
        <v>3</v>
      </c>
      <c r="B27" s="6"/>
      <c r="C27" s="419">
        <f>+SUM($C$9:C26)</f>
        <v>485630985.549</v>
      </c>
      <c r="D27" s="419">
        <f>+SUM($D$9:D26)</f>
        <v>402351326.56799996</v>
      </c>
      <c r="E27" s="105"/>
      <c r="F27" s="703"/>
      <c r="G27" s="704"/>
      <c r="H27" s="704"/>
      <c r="I27" s="704"/>
      <c r="J27" s="684"/>
      <c r="K27" s="684"/>
      <c r="L27" s="684"/>
    </row>
    <row r="28" spans="1:12" ht="14.25">
      <c r="A28" s="2"/>
      <c r="B28" s="2"/>
      <c r="E28" s="105"/>
      <c r="F28" s="12"/>
      <c r="G28" s="705"/>
      <c r="H28" s="705"/>
      <c r="I28" s="705"/>
      <c r="J28" s="684"/>
      <c r="K28" s="684"/>
      <c r="L28" s="684"/>
    </row>
    <row r="29" spans="1:12" ht="14.25">
      <c r="A29" s="113"/>
      <c r="B29" s="113"/>
      <c r="E29" s="105"/>
      <c r="F29" s="12"/>
      <c r="G29" s="705"/>
      <c r="H29" s="705"/>
      <c r="I29" s="705"/>
      <c r="J29" s="684"/>
      <c r="K29" s="684"/>
      <c r="L29" s="684"/>
    </row>
    <row r="30" spans="1:12" ht="14.25">
      <c r="A30" s="2" t="s">
        <v>882</v>
      </c>
      <c r="B30" s="2"/>
      <c r="E30" s="105"/>
      <c r="F30" s="12"/>
      <c r="G30" s="705"/>
      <c r="H30" s="705"/>
      <c r="I30" s="705"/>
      <c r="J30" s="684"/>
      <c r="K30" s="684"/>
      <c r="L30" s="684"/>
    </row>
    <row r="31" spans="1:12" ht="14.25">
      <c r="A31" s="113"/>
      <c r="B31" s="113"/>
      <c r="C31" s="964" t="s">
        <v>241</v>
      </c>
      <c r="D31" s="965"/>
      <c r="E31" s="105"/>
      <c r="F31" s="12"/>
      <c r="G31" s="12"/>
      <c r="H31" s="12"/>
      <c r="I31" s="12"/>
      <c r="J31" s="684"/>
      <c r="K31" s="684"/>
      <c r="L31" s="684"/>
    </row>
    <row r="32" spans="1:12" ht="14.25">
      <c r="A32" s="12"/>
      <c r="B32" s="12"/>
      <c r="C32" s="353">
        <f>_xlfn.IFERROR(IF(Indice!B6="","2XX2",YEAR(Indice!B6)),"2XX2")</f>
        <v>2022</v>
      </c>
      <c r="D32" s="353">
        <f>_xlfn.IFERROR(YEAR(Indice!B6-365),"2XX1")</f>
        <v>2021</v>
      </c>
      <c r="E32" s="105"/>
      <c r="F32" s="706"/>
      <c r="G32" s="12"/>
      <c r="H32" s="12"/>
      <c r="I32" s="12"/>
      <c r="J32" s="684"/>
      <c r="K32" s="684"/>
      <c r="L32" s="684"/>
    </row>
    <row r="33" spans="1:12" ht="14.25">
      <c r="A33" s="232" t="s">
        <v>295</v>
      </c>
      <c r="B33" s="232" t="s">
        <v>445</v>
      </c>
      <c r="C33" s="418">
        <v>106912152.241</v>
      </c>
      <c r="D33" s="418">
        <v>104115231.663</v>
      </c>
      <c r="F33" s="12"/>
      <c r="G33" s="12"/>
      <c r="H33" s="12"/>
      <c r="I33" s="12"/>
      <c r="J33" s="684"/>
      <c r="K33" s="684"/>
      <c r="L33" s="684"/>
    </row>
    <row r="34" spans="1:12" ht="15" customHeight="1">
      <c r="A34" s="232" t="s">
        <v>295</v>
      </c>
      <c r="B34" s="232" t="s">
        <v>446</v>
      </c>
      <c r="C34" s="418">
        <v>0</v>
      </c>
      <c r="D34" s="418">
        <v>0</v>
      </c>
      <c r="F34" s="707"/>
      <c r="G34" s="12"/>
      <c r="H34" s="12"/>
      <c r="I34" s="12"/>
      <c r="J34" s="684"/>
      <c r="K34" s="684"/>
      <c r="L34" s="684"/>
    </row>
    <row r="35" spans="1:12" ht="14.25">
      <c r="A35" s="232" t="s">
        <v>295</v>
      </c>
      <c r="B35" s="232" t="s">
        <v>447</v>
      </c>
      <c r="C35" s="418">
        <v>0</v>
      </c>
      <c r="D35" s="418">
        <v>0</v>
      </c>
      <c r="F35" s="707"/>
      <c r="G35" s="12"/>
      <c r="H35" s="12"/>
      <c r="I35" s="12"/>
      <c r="J35" s="684"/>
      <c r="K35" s="684"/>
      <c r="L35" s="684"/>
    </row>
    <row r="36" spans="1:12" ht="14.25">
      <c r="A36" s="232" t="s">
        <v>296</v>
      </c>
      <c r="B36" s="232" t="s">
        <v>445</v>
      </c>
      <c r="C36" s="418">
        <v>0</v>
      </c>
      <c r="D36" s="418">
        <v>0</v>
      </c>
      <c r="F36" s="12"/>
      <c r="G36" s="12"/>
      <c r="H36" s="12"/>
      <c r="I36" s="12"/>
      <c r="J36" s="684"/>
      <c r="K36" s="684"/>
      <c r="L36" s="684"/>
    </row>
    <row r="37" spans="1:12" ht="14.25">
      <c r="A37" s="232" t="s">
        <v>296</v>
      </c>
      <c r="B37" s="232" t="s">
        <v>446</v>
      </c>
      <c r="C37" s="418">
        <v>0</v>
      </c>
      <c r="D37" s="418">
        <v>0</v>
      </c>
      <c r="F37" s="12"/>
      <c r="G37" s="12"/>
      <c r="H37" s="12"/>
      <c r="I37" s="12"/>
      <c r="J37" s="684"/>
      <c r="K37" s="684"/>
      <c r="L37" s="684"/>
    </row>
    <row r="38" spans="1:12" ht="14.25">
      <c r="A38" s="232" t="s">
        <v>296</v>
      </c>
      <c r="B38" s="232" t="s">
        <v>447</v>
      </c>
      <c r="C38" s="418">
        <v>0</v>
      </c>
      <c r="D38" s="418">
        <v>0</v>
      </c>
      <c r="F38" s="12"/>
      <c r="G38" s="12"/>
      <c r="H38" s="12"/>
      <c r="I38" s="12"/>
      <c r="J38" s="684"/>
      <c r="K38" s="684"/>
      <c r="L38" s="684"/>
    </row>
    <row r="39" spans="1:12" ht="14.25">
      <c r="A39" s="232" t="s">
        <v>448</v>
      </c>
      <c r="B39" s="232" t="s">
        <v>445</v>
      </c>
      <c r="C39" s="418">
        <v>0</v>
      </c>
      <c r="D39" s="418">
        <v>0</v>
      </c>
      <c r="F39" s="12"/>
      <c r="G39" s="12"/>
      <c r="H39" s="12"/>
      <c r="I39" s="12"/>
      <c r="J39" s="684"/>
      <c r="K39" s="684"/>
      <c r="L39" s="684"/>
    </row>
    <row r="40" spans="1:12" ht="14.25">
      <c r="A40" s="232" t="s">
        <v>448</v>
      </c>
      <c r="B40" s="232" t="s">
        <v>446</v>
      </c>
      <c r="C40" s="418">
        <v>0</v>
      </c>
      <c r="D40" s="418">
        <v>0</v>
      </c>
      <c r="F40" s="12"/>
      <c r="G40" s="12"/>
      <c r="H40" s="12"/>
      <c r="I40" s="12"/>
      <c r="J40" s="684"/>
      <c r="K40" s="684"/>
      <c r="L40" s="684"/>
    </row>
    <row r="41" spans="1:12" ht="14.25">
      <c r="A41" s="232" t="s">
        <v>448</v>
      </c>
      <c r="B41" s="232" t="s">
        <v>447</v>
      </c>
      <c r="C41" s="418">
        <v>0</v>
      </c>
      <c r="D41" s="418">
        <v>0</v>
      </c>
      <c r="F41" s="12"/>
      <c r="G41" s="12"/>
      <c r="H41" s="12"/>
      <c r="I41" s="12"/>
      <c r="J41" s="684"/>
      <c r="K41" s="684"/>
      <c r="L41" s="684"/>
    </row>
    <row r="42" spans="1:12" ht="14.25">
      <c r="A42" s="232" t="s">
        <v>292</v>
      </c>
      <c r="B42" s="232" t="s">
        <v>445</v>
      </c>
      <c r="C42" s="418">
        <v>0</v>
      </c>
      <c r="D42" s="418">
        <v>0</v>
      </c>
      <c r="F42" s="12"/>
      <c r="G42" s="12"/>
      <c r="H42" s="12"/>
      <c r="I42" s="12"/>
      <c r="J42" s="684"/>
      <c r="K42" s="684"/>
      <c r="L42" s="684"/>
    </row>
    <row r="43" spans="1:12" ht="14.25">
      <c r="A43" s="232" t="s">
        <v>292</v>
      </c>
      <c r="B43" s="232" t="s">
        <v>446</v>
      </c>
      <c r="C43" s="418">
        <v>0</v>
      </c>
      <c r="D43" s="418">
        <v>0</v>
      </c>
      <c r="F43" s="12"/>
      <c r="G43" s="12"/>
      <c r="H43" s="12"/>
      <c r="I43" s="12"/>
      <c r="J43" s="684"/>
      <c r="K43" s="684"/>
      <c r="L43" s="684"/>
    </row>
    <row r="44" spans="1:12" ht="14.25">
      <c r="A44" s="232" t="s">
        <v>292</v>
      </c>
      <c r="B44" s="232" t="s">
        <v>447</v>
      </c>
      <c r="C44" s="418">
        <v>0</v>
      </c>
      <c r="D44" s="418">
        <v>0</v>
      </c>
      <c r="F44" s="12"/>
      <c r="G44" s="12"/>
      <c r="H44" s="12"/>
      <c r="I44" s="12"/>
      <c r="J44" s="684"/>
      <c r="K44" s="684"/>
      <c r="L44" s="684"/>
    </row>
    <row r="45" spans="1:12" ht="14.25">
      <c r="A45" s="232" t="s">
        <v>293</v>
      </c>
      <c r="B45" s="232" t="s">
        <v>445</v>
      </c>
      <c r="C45" s="418">
        <v>1511309.217</v>
      </c>
      <c r="D45" s="418">
        <v>1672560.486</v>
      </c>
      <c r="F45" s="708"/>
      <c r="G45" s="12"/>
      <c r="H45" s="12"/>
      <c r="I45" s="12"/>
      <c r="J45" s="684"/>
      <c r="K45" s="684"/>
      <c r="L45" s="684"/>
    </row>
    <row r="46" spans="1:12" ht="14.25">
      <c r="A46" s="232" t="s">
        <v>293</v>
      </c>
      <c r="B46" s="232" t="s">
        <v>446</v>
      </c>
      <c r="C46" s="418">
        <v>0</v>
      </c>
      <c r="D46" s="418">
        <v>0</v>
      </c>
      <c r="F46" s="12"/>
      <c r="G46" s="12"/>
      <c r="H46" s="12"/>
      <c r="I46" s="12"/>
      <c r="J46" s="684"/>
      <c r="K46" s="684"/>
      <c r="L46" s="684"/>
    </row>
    <row r="47" spans="1:12" ht="14.25">
      <c r="A47" s="232" t="s">
        <v>293</v>
      </c>
      <c r="B47" s="232" t="s">
        <v>447</v>
      </c>
      <c r="C47" s="418">
        <v>0</v>
      </c>
      <c r="D47" s="418">
        <v>0</v>
      </c>
      <c r="F47" s="12"/>
      <c r="G47" s="12"/>
      <c r="H47" s="12"/>
      <c r="I47" s="12"/>
      <c r="J47" s="684"/>
      <c r="K47" s="684"/>
      <c r="L47" s="684"/>
    </row>
    <row r="48" spans="1:12" ht="14.25">
      <c r="A48" s="232" t="s">
        <v>294</v>
      </c>
      <c r="B48" s="232" t="s">
        <v>445</v>
      </c>
      <c r="C48" s="418">
        <v>292688.142</v>
      </c>
      <c r="D48" s="418">
        <v>299148.792</v>
      </c>
      <c r="F48" s="709"/>
      <c r="G48" s="12"/>
      <c r="H48" s="12"/>
      <c r="I48" s="12"/>
      <c r="J48" s="684"/>
      <c r="K48" s="684"/>
      <c r="L48" s="684"/>
    </row>
    <row r="49" spans="1:12" ht="14.25">
      <c r="A49" s="232" t="s">
        <v>294</v>
      </c>
      <c r="B49" s="232" t="s">
        <v>446</v>
      </c>
      <c r="C49" s="418">
        <v>0</v>
      </c>
      <c r="D49" s="418">
        <v>0</v>
      </c>
      <c r="F49" s="707"/>
      <c r="G49" s="12"/>
      <c r="H49" s="12"/>
      <c r="I49" s="12"/>
      <c r="J49" s="684"/>
      <c r="K49" s="684"/>
      <c r="L49" s="684"/>
    </row>
    <row r="50" spans="1:12" ht="14.25">
      <c r="A50" s="232" t="s">
        <v>449</v>
      </c>
      <c r="B50" s="232" t="s">
        <v>445</v>
      </c>
      <c r="C50" s="418">
        <v>0</v>
      </c>
      <c r="D50" s="418">
        <v>0</v>
      </c>
      <c r="F50" s="12"/>
      <c r="G50" s="12"/>
      <c r="H50" s="12"/>
      <c r="I50" s="12"/>
      <c r="J50" s="684"/>
      <c r="K50" s="684"/>
      <c r="L50" s="684"/>
    </row>
    <row r="51" spans="1:12" ht="14.25">
      <c r="A51" s="232" t="s">
        <v>449</v>
      </c>
      <c r="B51" s="232" t="s">
        <v>446</v>
      </c>
      <c r="C51" s="418">
        <v>0</v>
      </c>
      <c r="D51" s="418">
        <v>0</v>
      </c>
      <c r="F51" s="12"/>
      <c r="G51" s="12"/>
      <c r="H51" s="12"/>
      <c r="I51" s="12"/>
      <c r="J51" s="684"/>
      <c r="K51" s="684"/>
      <c r="L51" s="684"/>
    </row>
    <row r="52" spans="1:12" ht="14.25">
      <c r="A52" s="232" t="s">
        <v>449</v>
      </c>
      <c r="B52" s="232" t="s">
        <v>447</v>
      </c>
      <c r="C52" s="418">
        <v>0</v>
      </c>
      <c r="D52" s="418">
        <v>0</v>
      </c>
      <c r="F52" s="12"/>
      <c r="G52" s="12"/>
      <c r="H52" s="12"/>
      <c r="I52" s="12"/>
      <c r="J52" s="684"/>
      <c r="K52" s="684"/>
      <c r="L52" s="684"/>
    </row>
    <row r="53" spans="1:12" ht="14.25">
      <c r="A53" s="232" t="s">
        <v>450</v>
      </c>
      <c r="B53" s="232"/>
      <c r="C53" s="418">
        <v>-54358074.8</v>
      </c>
      <c r="D53" s="418">
        <v>-27501706.836</v>
      </c>
      <c r="F53" s="684"/>
      <c r="G53" s="684"/>
      <c r="H53" s="684"/>
      <c r="I53" s="684"/>
      <c r="J53" s="684"/>
      <c r="K53" s="684"/>
      <c r="L53" s="684"/>
    </row>
    <row r="54" spans="1:12" ht="14.25">
      <c r="A54" s="6" t="s">
        <v>3</v>
      </c>
      <c r="B54" s="6"/>
      <c r="C54" s="419">
        <f>+SUM($C$33:C53)</f>
        <v>54358074.8</v>
      </c>
      <c r="D54" s="419">
        <f>+SUM($D$33:D53)</f>
        <v>78585234.105</v>
      </c>
      <c r="F54" s="684"/>
      <c r="G54" s="685"/>
      <c r="H54" s="685"/>
      <c r="I54" s="685"/>
      <c r="J54" s="685"/>
      <c r="K54" s="685"/>
      <c r="L54" s="12"/>
    </row>
    <row r="55" spans="2:12" ht="14.25">
      <c r="B55" s="231"/>
      <c r="C55" s="599"/>
      <c r="D55" s="231"/>
      <c r="F55" s="684"/>
      <c r="G55" s="684"/>
      <c r="H55" s="685"/>
      <c r="I55" s="685"/>
      <c r="J55" s="685"/>
      <c r="K55" s="685"/>
      <c r="L55" s="12"/>
    </row>
    <row r="56" spans="1:12" ht="14.25">
      <c r="A56" s="231"/>
      <c r="B56" s="231"/>
      <c r="C56" s="584"/>
      <c r="D56" s="584"/>
      <c r="F56" s="710"/>
      <c r="G56" s="685"/>
      <c r="H56" s="685"/>
      <c r="I56" s="685"/>
      <c r="J56" s="685"/>
      <c r="K56" s="685"/>
      <c r="L56" s="12"/>
    </row>
    <row r="57" spans="1:12" ht="14.25">
      <c r="A57" s="231"/>
      <c r="B57" s="231"/>
      <c r="C57" s="584"/>
      <c r="D57" s="584"/>
      <c r="E57" s="231"/>
      <c r="F57" s="684"/>
      <c r="G57" s="685"/>
      <c r="H57" s="685"/>
      <c r="I57" s="685"/>
      <c r="J57" s="685"/>
      <c r="K57" s="684"/>
      <c r="L57" s="12"/>
    </row>
    <row r="58" spans="3:12" ht="14.25">
      <c r="C58" s="421"/>
      <c r="D58" s="421"/>
      <c r="E58" s="231"/>
      <c r="F58" s="558"/>
      <c r="G58" s="685"/>
      <c r="H58" s="685"/>
      <c r="I58" s="685"/>
      <c r="J58" s="685"/>
      <c r="K58" s="685"/>
      <c r="L58" s="12"/>
    </row>
    <row r="59" spans="3:12" ht="14.25">
      <c r="C59" s="421"/>
      <c r="D59" s="421"/>
      <c r="E59" s="231"/>
      <c r="F59" s="558"/>
      <c r="G59" s="685"/>
      <c r="H59" s="685"/>
      <c r="I59" s="685"/>
      <c r="J59" s="685"/>
      <c r="K59" s="685"/>
      <c r="L59" s="12"/>
    </row>
    <row r="60" spans="3:12" ht="14.25">
      <c r="C60" s="421"/>
      <c r="D60" s="585"/>
      <c r="E60" s="231"/>
      <c r="F60" s="558"/>
      <c r="G60" s="685"/>
      <c r="H60" s="685"/>
      <c r="I60" s="685"/>
      <c r="J60" s="685"/>
      <c r="K60" s="685"/>
      <c r="L60" s="12"/>
    </row>
    <row r="61" spans="3:12" ht="14.25">
      <c r="C61" s="585"/>
      <c r="D61" s="585"/>
      <c r="F61" s="558"/>
      <c r="G61" s="685"/>
      <c r="H61" s="685"/>
      <c r="I61" s="685"/>
      <c r="J61" s="685"/>
      <c r="K61" s="685"/>
      <c r="L61" s="12"/>
    </row>
    <row r="62" spans="3:12" ht="14.25">
      <c r="C62" s="585"/>
      <c r="D62" s="585"/>
      <c r="F62" s="558"/>
      <c r="G62" s="685"/>
      <c r="H62" s="685"/>
      <c r="I62" s="685"/>
      <c r="J62" s="685"/>
      <c r="K62" s="685"/>
      <c r="L62" s="12"/>
    </row>
    <row r="63" spans="6:12" ht="14.25">
      <c r="F63" s="558"/>
      <c r="G63" s="685"/>
      <c r="H63" s="685"/>
      <c r="I63" s="685"/>
      <c r="J63" s="685"/>
      <c r="K63" s="685"/>
      <c r="L63" s="12"/>
    </row>
    <row r="64" spans="6:12" ht="14.25">
      <c r="F64" s="558"/>
      <c r="G64" s="685"/>
      <c r="H64" s="685"/>
      <c r="I64" s="685"/>
      <c r="J64" s="685"/>
      <c r="K64" s="685"/>
      <c r="L64" s="12"/>
    </row>
    <row r="65" spans="6:12" ht="14.25">
      <c r="F65" s="684"/>
      <c r="G65" s="685"/>
      <c r="H65" s="684"/>
      <c r="I65" s="684"/>
      <c r="J65" s="684"/>
      <c r="K65" s="684"/>
      <c r="L65" s="12"/>
    </row>
    <row r="66" spans="6:12" ht="14.25">
      <c r="F66" s="721"/>
      <c r="G66" s="742"/>
      <c r="H66" s="461"/>
      <c r="I66" s="461"/>
      <c r="J66" s="461"/>
      <c r="K66" s="461"/>
      <c r="L66" s="12"/>
    </row>
    <row r="67" spans="6:12" ht="14.25">
      <c r="F67" s="737"/>
      <c r="G67" s="461"/>
      <c r="H67" s="461"/>
      <c r="I67" s="461"/>
      <c r="J67" s="461"/>
      <c r="K67" s="461"/>
      <c r="L67" s="12"/>
    </row>
    <row r="68" spans="6:12" ht="14.25">
      <c r="F68" s="721"/>
      <c r="G68" s="743"/>
      <c r="H68" s="461"/>
      <c r="I68" s="461"/>
      <c r="J68" s="461"/>
      <c r="K68" s="461"/>
      <c r="L68" s="12"/>
    </row>
    <row r="69" spans="6:12" ht="14.25">
      <c r="F69" s="737"/>
      <c r="G69" s="461"/>
      <c r="H69" s="743"/>
      <c r="I69" s="461"/>
      <c r="J69" s="461"/>
      <c r="K69" s="461"/>
      <c r="L69" s="12"/>
    </row>
    <row r="70" spans="6:12" ht="14.25">
      <c r="F70" s="737"/>
      <c r="G70" s="461"/>
      <c r="H70" s="461"/>
      <c r="I70" s="461"/>
      <c r="J70" s="461"/>
      <c r="K70" s="461"/>
      <c r="L70" s="12"/>
    </row>
    <row r="71" spans="6:12" ht="14.25">
      <c r="F71" s="721"/>
      <c r="G71" s="742"/>
      <c r="H71" s="461"/>
      <c r="I71" s="461"/>
      <c r="J71" s="461"/>
      <c r="K71" s="461"/>
      <c r="L71" s="12"/>
    </row>
    <row r="72" spans="6:12" ht="14.25">
      <c r="F72" s="721"/>
      <c r="G72" s="742"/>
      <c r="H72" s="461"/>
      <c r="I72" s="461"/>
      <c r="J72" s="461"/>
      <c r="K72" s="461"/>
      <c r="L72" s="12"/>
    </row>
    <row r="73" spans="6:12" ht="14.25">
      <c r="F73" s="721"/>
      <c r="G73" s="742"/>
      <c r="H73" s="461"/>
      <c r="I73" s="461"/>
      <c r="J73" s="461"/>
      <c r="K73" s="461"/>
      <c r="L73" s="12"/>
    </row>
    <row r="74" spans="6:12" ht="14.25">
      <c r="F74" s="721"/>
      <c r="G74" s="461"/>
      <c r="H74" s="461"/>
      <c r="I74" s="461"/>
      <c r="J74" s="461"/>
      <c r="K74" s="461"/>
      <c r="L74" s="12"/>
    </row>
    <row r="75" spans="6:12" ht="14.25">
      <c r="F75" s="737"/>
      <c r="G75" s="737"/>
      <c r="H75" s="737"/>
      <c r="I75" s="737"/>
      <c r="J75" s="461"/>
      <c r="K75" s="461"/>
      <c r="L75" s="12"/>
    </row>
    <row r="76" spans="6:12" ht="14.25">
      <c r="F76" s="744"/>
      <c r="G76" s="744"/>
      <c r="H76" s="744"/>
      <c r="I76" s="744"/>
      <c r="J76" s="461"/>
      <c r="K76" s="461"/>
      <c r="L76" s="12"/>
    </row>
    <row r="77" spans="6:12" ht="14.25">
      <c r="F77" s="744"/>
      <c r="G77" s="744"/>
      <c r="H77" s="744"/>
      <c r="I77" s="745"/>
      <c r="J77" s="461"/>
      <c r="K77" s="461"/>
      <c r="L77" s="12"/>
    </row>
    <row r="78" spans="6:12" ht="14.25">
      <c r="F78" s="744"/>
      <c r="G78" s="744"/>
      <c r="H78" s="744"/>
      <c r="I78" s="745"/>
      <c r="J78" s="461"/>
      <c r="K78" s="461"/>
      <c r="L78" s="12"/>
    </row>
    <row r="79" spans="6:12" ht="14.25">
      <c r="F79" s="744"/>
      <c r="G79" s="744"/>
      <c r="H79" s="744"/>
      <c r="I79" s="745"/>
      <c r="J79" s="461"/>
      <c r="K79" s="461"/>
      <c r="L79" s="12"/>
    </row>
    <row r="80" spans="6:12" ht="14.25">
      <c r="F80" s="744"/>
      <c r="G80" s="744"/>
      <c r="H80" s="744"/>
      <c r="I80" s="745"/>
      <c r="J80" s="461"/>
      <c r="K80" s="461"/>
      <c r="L80" s="12"/>
    </row>
    <row r="81" spans="6:12" ht="14.25">
      <c r="F81" s="744"/>
      <c r="G81" s="744"/>
      <c r="H81" s="744"/>
      <c r="I81" s="745"/>
      <c r="J81" s="461"/>
      <c r="K81" s="461"/>
      <c r="L81" s="12"/>
    </row>
    <row r="82" spans="6:12" ht="14.25">
      <c r="F82" s="737"/>
      <c r="G82" s="461"/>
      <c r="H82" s="461"/>
      <c r="I82" s="461"/>
      <c r="J82" s="461"/>
      <c r="K82" s="461"/>
      <c r="L82" s="12"/>
    </row>
    <row r="83" spans="6:12" ht="12.75">
      <c r="F83" s="46"/>
      <c r="G83" s="46"/>
      <c r="H83" s="46"/>
      <c r="I83" s="46"/>
      <c r="J83" s="46"/>
      <c r="K83" s="46"/>
      <c r="L83" s="12"/>
    </row>
    <row r="84" spans="6:11" ht="12.75">
      <c r="F84" s="29"/>
      <c r="G84" s="29"/>
      <c r="H84" s="29"/>
      <c r="I84" s="29"/>
      <c r="J84" s="29"/>
      <c r="K84" s="29"/>
    </row>
    <row r="85" spans="6:11" ht="12.75">
      <c r="F85" s="29"/>
      <c r="G85" s="29"/>
      <c r="H85" s="29"/>
      <c r="I85" s="29"/>
      <c r="J85" s="29"/>
      <c r="K85" s="29"/>
    </row>
    <row r="86" spans="6:11" ht="12.75">
      <c r="F86" s="29"/>
      <c r="G86" s="29"/>
      <c r="H86" s="29"/>
      <c r="I86" s="29"/>
      <c r="J86" s="29"/>
      <c r="K86" s="29"/>
    </row>
    <row r="87" spans="6:11" ht="12.75">
      <c r="F87" s="29"/>
      <c r="G87" s="29"/>
      <c r="H87" s="29"/>
      <c r="I87" s="29"/>
      <c r="J87" s="29"/>
      <c r="K87" s="29"/>
    </row>
  </sheetData>
  <sheetProtection/>
  <mergeCells count="2">
    <mergeCell ref="C7:D7"/>
    <mergeCell ref="C31:D31"/>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G80"/>
  <sheetViews>
    <sheetView showGridLines="0" zoomScalePageLayoutView="0" workbookViewId="0" topLeftCell="A49">
      <selection activeCell="B65" sqref="B65"/>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4.25">
      <c r="A1" s="3" t="str">
        <f>Indice!C1</f>
        <v>NEGOFIN S.A.E.C.A.</v>
      </c>
      <c r="D1" s="132" t="s">
        <v>131</v>
      </c>
    </row>
    <row r="2" ht="12.75">
      <c r="A2" s="3"/>
    </row>
    <row r="3" ht="12.75">
      <c r="A3" s="3"/>
    </row>
    <row r="4" spans="1:3" ht="12.75">
      <c r="A4" s="293" t="s">
        <v>291</v>
      </c>
      <c r="B4" s="293"/>
      <c r="C4" s="293"/>
    </row>
    <row r="5" spans="1:2" ht="13.5">
      <c r="A5" s="239" t="s">
        <v>309</v>
      </c>
      <c r="B5" s="239"/>
    </row>
    <row r="6" ht="12.75">
      <c r="A6" s="2" t="s">
        <v>15</v>
      </c>
    </row>
    <row r="8" spans="1:7" ht="12.75">
      <c r="A8" s="9" t="s">
        <v>64</v>
      </c>
      <c r="B8" s="7"/>
      <c r="C8" s="7"/>
      <c r="E8" s="9" t="s">
        <v>63</v>
      </c>
      <c r="F8" s="13"/>
      <c r="G8" s="7"/>
    </row>
    <row r="9" spans="1:7" ht="13.5">
      <c r="A9" s="7"/>
      <c r="E9" s="7"/>
      <c r="F9" s="278"/>
      <c r="G9" s="278"/>
    </row>
    <row r="10" spans="1:7" ht="12.75">
      <c r="A10" s="10" t="s">
        <v>5</v>
      </c>
      <c r="B10" s="355">
        <f>_xlfn.IFERROR(IF(Indice!B6="","2XX2",YEAR(Indice!B6)),"2XX2")</f>
        <v>2022</v>
      </c>
      <c r="C10" s="355">
        <f>_xlfn.IFERROR(YEAR(Indice!B6-365),"2XX1")</f>
        <v>2021</v>
      </c>
      <c r="E10" s="10" t="s">
        <v>5</v>
      </c>
      <c r="F10" s="355">
        <f>_xlfn.IFERROR(IF(Indice!B6="","2XX2",YEAR(Indice!B6)),"2XX2")</f>
        <v>2022</v>
      </c>
      <c r="G10" s="355">
        <f>_xlfn.IFERROR(YEAR(Indice!B6-365),"2XX1")</f>
        <v>2021</v>
      </c>
    </row>
    <row r="11" spans="1:7" ht="12.75">
      <c r="A11" s="7" t="s">
        <v>302</v>
      </c>
      <c r="B11" s="712">
        <v>8419.225</v>
      </c>
      <c r="C11" s="676">
        <v>34450</v>
      </c>
      <c r="E11" s="7" t="s">
        <v>16</v>
      </c>
      <c r="F11" s="422">
        <v>18604.719</v>
      </c>
      <c r="G11" s="422">
        <v>18604.7</v>
      </c>
    </row>
    <row r="12" spans="1:7" ht="12.75">
      <c r="A12" s="7" t="s">
        <v>100</v>
      </c>
      <c r="B12" s="712">
        <v>283962.491</v>
      </c>
      <c r="C12" s="676">
        <v>129067.949</v>
      </c>
      <c r="E12" s="7" t="s">
        <v>301</v>
      </c>
      <c r="F12" s="422">
        <v>9981549.05</v>
      </c>
      <c r="G12" s="422">
        <v>7525589.854</v>
      </c>
    </row>
    <row r="13" spans="1:7" ht="12.75">
      <c r="A13" s="7" t="s">
        <v>17</v>
      </c>
      <c r="B13" s="712">
        <v>0</v>
      </c>
      <c r="C13" s="676">
        <v>8236498.84</v>
      </c>
      <c r="E13" s="7" t="s">
        <v>947</v>
      </c>
      <c r="F13" s="424">
        <v>22230.547</v>
      </c>
      <c r="G13" s="424">
        <v>22230.547</v>
      </c>
    </row>
    <row r="14" spans="1:7" ht="12.75">
      <c r="A14" s="7" t="s">
        <v>59</v>
      </c>
      <c r="B14" s="712">
        <v>10409.659</v>
      </c>
      <c r="C14" s="676">
        <v>5881.695</v>
      </c>
      <c r="E14" s="7" t="s">
        <v>948</v>
      </c>
      <c r="F14" s="424">
        <v>2068.1</v>
      </c>
      <c r="G14" s="424">
        <v>2068.1</v>
      </c>
    </row>
    <row r="15" spans="1:7" ht="12.75">
      <c r="A15" s="7" t="s">
        <v>913</v>
      </c>
      <c r="B15" s="712">
        <v>51300.501</v>
      </c>
      <c r="C15" s="712">
        <v>3933.952</v>
      </c>
      <c r="E15" s="7" t="s">
        <v>1349</v>
      </c>
      <c r="F15" s="424">
        <v>245.455</v>
      </c>
      <c r="G15" s="424">
        <v>0</v>
      </c>
    </row>
    <row r="16" spans="1:7" ht="13.5" thickBot="1">
      <c r="A16" s="7" t="s">
        <v>1164</v>
      </c>
      <c r="B16" s="712">
        <v>0</v>
      </c>
      <c r="C16" s="712">
        <v>0</v>
      </c>
      <c r="E16" s="9" t="s">
        <v>3</v>
      </c>
      <c r="F16" s="423">
        <f>SUM(F11:F15)</f>
        <v>10024697.871000001</v>
      </c>
      <c r="G16" s="423">
        <f>SUM(G11:G15)</f>
        <v>7568493.201</v>
      </c>
    </row>
    <row r="17" spans="1:3" ht="13.5" thickTop="1">
      <c r="A17" s="7" t="s">
        <v>1347</v>
      </c>
      <c r="B17" s="712">
        <v>62161.753</v>
      </c>
      <c r="C17" s="676">
        <v>0</v>
      </c>
    </row>
    <row r="18" spans="1:7" ht="12.75">
      <c r="A18" s="7" t="s">
        <v>914</v>
      </c>
      <c r="B18" s="712">
        <v>0</v>
      </c>
      <c r="C18" s="676">
        <v>0</v>
      </c>
      <c r="E18" s="9"/>
      <c r="F18" s="107"/>
      <c r="G18" s="107"/>
    </row>
    <row r="19" spans="1:7" ht="12.75">
      <c r="A19" s="7" t="s">
        <v>915</v>
      </c>
      <c r="B19" s="746">
        <v>0</v>
      </c>
      <c r="C19" s="676">
        <v>0</v>
      </c>
      <c r="E19" s="9"/>
      <c r="F19" s="107"/>
      <c r="G19" s="107"/>
    </row>
    <row r="20" spans="1:7" ht="12.75">
      <c r="A20" s="7" t="s">
        <v>916</v>
      </c>
      <c r="B20" s="712">
        <v>2258790.847</v>
      </c>
      <c r="C20" s="676">
        <v>1308173.64</v>
      </c>
      <c r="E20" s="9"/>
      <c r="F20" s="107"/>
      <c r="G20" s="107"/>
    </row>
    <row r="21" spans="1:7" ht="12.75">
      <c r="A21" s="7" t="s">
        <v>1178</v>
      </c>
      <c r="B21" s="712">
        <v>3938099.76</v>
      </c>
      <c r="C21" s="676">
        <v>241975.414</v>
      </c>
      <c r="E21" s="9"/>
      <c r="F21" s="107"/>
      <c r="G21" s="107"/>
    </row>
    <row r="22" spans="1:7" ht="12.75">
      <c r="A22" s="7" t="s">
        <v>1212</v>
      </c>
      <c r="B22" s="712">
        <v>49194.826</v>
      </c>
      <c r="C22" s="676">
        <v>0</v>
      </c>
      <c r="E22" s="9"/>
      <c r="F22" s="107"/>
      <c r="G22" s="107"/>
    </row>
    <row r="23" spans="1:7" ht="12.75">
      <c r="A23" s="7" t="s">
        <v>1220</v>
      </c>
      <c r="B23" s="712">
        <v>0</v>
      </c>
      <c r="C23" s="676">
        <v>0</v>
      </c>
      <c r="E23" s="9"/>
      <c r="F23" s="107"/>
      <c r="G23" s="107"/>
    </row>
    <row r="24" spans="1:7" ht="12.75">
      <c r="A24" s="7" t="s">
        <v>917</v>
      </c>
      <c r="B24" s="712">
        <v>0</v>
      </c>
      <c r="C24" s="676">
        <v>0</v>
      </c>
      <c r="E24" s="9"/>
      <c r="F24" s="107"/>
      <c r="G24" s="107"/>
    </row>
    <row r="25" spans="1:7" ht="12.75">
      <c r="A25" s="7" t="s">
        <v>918</v>
      </c>
      <c r="B25" s="712">
        <v>0</v>
      </c>
      <c r="C25" s="676">
        <v>0</v>
      </c>
      <c r="E25" s="9"/>
      <c r="F25" s="107"/>
      <c r="G25" s="107"/>
    </row>
    <row r="26" spans="1:7" ht="12.75">
      <c r="A26" s="7" t="s">
        <v>919</v>
      </c>
      <c r="B26" s="712">
        <v>0</v>
      </c>
      <c r="C26" s="676">
        <v>0</v>
      </c>
      <c r="E26" s="9"/>
      <c r="F26" s="107"/>
      <c r="G26" s="107"/>
    </row>
    <row r="27" spans="1:7" ht="12.75">
      <c r="A27" s="7" t="s">
        <v>920</v>
      </c>
      <c r="B27" s="712">
        <v>568.944</v>
      </c>
      <c r="C27" s="676">
        <v>473.051</v>
      </c>
      <c r="E27" s="9"/>
      <c r="F27" s="107"/>
      <c r="G27" s="107"/>
    </row>
    <row r="28" spans="1:7" ht="12.75">
      <c r="A28" s="7" t="s">
        <v>921</v>
      </c>
      <c r="B28" s="712">
        <v>25568.794</v>
      </c>
      <c r="C28" s="676">
        <v>992.34</v>
      </c>
      <c r="E28" s="9"/>
      <c r="F28" s="107"/>
      <c r="G28" s="107"/>
    </row>
    <row r="29" spans="1:7" ht="12.75">
      <c r="A29" s="7" t="s">
        <v>922</v>
      </c>
      <c r="B29" s="712">
        <v>15396.306</v>
      </c>
      <c r="C29" s="676">
        <v>2205.35</v>
      </c>
      <c r="E29" s="9"/>
      <c r="F29" s="107"/>
      <c r="G29" s="107"/>
    </row>
    <row r="30" spans="1:7" ht="12.75">
      <c r="A30" s="7" t="s">
        <v>923</v>
      </c>
      <c r="B30" s="738">
        <v>48757.41</v>
      </c>
      <c r="C30" s="676">
        <v>1764.418</v>
      </c>
      <c r="E30" s="9"/>
      <c r="F30" s="107"/>
      <c r="G30" s="107"/>
    </row>
    <row r="31" spans="1:7" ht="12.75">
      <c r="A31" s="7" t="s">
        <v>924</v>
      </c>
      <c r="B31" s="712">
        <v>16718.644</v>
      </c>
      <c r="C31" s="676">
        <v>1084.621</v>
      </c>
      <c r="E31" s="9"/>
      <c r="F31" s="107"/>
      <c r="G31" s="107"/>
    </row>
    <row r="32" spans="1:7" ht="12.75">
      <c r="A32" s="7" t="s">
        <v>925</v>
      </c>
      <c r="B32" s="712">
        <v>3930.546</v>
      </c>
      <c r="C32" s="676">
        <v>635.126</v>
      </c>
      <c r="E32" s="9"/>
      <c r="F32" s="107"/>
      <c r="G32" s="107"/>
    </row>
    <row r="33" spans="1:7" ht="12.75">
      <c r="A33" s="1" t="s">
        <v>926</v>
      </c>
      <c r="B33" s="712">
        <v>6485.4</v>
      </c>
      <c r="C33" s="676">
        <v>0</v>
      </c>
      <c r="E33" s="9"/>
      <c r="F33" s="107"/>
      <c r="G33" s="107"/>
    </row>
    <row r="34" spans="1:7" ht="12.75">
      <c r="A34" s="1" t="s">
        <v>927</v>
      </c>
      <c r="B34" s="712">
        <v>8970.899</v>
      </c>
      <c r="C34" s="676">
        <v>0</v>
      </c>
      <c r="E34" s="588"/>
      <c r="F34" s="107"/>
      <c r="G34" s="107"/>
    </row>
    <row r="35" spans="1:7" ht="12.75">
      <c r="A35" s="1" t="s">
        <v>928</v>
      </c>
      <c r="B35" s="712">
        <v>0</v>
      </c>
      <c r="C35" s="676">
        <v>0</v>
      </c>
      <c r="E35" s="9"/>
      <c r="F35" s="107"/>
      <c r="G35" s="107"/>
    </row>
    <row r="36" spans="1:7" ht="12.75">
      <c r="A36" s="1" t="s">
        <v>1219</v>
      </c>
      <c r="B36" s="712">
        <v>0</v>
      </c>
      <c r="C36" s="676">
        <v>0</v>
      </c>
      <c r="E36" s="588"/>
      <c r="F36" s="107"/>
      <c r="G36" s="107"/>
    </row>
    <row r="37" spans="1:7" ht="12.75">
      <c r="A37" s="1" t="s">
        <v>1362</v>
      </c>
      <c r="B37" s="738">
        <v>2633.606</v>
      </c>
      <c r="C37" s="738">
        <v>0</v>
      </c>
      <c r="E37" s="588"/>
      <c r="F37" s="107"/>
      <c r="G37" s="107"/>
    </row>
    <row r="38" spans="1:7" ht="12.75">
      <c r="A38" s="1" t="s">
        <v>929</v>
      </c>
      <c r="B38" s="712">
        <v>976.885</v>
      </c>
      <c r="C38" s="676">
        <v>997.622</v>
      </c>
      <c r="E38" s="9"/>
      <c r="F38" s="107"/>
      <c r="G38" s="107"/>
    </row>
    <row r="39" spans="1:7" ht="12.75">
      <c r="A39" s="1" t="s">
        <v>1363</v>
      </c>
      <c r="B39" s="741">
        <v>1356.417</v>
      </c>
      <c r="C39" s="741">
        <v>0</v>
      </c>
      <c r="E39" s="9"/>
      <c r="F39" s="107"/>
      <c r="G39" s="107"/>
    </row>
    <row r="40" spans="1:7" ht="12" customHeight="1">
      <c r="A40" s="1" t="s">
        <v>937</v>
      </c>
      <c r="B40" s="712">
        <v>35702.182</v>
      </c>
      <c r="C40" s="676">
        <v>22547.37</v>
      </c>
      <c r="E40" s="9"/>
      <c r="F40" s="107"/>
      <c r="G40" s="107"/>
    </row>
    <row r="41" spans="1:7" ht="12.75">
      <c r="A41" s="1" t="s">
        <v>930</v>
      </c>
      <c r="B41" s="712">
        <v>0</v>
      </c>
      <c r="C41" s="676">
        <v>0</v>
      </c>
      <c r="E41" s="622"/>
      <c r="F41" s="107"/>
      <c r="G41" s="107"/>
    </row>
    <row r="42" spans="1:7" ht="12.75">
      <c r="A42" s="1" t="s">
        <v>931</v>
      </c>
      <c r="B42" s="712">
        <v>0</v>
      </c>
      <c r="C42" s="676">
        <v>0</v>
      </c>
      <c r="E42" s="9"/>
      <c r="F42" s="107"/>
      <c r="G42" s="107"/>
    </row>
    <row r="43" spans="1:7" ht="12.75">
      <c r="A43" s="1" t="s">
        <v>932</v>
      </c>
      <c r="B43" s="712">
        <v>0</v>
      </c>
      <c r="C43" s="676">
        <v>0</v>
      </c>
      <c r="E43" s="9"/>
      <c r="F43" s="107"/>
      <c r="G43" s="107"/>
    </row>
    <row r="44" spans="1:7" ht="12.75">
      <c r="A44" s="1" t="s">
        <v>933</v>
      </c>
      <c r="B44" s="712">
        <v>0</v>
      </c>
      <c r="C44" s="676">
        <v>0</v>
      </c>
      <c r="E44" s="9"/>
      <c r="F44" s="107"/>
      <c r="G44" s="107"/>
    </row>
    <row r="45" spans="1:7" ht="12.75">
      <c r="A45" s="1" t="s">
        <v>934</v>
      </c>
      <c r="B45" s="712">
        <v>0</v>
      </c>
      <c r="C45" s="676">
        <v>0</v>
      </c>
      <c r="E45" s="9"/>
      <c r="F45" s="107"/>
      <c r="G45" s="107"/>
    </row>
    <row r="46" spans="1:7" ht="12.75">
      <c r="A46" s="1" t="s">
        <v>935</v>
      </c>
      <c r="B46" s="712">
        <v>0</v>
      </c>
      <c r="C46" s="676">
        <v>0</v>
      </c>
      <c r="E46" s="9"/>
      <c r="F46" s="107"/>
      <c r="G46" s="107"/>
    </row>
    <row r="47" spans="1:7" ht="12.75">
      <c r="A47" s="1" t="s">
        <v>936</v>
      </c>
      <c r="B47" s="712">
        <v>4685.652</v>
      </c>
      <c r="C47" s="676">
        <v>5013.565</v>
      </c>
      <c r="E47" s="9"/>
      <c r="F47" s="107"/>
      <c r="G47" s="107"/>
    </row>
    <row r="48" spans="1:7" ht="12.75">
      <c r="A48" s="1" t="s">
        <v>1165</v>
      </c>
      <c r="B48" s="712">
        <v>0</v>
      </c>
      <c r="C48" s="676">
        <v>0</v>
      </c>
      <c r="E48" s="9"/>
      <c r="F48" s="107"/>
      <c r="G48" s="107"/>
    </row>
    <row r="49" spans="1:7" ht="12.75">
      <c r="A49" s="1" t="s">
        <v>938</v>
      </c>
      <c r="B49" s="712">
        <v>0</v>
      </c>
      <c r="C49" s="676">
        <v>0</v>
      </c>
      <c r="E49" s="9"/>
      <c r="F49" s="107"/>
      <c r="G49" s="107"/>
    </row>
    <row r="50" spans="1:7" ht="12.75">
      <c r="A50" s="1" t="s">
        <v>939</v>
      </c>
      <c r="B50" s="712">
        <v>0</v>
      </c>
      <c r="C50" s="676">
        <v>0</v>
      </c>
      <c r="E50" s="9"/>
      <c r="F50" s="107"/>
      <c r="G50" s="107"/>
    </row>
    <row r="51" spans="1:7" ht="12.75">
      <c r="A51" s="1" t="s">
        <v>940</v>
      </c>
      <c r="B51" s="712">
        <v>1522.057</v>
      </c>
      <c r="C51" s="676">
        <v>2943.359</v>
      </c>
      <c r="E51" s="588"/>
      <c r="F51" s="107"/>
      <c r="G51" s="107"/>
    </row>
    <row r="52" spans="1:7" ht="12.75">
      <c r="A52" s="1" t="s">
        <v>941</v>
      </c>
      <c r="B52" s="712">
        <v>0</v>
      </c>
      <c r="C52" s="676">
        <v>4988.531</v>
      </c>
      <c r="E52" s="622"/>
      <c r="F52" s="107"/>
      <c r="G52" s="107"/>
    </row>
    <row r="53" spans="1:7" ht="12.75">
      <c r="A53" s="1" t="s">
        <v>942</v>
      </c>
      <c r="B53" s="712">
        <v>1000</v>
      </c>
      <c r="C53" s="676">
        <v>810</v>
      </c>
      <c r="E53" s="9"/>
      <c r="G53" s="107"/>
    </row>
    <row r="54" spans="1:7" ht="12.75">
      <c r="A54" s="7" t="s">
        <v>943</v>
      </c>
      <c r="B54" s="712">
        <v>4110.999</v>
      </c>
      <c r="C54" s="676">
        <v>440076.252</v>
      </c>
      <c r="E54" s="9"/>
      <c r="F54" s="107"/>
      <c r="G54" s="107"/>
    </row>
    <row r="55" spans="1:7" ht="12.75">
      <c r="A55" s="7" t="s">
        <v>945</v>
      </c>
      <c r="B55" s="712">
        <v>0</v>
      </c>
      <c r="C55" s="676">
        <v>0</v>
      </c>
      <c r="E55" s="9"/>
      <c r="F55" s="107"/>
      <c r="G55" s="107"/>
    </row>
    <row r="56" spans="1:7" ht="12.75">
      <c r="A56" s="7" t="s">
        <v>1128</v>
      </c>
      <c r="B56" s="712">
        <v>0</v>
      </c>
      <c r="C56" s="676">
        <v>0</v>
      </c>
      <c r="E56" s="9"/>
      <c r="F56" s="107"/>
      <c r="G56" s="107"/>
    </row>
    <row r="57" spans="1:7" ht="12.75">
      <c r="A57" s="7" t="s">
        <v>944</v>
      </c>
      <c r="B57" s="712">
        <v>0</v>
      </c>
      <c r="C57" s="676">
        <v>0</v>
      </c>
      <c r="E57" s="9"/>
      <c r="F57" s="107"/>
      <c r="G57" s="107"/>
    </row>
    <row r="58" spans="1:7" ht="12.75">
      <c r="A58" s="7" t="s">
        <v>946</v>
      </c>
      <c r="B58" s="712">
        <v>44167.433</v>
      </c>
      <c r="C58" s="676">
        <v>43193.282</v>
      </c>
      <c r="E58" s="9"/>
      <c r="F58" s="107"/>
      <c r="G58" s="107"/>
    </row>
    <row r="59" spans="1:7" ht="12.75">
      <c r="A59" s="7" t="s">
        <v>949</v>
      </c>
      <c r="B59" s="712">
        <v>416598.934</v>
      </c>
      <c r="C59" s="676">
        <v>759319.58</v>
      </c>
      <c r="E59" s="9"/>
      <c r="F59" s="107"/>
      <c r="G59" s="107"/>
    </row>
    <row r="60" spans="1:7" ht="12.75">
      <c r="A60" s="7" t="s">
        <v>950</v>
      </c>
      <c r="B60" s="712">
        <v>9229.387</v>
      </c>
      <c r="C60" s="676">
        <v>24873.657</v>
      </c>
      <c r="E60" s="9"/>
      <c r="F60" s="107"/>
      <c r="G60" s="107"/>
    </row>
    <row r="61" spans="1:7" ht="12.75">
      <c r="A61" s="7" t="s">
        <v>951</v>
      </c>
      <c r="B61" s="681">
        <v>147839.828</v>
      </c>
      <c r="C61" s="681">
        <v>14022.826</v>
      </c>
      <c r="E61" s="9"/>
      <c r="F61" s="107"/>
      <c r="G61" s="107"/>
    </row>
    <row r="62" spans="1:7" ht="12.75">
      <c r="A62" s="7" t="s">
        <v>1348</v>
      </c>
      <c r="B62" s="681">
        <v>3447978.367</v>
      </c>
      <c r="C62" s="681">
        <v>0</v>
      </c>
      <c r="E62" s="9"/>
      <c r="F62" s="107"/>
      <c r="G62" s="107"/>
    </row>
    <row r="63" spans="1:7" ht="13.5" thickBot="1">
      <c r="A63" s="9" t="s">
        <v>3</v>
      </c>
      <c r="B63" s="592">
        <f>SUM($B$11:B62)</f>
        <v>10906537.752</v>
      </c>
      <c r="C63" s="423">
        <f>SUM($C$11:C62)</f>
        <v>11285922.439999996</v>
      </c>
      <c r="F63" s="26"/>
      <c r="G63" s="26"/>
    </row>
    <row r="64" spans="2:7" ht="13.5" thickTop="1">
      <c r="B64" s="426"/>
      <c r="C64" s="426"/>
      <c r="F64" s="26"/>
      <c r="G64" s="26"/>
    </row>
    <row r="65" spans="2:3" ht="12.75">
      <c r="B65" s="587"/>
      <c r="C65" s="587"/>
    </row>
    <row r="66" spans="2:3" ht="12.75">
      <c r="B66" s="587"/>
      <c r="C66" s="587"/>
    </row>
    <row r="67" spans="2:3" ht="12.75">
      <c r="B67" s="587"/>
      <c r="C67" s="587"/>
    </row>
    <row r="68" spans="2:3" ht="12.75">
      <c r="B68" s="587"/>
      <c r="C68" s="587"/>
    </row>
    <row r="69" spans="2:3" ht="12.75">
      <c r="B69" s="587"/>
      <c r="C69" s="587"/>
    </row>
    <row r="70" spans="2:3" ht="12.75">
      <c r="B70" s="587"/>
      <c r="C70" s="587"/>
    </row>
    <row r="71" spans="2:3" ht="12.75">
      <c r="B71" s="587"/>
      <c r="C71" s="587"/>
    </row>
    <row r="72" spans="2:3" ht="12.75">
      <c r="B72" s="587"/>
      <c r="C72" s="587"/>
    </row>
    <row r="73" spans="2:3" ht="12.75">
      <c r="B73" s="587"/>
      <c r="C73" s="587"/>
    </row>
    <row r="74" spans="1:3" ht="14.25">
      <c r="A74"/>
      <c r="B74"/>
      <c r="C74"/>
    </row>
    <row r="75" ht="14.25"/>
    <row r="76" ht="14.25"/>
    <row r="77" ht="14.25"/>
    <row r="78" ht="14.25"/>
    <row r="79" ht="14.25"/>
    <row r="80" spans="5:7" ht="14.25">
      <c r="E80"/>
      <c r="F80"/>
      <c r="G80"/>
    </row>
  </sheetData>
  <sheetProtection/>
  <hyperlinks>
    <hyperlink ref="D1" location="BG!A1" display="BG"/>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8" r:id="rId2"/>
  <drawing r:id="rId1"/>
</worksheet>
</file>

<file path=xl/worksheets/sheet1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11.421875" defaultRowHeight="15"/>
  <cols>
    <col min="1" max="1" width="50.140625" style="0" customWidth="1"/>
    <col min="2" max="2" width="19.00390625" style="0" customWidth="1"/>
    <col min="3" max="3" width="16.57421875" style="0" customWidth="1"/>
  </cols>
  <sheetData>
    <row r="1" spans="1:4" ht="14.25">
      <c r="A1" t="str">
        <f>Indice!C1</f>
        <v>NEGOFIN S.A.E.C.A.</v>
      </c>
      <c r="D1" s="132" t="s">
        <v>131</v>
      </c>
    </row>
    <row r="4" spans="1:3" ht="14.25">
      <c r="A4" s="967" t="s">
        <v>303</v>
      </c>
      <c r="B4" s="967"/>
      <c r="C4" s="967"/>
    </row>
    <row r="6" spans="1:7" ht="14.25">
      <c r="A6" s="966" t="s">
        <v>19</v>
      </c>
      <c r="B6" s="966"/>
      <c r="C6" s="966"/>
      <c r="D6" s="966"/>
      <c r="E6" s="966"/>
      <c r="F6" s="966"/>
      <c r="G6" s="966"/>
    </row>
    <row r="7" spans="2:3" ht="15" customHeight="1">
      <c r="B7" s="963" t="s">
        <v>309</v>
      </c>
      <c r="C7" s="963"/>
    </row>
    <row r="8" spans="1:3" ht="14.25">
      <c r="A8" s="10" t="s">
        <v>5</v>
      </c>
      <c r="B8" s="355">
        <f>_xlfn.IFERROR(IF(Indice!B6="","2XX2",YEAR(Indice!B6)),"2XX2")</f>
        <v>2022</v>
      </c>
      <c r="C8" s="355">
        <f>_xlfn.IFERROR(YEAR(Indice!B6-365),"2XX1")</f>
        <v>2021</v>
      </c>
    </row>
    <row r="9" spans="1:3" ht="14.25">
      <c r="A9" s="14" t="s">
        <v>96</v>
      </c>
      <c r="B9" s="602">
        <v>0</v>
      </c>
      <c r="C9" s="603">
        <v>0</v>
      </c>
    </row>
    <row r="10" spans="1:3" ht="14.25">
      <c r="A10" s="14" t="s">
        <v>97</v>
      </c>
      <c r="B10" s="602">
        <v>0</v>
      </c>
      <c r="C10" s="603">
        <v>0</v>
      </c>
    </row>
    <row r="11" spans="1:3" ht="14.25">
      <c r="A11" s="14" t="s">
        <v>98</v>
      </c>
      <c r="B11" s="602">
        <v>0</v>
      </c>
      <c r="C11" s="603">
        <v>0</v>
      </c>
    </row>
    <row r="12" spans="1:3" ht="14.25">
      <c r="A12" s="14" t="s">
        <v>99</v>
      </c>
      <c r="B12" s="602">
        <v>0</v>
      </c>
      <c r="C12" s="603">
        <v>0</v>
      </c>
    </row>
    <row r="13" spans="1:3" ht="14.25">
      <c r="A13" s="14" t="s">
        <v>65</v>
      </c>
      <c r="B13" s="602">
        <v>0</v>
      </c>
      <c r="C13" s="603">
        <v>0</v>
      </c>
    </row>
    <row r="14" spans="1:3" ht="15" customHeight="1">
      <c r="A14" s="234" t="s">
        <v>304</v>
      </c>
      <c r="B14" s="602">
        <v>0</v>
      </c>
      <c r="C14" s="603">
        <v>0</v>
      </c>
    </row>
    <row r="15" spans="1:4" ht="15" thickBot="1">
      <c r="A15" s="9" t="s">
        <v>18</v>
      </c>
      <c r="B15" s="604">
        <f>SUM(B9:B12)</f>
        <v>0</v>
      </c>
      <c r="C15" s="604">
        <f>SUM(C9:C12)</f>
        <v>0</v>
      </c>
      <c r="D15" s="602"/>
    </row>
    <row r="16" ht="1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orientation="portrait" paperSize="5" scale="80" r:id="rId2"/>
  <drawing r:id="rId1"/>
</worksheet>
</file>

<file path=xl/worksheets/sheet13.xml><?xml version="1.0" encoding="utf-8"?>
<worksheet xmlns="http://schemas.openxmlformats.org/spreadsheetml/2006/main" xmlns:r="http://schemas.openxmlformats.org/officeDocument/2006/relationships">
  <dimension ref="A1:AD18"/>
  <sheetViews>
    <sheetView zoomScalePageLayoutView="0" workbookViewId="0" topLeftCell="A4">
      <selection activeCell="C27" sqref="C27"/>
    </sheetView>
  </sheetViews>
  <sheetFormatPr defaultColWidth="11.421875" defaultRowHeight="15"/>
  <cols>
    <col min="1" max="1" width="41.8515625" style="114" customWidth="1"/>
    <col min="2" max="2" width="22.8515625" style="114" customWidth="1"/>
    <col min="3" max="3" width="29.28125" style="114" bestFit="1" customWidth="1"/>
    <col min="4" max="4" width="25.8515625" style="114" customWidth="1"/>
    <col min="5" max="5" width="26.140625" style="114" customWidth="1"/>
    <col min="6" max="6" width="3.421875" style="114" customWidth="1"/>
    <col min="7" max="7" width="29.28125" style="114" bestFit="1" customWidth="1"/>
    <col min="8" max="8" width="33.00390625" style="114" bestFit="1" customWidth="1"/>
    <col min="9" max="9" width="33.00390625" style="114" customWidth="1"/>
    <col min="10" max="10" width="39.28125" style="114" bestFit="1" customWidth="1"/>
    <col min="11" max="11" width="37.421875" style="114" bestFit="1" customWidth="1"/>
    <col min="12" max="12" width="35.7109375" style="114" bestFit="1" customWidth="1"/>
    <col min="13" max="30" width="11.421875" style="114" customWidth="1"/>
  </cols>
  <sheetData>
    <row r="1" spans="1:4" ht="14.25">
      <c r="A1" s="114" t="str">
        <f>Indice!C1</f>
        <v>NEGOFIN S.A.E.C.A.</v>
      </c>
      <c r="B1" s="133"/>
      <c r="D1" s="133" t="s">
        <v>131</v>
      </c>
    </row>
    <row r="4" spans="1:6" ht="14.25">
      <c r="A4" s="967" t="s">
        <v>306</v>
      </c>
      <c r="B4" s="967"/>
      <c r="C4" s="967"/>
      <c r="D4" s="967"/>
      <c r="E4" s="967"/>
      <c r="F4" s="967"/>
    </row>
    <row r="5" spans="1:6" s="20" customFormat="1" ht="14.25">
      <c r="A5" s="361" t="s">
        <v>241</v>
      </c>
      <c r="B5" s="362"/>
      <c r="C5" s="134"/>
      <c r="D5" s="134"/>
      <c r="E5" s="134"/>
      <c r="F5" s="134"/>
    </row>
    <row r="6" ht="14.25">
      <c r="A6" s="114" t="s">
        <v>307</v>
      </c>
    </row>
    <row r="7" spans="1:30" s="230" customFormat="1" ht="14.25">
      <c r="A7" s="114" t="s">
        <v>466</v>
      </c>
      <c r="B7" s="359">
        <f>_xlfn.IFERROR(IF(Indice!B6="","2XX2",YEAR(Indice!B6)),"2XX2")</f>
        <v>2022</v>
      </c>
      <c r="C7" s="358">
        <f>_xlfn.IFERROR(YEAR(Indice!B6-365),"2XX1")</f>
        <v>2021</v>
      </c>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row>
    <row r="8" spans="1:30" s="277" customFormat="1" ht="14.25">
      <c r="A8" s="114" t="s">
        <v>469</v>
      </c>
      <c r="B8" s="420">
        <v>4009803.163</v>
      </c>
      <c r="C8" s="420">
        <v>750125</v>
      </c>
      <c r="D8" s="290" t="s">
        <v>473</v>
      </c>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row>
    <row r="9" spans="1:30" s="277" customFormat="1" ht="14.25">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row>
    <row r="10" spans="1:30" s="230" customFormat="1" ht="14.25">
      <c r="A10" s="114" t="s">
        <v>310</v>
      </c>
      <c r="B10" s="114"/>
      <c r="C10" s="114"/>
      <c r="F10" s="114"/>
      <c r="G10" s="114" t="s">
        <v>467</v>
      </c>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row>
    <row r="11" spans="4:5" ht="14.25">
      <c r="D11" s="363">
        <f>_xlfn.IFERROR(IF(Indice!B6="","2XX2",YEAR(Indice!B6)),"2XX2")</f>
        <v>2022</v>
      </c>
      <c r="E11" s="360"/>
    </row>
    <row r="12" spans="1:12" ht="15" customHeight="1">
      <c r="A12" s="289" t="s">
        <v>451</v>
      </c>
      <c r="B12" s="279" t="s">
        <v>452</v>
      </c>
      <c r="C12" s="279" t="s">
        <v>468</v>
      </c>
      <c r="D12" s="867" t="s">
        <v>465</v>
      </c>
      <c r="E12" s="867" t="s">
        <v>308</v>
      </c>
      <c r="F12" s="751"/>
      <c r="G12" s="279" t="s">
        <v>468</v>
      </c>
      <c r="H12" s="288" t="s">
        <v>470</v>
      </c>
      <c r="I12" s="288" t="s">
        <v>472</v>
      </c>
      <c r="J12" s="605" t="s">
        <v>1132</v>
      </c>
      <c r="K12" s="288" t="s">
        <v>311</v>
      </c>
      <c r="L12" s="288" t="s">
        <v>471</v>
      </c>
    </row>
    <row r="13" spans="1:12" ht="15">
      <c r="A13" s="427" t="s">
        <v>1123</v>
      </c>
      <c r="B13" s="579" t="s">
        <v>1124</v>
      </c>
      <c r="C13" s="579">
        <v>997</v>
      </c>
      <c r="D13" s="579">
        <v>1861953.813</v>
      </c>
      <c r="E13" s="579">
        <v>516245.44</v>
      </c>
      <c r="F13" s="579"/>
      <c r="G13" s="579">
        <v>997</v>
      </c>
      <c r="H13" s="733">
        <v>0.99</v>
      </c>
      <c r="I13" s="579">
        <v>997000</v>
      </c>
      <c r="J13" s="580">
        <f>I13/100000</f>
        <v>9.97</v>
      </c>
      <c r="K13" s="579">
        <f>J13*D13</f>
        <v>18563679.515610002</v>
      </c>
      <c r="L13" s="606">
        <f>J13*E13</f>
        <v>5146967.036800001</v>
      </c>
    </row>
    <row r="14" spans="1:12" ht="15">
      <c r="A14" s="637" t="s">
        <v>952</v>
      </c>
      <c r="B14" s="606" t="s">
        <v>1126</v>
      </c>
      <c r="C14" s="870">
        <v>28</v>
      </c>
      <c r="D14" s="870">
        <v>5289631</v>
      </c>
      <c r="E14" s="870">
        <v>269322.8</v>
      </c>
      <c r="F14" s="870"/>
      <c r="G14" s="870">
        <v>28</v>
      </c>
      <c r="H14" s="871">
        <v>0.14</v>
      </c>
      <c r="I14" s="606">
        <v>471125</v>
      </c>
      <c r="J14" s="638">
        <v>0.28</v>
      </c>
      <c r="K14" s="606">
        <f>J14*D14</f>
        <v>1481096.6800000002</v>
      </c>
      <c r="L14" s="606">
        <f>J14*E14</f>
        <v>75410.384</v>
      </c>
    </row>
    <row r="15" spans="1:12" ht="15">
      <c r="A15" s="427" t="s">
        <v>1125</v>
      </c>
      <c r="B15" s="880" t="s">
        <v>1411</v>
      </c>
      <c r="C15" s="870">
        <v>582</v>
      </c>
      <c r="D15" s="870">
        <v>10013360.532</v>
      </c>
      <c r="E15" s="870">
        <v>658399.387</v>
      </c>
      <c r="F15" s="870"/>
      <c r="G15" s="870">
        <v>582</v>
      </c>
      <c r="H15" s="871">
        <v>0.0446078431372549</v>
      </c>
      <c r="I15" s="579">
        <v>182000</v>
      </c>
      <c r="J15" s="580">
        <f>I15/D15</f>
        <v>0.018175716276107017</v>
      </c>
      <c r="K15" s="579">
        <f>J15*D15</f>
        <v>182000</v>
      </c>
      <c r="L15" s="606">
        <f>J15*E15</f>
        <v>11966.880454474782</v>
      </c>
    </row>
    <row r="16" spans="1:12" ht="14.25">
      <c r="A16" s="185" t="s">
        <v>1405</v>
      </c>
      <c r="B16" s="881" t="s">
        <v>1410</v>
      </c>
      <c r="C16" s="866">
        <v>200</v>
      </c>
      <c r="D16" s="579">
        <v>1291568.629</v>
      </c>
      <c r="E16" s="579">
        <v>-633639.375</v>
      </c>
      <c r="G16" s="866">
        <v>200</v>
      </c>
      <c r="H16" s="733">
        <v>0.67</v>
      </c>
      <c r="I16" s="579">
        <v>2000000</v>
      </c>
      <c r="J16" s="580">
        <f>I16/D16</f>
        <v>1.548504628475302</v>
      </c>
      <c r="K16" s="579"/>
      <c r="L16" s="606">
        <f>J16*E16</f>
        <v>-981193.5049716975</v>
      </c>
    </row>
    <row r="17" spans="1:12" ht="14.25">
      <c r="A17" s="185"/>
      <c r="B17" s="185"/>
      <c r="C17" s="185"/>
      <c r="D17" s="185"/>
      <c r="E17" s="185"/>
      <c r="G17" s="185"/>
      <c r="H17" s="185"/>
      <c r="I17" s="185"/>
      <c r="J17" s="235"/>
      <c r="K17" s="291"/>
      <c r="L17" s="291"/>
    </row>
    <row r="18" spans="1:12" ht="14.25">
      <c r="A18" s="185"/>
      <c r="B18" s="185"/>
      <c r="C18" s="185"/>
      <c r="D18" s="185"/>
      <c r="E18" s="185"/>
      <c r="G18" s="185"/>
      <c r="H18" s="185"/>
      <c r="I18" s="185"/>
      <c r="J18" s="235"/>
      <c r="K18" s="291"/>
      <c r="L18" s="291"/>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CX32"/>
  <sheetViews>
    <sheetView workbookViewId="0" topLeftCell="A7">
      <selection activeCell="L25" sqref="L25"/>
    </sheetView>
  </sheetViews>
  <sheetFormatPr defaultColWidth="11.421875" defaultRowHeight="15"/>
  <cols>
    <col min="1" max="1" width="27.00390625" style="114" customWidth="1"/>
    <col min="2" max="2" width="16.421875" style="114" customWidth="1"/>
    <col min="3" max="3" width="13.57421875" style="713" customWidth="1"/>
    <col min="4" max="5" width="11.421875" style="114" customWidth="1"/>
    <col min="6" max="6" width="13.8515625" style="114" customWidth="1"/>
    <col min="7" max="7" width="15.7109375" style="114" customWidth="1"/>
    <col min="8" max="8" width="16.00390625" style="114" customWidth="1"/>
    <col min="9" max="9" width="17.00390625" style="114" customWidth="1"/>
    <col min="10" max="10" width="14.28125" style="114" customWidth="1"/>
    <col min="11" max="11" width="16.8515625" style="114" customWidth="1"/>
    <col min="12" max="30" width="11.421875" style="114" customWidth="1"/>
  </cols>
  <sheetData>
    <row r="1" spans="1:12" ht="14.25">
      <c r="A1" s="114" t="str">
        <f>Indice!C1</f>
        <v>NEGOFIN S.A.E.C.A.</v>
      </c>
      <c r="L1" s="133" t="s">
        <v>131</v>
      </c>
    </row>
    <row r="5" ht="14.25">
      <c r="A5" s="117" t="s">
        <v>314</v>
      </c>
    </row>
    <row r="6" ht="14.25">
      <c r="A6" s="114" t="s">
        <v>315</v>
      </c>
    </row>
    <row r="7" ht="14.25">
      <c r="A7" s="114" t="s">
        <v>317</v>
      </c>
    </row>
    <row r="8" ht="14.25">
      <c r="A8" s="114" t="s">
        <v>318</v>
      </c>
    </row>
    <row r="9" ht="14.25">
      <c r="A9" s="114" t="s">
        <v>319</v>
      </c>
    </row>
    <row r="10" ht="14.25">
      <c r="A10" s="114" t="s">
        <v>316</v>
      </c>
    </row>
    <row r="12" spans="1:62" ht="24.75" customHeight="1">
      <c r="A12" s="968" t="s">
        <v>312</v>
      </c>
      <c r="B12" s="969"/>
      <c r="C12" s="969"/>
      <c r="D12" s="969"/>
      <c r="E12" s="969"/>
      <c r="F12" s="969"/>
      <c r="G12" s="969"/>
      <c r="H12" s="969"/>
      <c r="I12" s="969"/>
      <c r="J12" s="969"/>
      <c r="K12" s="969"/>
      <c r="L12" s="969"/>
      <c r="M12" s="970"/>
      <c r="N12" s="149"/>
      <c r="O12" s="149"/>
      <c r="P12" s="149"/>
      <c r="Q12" s="149"/>
      <c r="R12" s="149"/>
      <c r="S12" s="149"/>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row>
    <row r="13" spans="1:62" ht="14.25">
      <c r="A13" s="365" t="s">
        <v>241</v>
      </c>
      <c r="B13" s="149"/>
      <c r="C13" s="724"/>
      <c r="D13" s="149"/>
      <c r="E13" s="149"/>
      <c r="F13" s="149"/>
      <c r="G13" s="149"/>
      <c r="H13" s="149"/>
      <c r="I13" s="149"/>
      <c r="J13" s="150">
        <v>-1</v>
      </c>
      <c r="K13" s="149"/>
      <c r="L13" s="149"/>
      <c r="M13" s="149"/>
      <c r="N13" s="149"/>
      <c r="O13" s="149"/>
      <c r="P13" s="149"/>
      <c r="Q13" s="149"/>
      <c r="R13" s="149"/>
      <c r="S13" s="149"/>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row>
    <row r="14" spans="2:19" s="20" customFormat="1" ht="14.25">
      <c r="B14" s="364"/>
      <c r="C14" s="725"/>
      <c r="D14" s="364"/>
      <c r="E14" s="364"/>
      <c r="F14" s="364"/>
      <c r="G14" s="364"/>
      <c r="H14" s="364"/>
      <c r="I14" s="364"/>
      <c r="J14" s="364"/>
      <c r="K14" s="364"/>
      <c r="L14" s="364"/>
      <c r="M14" s="364"/>
      <c r="N14" s="148"/>
      <c r="O14" s="148"/>
      <c r="P14" s="148"/>
      <c r="Q14" s="148"/>
      <c r="R14" s="148"/>
      <c r="S14" s="148"/>
    </row>
    <row r="15" spans="1:102" s="147" customFormat="1" ht="55.5" customHeight="1">
      <c r="A15" s="368"/>
      <c r="B15" s="366" t="s">
        <v>226</v>
      </c>
      <c r="C15" s="366" t="s">
        <v>227</v>
      </c>
      <c r="D15" s="366" t="s">
        <v>60</v>
      </c>
      <c r="E15" s="366" t="s">
        <v>228</v>
      </c>
      <c r="F15" s="366" t="s">
        <v>229</v>
      </c>
      <c r="G15" s="366" t="s">
        <v>230</v>
      </c>
      <c r="H15" s="366" t="s">
        <v>231</v>
      </c>
      <c r="I15" s="366" t="s">
        <v>232</v>
      </c>
      <c r="J15" s="366" t="s">
        <v>233</v>
      </c>
      <c r="K15" s="366" t="s">
        <v>234</v>
      </c>
      <c r="L15" s="367" t="s">
        <v>474</v>
      </c>
      <c r="M15" s="371"/>
      <c r="N15" s="148"/>
      <c r="O15" s="148"/>
      <c r="P15" s="148"/>
      <c r="Q15" s="148"/>
      <c r="R15" s="148"/>
      <c r="S15" s="148"/>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row>
    <row r="16" spans="1:102" s="147" customFormat="1" ht="14.25">
      <c r="A16" s="369"/>
      <c r="B16" s="370"/>
      <c r="C16" s="726"/>
      <c r="D16" s="370"/>
      <c r="E16" s="370"/>
      <c r="F16" s="370"/>
      <c r="G16" s="370"/>
      <c r="H16" s="370"/>
      <c r="I16" s="370"/>
      <c r="J16" s="370"/>
      <c r="K16" s="370"/>
      <c r="L16" s="372">
        <f>_xlfn.IFERROR(IF(Indice!B6="","2XX2",YEAR(Indice!B6)),"2XX2")</f>
        <v>2022</v>
      </c>
      <c r="M16" s="373">
        <f>_xlfn.IFERROR(YEAR(Indice!B6-365),"2XX1")</f>
        <v>2021</v>
      </c>
      <c r="N16" s="148"/>
      <c r="O16" s="148"/>
      <c r="P16" s="148"/>
      <c r="Q16" s="148"/>
      <c r="R16" s="148"/>
      <c r="S16" s="148"/>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row>
    <row r="17" spans="1:62" ht="14.25">
      <c r="A17" s="151" t="s">
        <v>235</v>
      </c>
      <c r="B17" s="447">
        <v>510322</v>
      </c>
      <c r="C17" s="619">
        <v>169384.657</v>
      </c>
      <c r="D17" s="618">
        <v>0</v>
      </c>
      <c r="E17" s="619">
        <v>0</v>
      </c>
      <c r="F17" s="646">
        <f>+B17+C17-D17+E17</f>
        <v>679706.657</v>
      </c>
      <c r="G17" s="671">
        <v>373569.131</v>
      </c>
      <c r="H17" s="449">
        <v>19215.004</v>
      </c>
      <c r="I17" s="672">
        <v>0</v>
      </c>
      <c r="J17" s="449">
        <v>0</v>
      </c>
      <c r="K17" s="449">
        <f>+G17+H17</f>
        <v>392784.135</v>
      </c>
      <c r="L17" s="621">
        <f aca="true" t="shared" si="0" ref="L17:L24">+F17-K17</f>
        <v>286922.522</v>
      </c>
      <c r="M17" s="152">
        <v>136753.21600000001</v>
      </c>
      <c r="N17" s="153"/>
      <c r="O17" s="149"/>
      <c r="P17" s="149"/>
      <c r="Q17" s="149"/>
      <c r="R17" s="149"/>
      <c r="S17" s="149"/>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row>
    <row r="18" spans="1:62" ht="14.25">
      <c r="A18" s="151" t="s">
        <v>236</v>
      </c>
      <c r="B18" s="617">
        <v>116961</v>
      </c>
      <c r="C18" s="449">
        <v>0</v>
      </c>
      <c r="D18" s="450">
        <v>0</v>
      </c>
      <c r="E18" s="449">
        <v>0</v>
      </c>
      <c r="F18" s="647">
        <f aca="true" t="shared" si="1" ref="F18:F23">+B18+C18-D18+E18</f>
        <v>116961</v>
      </c>
      <c r="G18" s="670">
        <v>0</v>
      </c>
      <c r="H18" s="619">
        <v>18713.832</v>
      </c>
      <c r="I18" s="672">
        <v>0</v>
      </c>
      <c r="J18" s="449">
        <v>0</v>
      </c>
      <c r="K18" s="449">
        <f>+G18+H18-I18</f>
        <v>18713.832</v>
      </c>
      <c r="L18" s="621">
        <f t="shared" si="0"/>
        <v>98247.168</v>
      </c>
      <c r="M18" s="152">
        <v>116961.448</v>
      </c>
      <c r="N18" s="149"/>
      <c r="O18" s="149"/>
      <c r="P18" s="149"/>
      <c r="Q18" s="149"/>
      <c r="R18" s="149"/>
      <c r="S18" s="149"/>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row>
    <row r="19" spans="1:62" ht="14.25">
      <c r="A19" s="151" t="s">
        <v>237</v>
      </c>
      <c r="B19" s="447">
        <v>3002954</v>
      </c>
      <c r="C19" s="449">
        <v>196028.781</v>
      </c>
      <c r="D19" s="450">
        <v>87445.681</v>
      </c>
      <c r="E19" s="449">
        <v>0</v>
      </c>
      <c r="F19" s="647">
        <f>+B19+C19-D19+E19</f>
        <v>3111537.1</v>
      </c>
      <c r="G19" s="671">
        <v>1945909.253</v>
      </c>
      <c r="H19" s="449">
        <v>524269.543</v>
      </c>
      <c r="I19" s="672">
        <v>42539.151</v>
      </c>
      <c r="J19" s="449">
        <v>0</v>
      </c>
      <c r="K19" s="449">
        <f>+G19+H19-I19</f>
        <v>2427639.645</v>
      </c>
      <c r="L19" s="621">
        <f>+F19-K19</f>
        <v>683897.4550000001</v>
      </c>
      <c r="M19" s="152">
        <v>1057044.664</v>
      </c>
      <c r="N19" s="149"/>
      <c r="O19" s="149"/>
      <c r="P19" s="149"/>
      <c r="Q19" s="149"/>
      <c r="R19" s="149"/>
      <c r="S19" s="149"/>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row>
    <row r="20" spans="1:62" ht="14.25">
      <c r="A20" s="151" t="s">
        <v>238</v>
      </c>
      <c r="B20" s="447">
        <v>1692421</v>
      </c>
      <c r="C20" s="449">
        <v>99666.576</v>
      </c>
      <c r="D20" s="450">
        <v>3297.544</v>
      </c>
      <c r="E20" s="449">
        <v>0</v>
      </c>
      <c r="F20" s="647">
        <f>+B20+C20-D20+E20</f>
        <v>1788790.032</v>
      </c>
      <c r="G20" s="671">
        <v>785998.264</v>
      </c>
      <c r="H20" s="619">
        <v>181044.396</v>
      </c>
      <c r="I20" s="672">
        <v>0</v>
      </c>
      <c r="J20" s="449">
        <v>0</v>
      </c>
      <c r="K20" s="449">
        <f>+G20+H20-I20</f>
        <v>967042.6599999999</v>
      </c>
      <c r="L20" s="621">
        <f t="shared" si="0"/>
        <v>821747.372</v>
      </c>
      <c r="M20" s="152">
        <v>906422.41</v>
      </c>
      <c r="N20" s="149"/>
      <c r="O20" s="149"/>
      <c r="P20" s="149"/>
      <c r="Q20" s="149"/>
      <c r="R20" s="149"/>
      <c r="S20" s="149"/>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row>
    <row r="21" spans="1:62" ht="14.25">
      <c r="A21" s="151" t="s">
        <v>239</v>
      </c>
      <c r="B21" s="447">
        <v>0</v>
      </c>
      <c r="C21" s="619"/>
      <c r="D21" s="450">
        <v>0</v>
      </c>
      <c r="E21" s="449">
        <v>0</v>
      </c>
      <c r="F21" s="448">
        <f t="shared" si="1"/>
        <v>0</v>
      </c>
      <c r="G21" s="671">
        <v>0</v>
      </c>
      <c r="H21" s="449">
        <v>0</v>
      </c>
      <c r="I21" s="672">
        <v>0</v>
      </c>
      <c r="J21" s="449">
        <v>0</v>
      </c>
      <c r="K21" s="449">
        <f>+G21+H21</f>
        <v>0</v>
      </c>
      <c r="L21" s="621">
        <f t="shared" si="0"/>
        <v>0</v>
      </c>
      <c r="M21" s="152">
        <v>0</v>
      </c>
      <c r="N21" s="149"/>
      <c r="O21" s="149"/>
      <c r="P21" s="149"/>
      <c r="Q21" s="149"/>
      <c r="R21" s="149"/>
      <c r="S21" s="149"/>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row>
    <row r="22" spans="1:62" ht="14.25">
      <c r="A22" s="151" t="s">
        <v>983</v>
      </c>
      <c r="B22" s="447">
        <v>345619</v>
      </c>
      <c r="C22" s="449">
        <v>23345.726</v>
      </c>
      <c r="D22" s="450">
        <v>0</v>
      </c>
      <c r="E22" s="449">
        <v>0</v>
      </c>
      <c r="F22" s="647">
        <f t="shared" si="1"/>
        <v>368964.726</v>
      </c>
      <c r="G22" s="671">
        <v>231057.767</v>
      </c>
      <c r="H22" s="449">
        <v>19279.742</v>
      </c>
      <c r="I22" s="672">
        <v>0</v>
      </c>
      <c r="J22" s="449">
        <v>0</v>
      </c>
      <c r="K22" s="449">
        <f>+G22+H22</f>
        <v>250337.509</v>
      </c>
      <c r="L22" s="621">
        <f t="shared" si="0"/>
        <v>118627.21700000003</v>
      </c>
      <c r="M22" s="152">
        <v>114561.52400000003</v>
      </c>
      <c r="N22" s="149"/>
      <c r="O22" s="149"/>
      <c r="P22" s="149"/>
      <c r="Q22" s="149"/>
      <c r="R22" s="149"/>
      <c r="S22" s="149"/>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row>
    <row r="23" spans="1:62" ht="14.25">
      <c r="A23" s="151" t="s">
        <v>240</v>
      </c>
      <c r="B23" s="447">
        <v>0</v>
      </c>
      <c r="C23" s="449"/>
      <c r="D23" s="450">
        <v>0</v>
      </c>
      <c r="E23" s="449">
        <v>0</v>
      </c>
      <c r="F23" s="647">
        <f t="shared" si="1"/>
        <v>0</v>
      </c>
      <c r="G23" s="671">
        <v>0</v>
      </c>
      <c r="H23" s="449">
        <v>0</v>
      </c>
      <c r="I23" s="672">
        <v>0</v>
      </c>
      <c r="J23" s="449">
        <v>0</v>
      </c>
      <c r="K23" s="449">
        <f>+G23+H23</f>
        <v>0</v>
      </c>
      <c r="L23" s="621">
        <f t="shared" si="0"/>
        <v>0</v>
      </c>
      <c r="M23" s="152">
        <v>0</v>
      </c>
      <c r="N23" s="149"/>
      <c r="O23" s="149"/>
      <c r="P23" s="149"/>
      <c r="Q23" s="149"/>
      <c r="R23" s="149"/>
      <c r="S23" s="149"/>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row>
    <row r="24" spans="1:62" ht="14.25">
      <c r="A24" s="151" t="s">
        <v>982</v>
      </c>
      <c r="B24" s="617">
        <v>5855896</v>
      </c>
      <c r="C24" s="619">
        <v>13862.136</v>
      </c>
      <c r="D24" s="620">
        <v>0</v>
      </c>
      <c r="E24" s="619">
        <v>0</v>
      </c>
      <c r="F24" s="647">
        <f>+B24+C24-D24+E24</f>
        <v>5869758.136</v>
      </c>
      <c r="G24" s="670">
        <v>5787671.545</v>
      </c>
      <c r="H24" s="619">
        <v>26585.84</v>
      </c>
      <c r="I24" s="672">
        <v>0</v>
      </c>
      <c r="J24" s="449">
        <v>0</v>
      </c>
      <c r="K24" s="449">
        <f>+G24+H24</f>
        <v>5814257.385</v>
      </c>
      <c r="L24" s="621">
        <f t="shared" si="0"/>
        <v>55500.751000000164</v>
      </c>
      <c r="M24" s="152">
        <v>68224.94700000063</v>
      </c>
      <c r="N24" s="149"/>
      <c r="O24" s="149"/>
      <c r="P24" s="149"/>
      <c r="Q24" s="149"/>
      <c r="R24" s="149"/>
      <c r="S24" s="149"/>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row>
    <row r="25" spans="1:62" ht="14.25">
      <c r="A25" s="102" t="s">
        <v>313</v>
      </c>
      <c r="B25" s="643">
        <f>SUM(B17:B24)</f>
        <v>11524173</v>
      </c>
      <c r="C25" s="643"/>
      <c r="D25" s="103"/>
      <c r="E25" s="104"/>
      <c r="F25" s="616">
        <f aca="true" t="shared" si="2" ref="F25:M25">SUM(F17:F24)</f>
        <v>11935717.651</v>
      </c>
      <c r="G25" s="673">
        <f t="shared" si="2"/>
        <v>9124205.96</v>
      </c>
      <c r="H25" s="677">
        <f t="shared" si="2"/>
        <v>789108.3569999998</v>
      </c>
      <c r="I25" s="678">
        <f t="shared" si="2"/>
        <v>42539.151</v>
      </c>
      <c r="J25" s="679">
        <f t="shared" si="2"/>
        <v>0</v>
      </c>
      <c r="K25" s="679">
        <f>SUM(K17:K24)</f>
        <v>9870775.166</v>
      </c>
      <c r="L25" s="103">
        <f t="shared" si="2"/>
        <v>2064942.485</v>
      </c>
      <c r="M25" s="103">
        <f t="shared" si="2"/>
        <v>2399968.209000001</v>
      </c>
      <c r="N25" s="149"/>
      <c r="O25" s="149"/>
      <c r="P25" s="149"/>
      <c r="Q25" s="149"/>
      <c r="R25" s="149"/>
      <c r="S25" s="149"/>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row>
    <row r="26" ht="14.25">
      <c r="H26" s="431"/>
    </row>
    <row r="27" spans="4:12" ht="14.25">
      <c r="D27" s="431"/>
      <c r="F27" s="431"/>
      <c r="K27" s="431"/>
      <c r="L27" s="431"/>
    </row>
    <row r="28" spans="6:12" ht="14.25">
      <c r="F28" s="431"/>
      <c r="H28" s="431"/>
      <c r="K28" s="431"/>
      <c r="L28" s="431"/>
    </row>
    <row r="29" ht="14.25">
      <c r="F29" s="431"/>
    </row>
    <row r="30" ht="14.25">
      <c r="F30" s="431"/>
    </row>
    <row r="31" ht="14.25">
      <c r="F31" s="431"/>
    </row>
    <row r="32" spans="6:9" ht="14.25">
      <c r="F32" s="431"/>
      <c r="I32" s="431"/>
    </row>
  </sheetData>
  <sheetProtection/>
  <mergeCells count="1">
    <mergeCell ref="A12:M12"/>
  </mergeCells>
  <hyperlinks>
    <hyperlink ref="L1" location="BG!A1" display="BG"/>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V19"/>
  <sheetViews>
    <sheetView showGridLines="0" zoomScalePageLayoutView="0" workbookViewId="0" topLeftCell="A1">
      <selection activeCell="C18" sqref="C18"/>
    </sheetView>
  </sheetViews>
  <sheetFormatPr defaultColWidth="11.421875" defaultRowHeight="15"/>
  <cols>
    <col min="1" max="1" width="34.140625" style="0" customWidth="1"/>
    <col min="2" max="3" width="22.7109375" style="0" customWidth="1"/>
  </cols>
  <sheetData>
    <row r="1" spans="1:3" ht="14.25">
      <c r="A1" t="str">
        <f>Indice!C1</f>
        <v>NEGOFIN S.A.E.C.A.</v>
      </c>
      <c r="C1" s="132" t="s">
        <v>131</v>
      </c>
    </row>
    <row r="4" spans="1:256" ht="14.25">
      <c r="A4" s="293" t="s">
        <v>320</v>
      </c>
      <c r="B4" s="293"/>
      <c r="C4" s="293"/>
      <c r="D4" s="293"/>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c r="BG4" s="971"/>
      <c r="BH4" s="971"/>
      <c r="BI4" s="971"/>
      <c r="BJ4" s="971"/>
      <c r="BK4" s="971"/>
      <c r="BL4" s="971"/>
      <c r="BM4" s="971"/>
      <c r="BN4" s="971"/>
      <c r="BO4" s="971"/>
      <c r="BP4" s="971"/>
      <c r="BQ4" s="971"/>
      <c r="BR4" s="971"/>
      <c r="BS4" s="971"/>
      <c r="BT4" s="971"/>
      <c r="BU4" s="971"/>
      <c r="BV4" s="971"/>
      <c r="BW4" s="971"/>
      <c r="BX4" s="971"/>
      <c r="BY4" s="971"/>
      <c r="BZ4" s="971"/>
      <c r="CA4" s="971"/>
      <c r="CB4" s="971"/>
      <c r="CC4" s="971"/>
      <c r="CD4" s="971"/>
      <c r="CE4" s="971"/>
      <c r="CF4" s="971"/>
      <c r="CG4" s="971"/>
      <c r="CH4" s="971"/>
      <c r="CI4" s="971"/>
      <c r="CJ4" s="971"/>
      <c r="CK4" s="971"/>
      <c r="CL4" s="971"/>
      <c r="CM4" s="971"/>
      <c r="CN4" s="971"/>
      <c r="CO4" s="971"/>
      <c r="CP4" s="971"/>
      <c r="CQ4" s="971"/>
      <c r="CR4" s="971"/>
      <c r="CS4" s="971"/>
      <c r="CT4" s="971"/>
      <c r="CU4" s="971"/>
      <c r="CV4" s="971"/>
      <c r="CW4" s="971"/>
      <c r="CX4" s="971"/>
      <c r="CY4" s="971"/>
      <c r="CZ4" s="971"/>
      <c r="DA4" s="971"/>
      <c r="DB4" s="971"/>
      <c r="DC4" s="971"/>
      <c r="DD4" s="971"/>
      <c r="DE4" s="971"/>
      <c r="DF4" s="971"/>
      <c r="DG4" s="971"/>
      <c r="DH4" s="971"/>
      <c r="DI4" s="971"/>
      <c r="DJ4" s="971"/>
      <c r="DK4" s="971"/>
      <c r="DL4" s="971"/>
      <c r="DM4" s="971"/>
      <c r="DN4" s="971"/>
      <c r="DO4" s="971"/>
      <c r="DP4" s="971"/>
      <c r="DQ4" s="971"/>
      <c r="DR4" s="971"/>
      <c r="DS4" s="971"/>
      <c r="DT4" s="971"/>
      <c r="DU4" s="971"/>
      <c r="DV4" s="971"/>
      <c r="DW4" s="971"/>
      <c r="DX4" s="971"/>
      <c r="DY4" s="971"/>
      <c r="DZ4" s="971"/>
      <c r="EA4" s="971"/>
      <c r="EB4" s="971"/>
      <c r="EC4" s="971"/>
      <c r="ED4" s="971"/>
      <c r="EE4" s="971"/>
      <c r="EF4" s="971"/>
      <c r="EG4" s="971"/>
      <c r="EH4" s="971"/>
      <c r="EI4" s="971"/>
      <c r="EJ4" s="971"/>
      <c r="EK4" s="971"/>
      <c r="EL4" s="971"/>
      <c r="EM4" s="971"/>
      <c r="EN4" s="971"/>
      <c r="EO4" s="971"/>
      <c r="EP4" s="971"/>
      <c r="EQ4" s="971"/>
      <c r="ER4" s="971"/>
      <c r="ES4" s="971"/>
      <c r="ET4" s="971"/>
      <c r="EU4" s="971"/>
      <c r="EV4" s="971"/>
      <c r="EW4" s="971"/>
      <c r="EX4" s="971"/>
      <c r="EY4" s="971"/>
      <c r="EZ4" s="971"/>
      <c r="FA4" s="971"/>
      <c r="FB4" s="971"/>
      <c r="FC4" s="971"/>
      <c r="FD4" s="971"/>
      <c r="FE4" s="971"/>
      <c r="FF4" s="971"/>
      <c r="FG4" s="971"/>
      <c r="FH4" s="971"/>
      <c r="FI4" s="971"/>
      <c r="FJ4" s="971"/>
      <c r="FK4" s="971"/>
      <c r="FL4" s="971"/>
      <c r="FM4" s="971"/>
      <c r="FN4" s="971"/>
      <c r="FO4" s="971"/>
      <c r="FP4" s="971"/>
      <c r="FQ4" s="971"/>
      <c r="FR4" s="971"/>
      <c r="FS4" s="971"/>
      <c r="FT4" s="971"/>
      <c r="FU4" s="971"/>
      <c r="FV4" s="971"/>
      <c r="FW4" s="971"/>
      <c r="FX4" s="971"/>
      <c r="FY4" s="971"/>
      <c r="FZ4" s="971"/>
      <c r="GA4" s="971"/>
      <c r="GB4" s="971"/>
      <c r="GC4" s="971"/>
      <c r="GD4" s="971"/>
      <c r="GE4" s="971"/>
      <c r="GF4" s="971"/>
      <c r="GG4" s="971"/>
      <c r="GH4" s="971"/>
      <c r="GI4" s="971"/>
      <c r="GJ4" s="971"/>
      <c r="GK4" s="971"/>
      <c r="GL4" s="971"/>
      <c r="GM4" s="971"/>
      <c r="GN4" s="971"/>
      <c r="GO4" s="971"/>
      <c r="GP4" s="971"/>
      <c r="GQ4" s="971"/>
      <c r="GR4" s="971"/>
      <c r="GS4" s="971"/>
      <c r="GT4" s="971"/>
      <c r="GU4" s="971"/>
      <c r="GV4" s="971"/>
      <c r="GW4" s="971"/>
      <c r="GX4" s="971"/>
      <c r="GY4" s="971"/>
      <c r="GZ4" s="971"/>
      <c r="HA4" s="971"/>
      <c r="HB4" s="971"/>
      <c r="HC4" s="971"/>
      <c r="HD4" s="971"/>
      <c r="HE4" s="971"/>
      <c r="HF4" s="971"/>
      <c r="HG4" s="971"/>
      <c r="HH4" s="971"/>
      <c r="HI4" s="971"/>
      <c r="HJ4" s="971"/>
      <c r="HK4" s="971"/>
      <c r="HL4" s="971"/>
      <c r="HM4" s="971"/>
      <c r="HN4" s="971"/>
      <c r="HO4" s="971"/>
      <c r="HP4" s="971"/>
      <c r="HQ4" s="971"/>
      <c r="HR4" s="971"/>
      <c r="HS4" s="971"/>
      <c r="HT4" s="971"/>
      <c r="HU4" s="971"/>
      <c r="HV4" s="971"/>
      <c r="HW4" s="971"/>
      <c r="HX4" s="971"/>
      <c r="HY4" s="971"/>
      <c r="HZ4" s="971"/>
      <c r="IA4" s="971"/>
      <c r="IB4" s="971"/>
      <c r="IC4" s="971"/>
      <c r="ID4" s="971"/>
      <c r="IE4" s="971"/>
      <c r="IF4" s="971"/>
      <c r="IG4" s="971"/>
      <c r="IH4" s="971"/>
      <c r="II4" s="971"/>
      <c r="IJ4" s="971"/>
      <c r="IK4" s="971"/>
      <c r="IL4" s="971"/>
      <c r="IM4" s="971"/>
      <c r="IN4" s="971"/>
      <c r="IO4" s="971"/>
      <c r="IP4" s="971"/>
      <c r="IQ4" s="971"/>
      <c r="IR4" s="971"/>
      <c r="IS4" s="971"/>
      <c r="IT4" s="971"/>
      <c r="IU4" s="971"/>
      <c r="IV4" s="971"/>
    </row>
    <row r="5" spans="2:3" ht="14.25">
      <c r="B5" s="963" t="s">
        <v>309</v>
      </c>
      <c r="C5" s="963"/>
    </row>
    <row r="6" spans="1:4" ht="15.75" customHeight="1">
      <c r="A6" s="122"/>
      <c r="B6" s="359">
        <f>_xlfn.IFERROR(IF(Indice!B6="","2XX2",YEAR(Indice!B6)),"2XX2")</f>
        <v>2022</v>
      </c>
      <c r="C6" s="359">
        <f>_xlfn.IFERROR(YEAR(Indice!B6-365),"2XX1")</f>
        <v>2021</v>
      </c>
      <c r="D6" s="122"/>
    </row>
    <row r="7" spans="1:4" ht="15" customHeight="1">
      <c r="A7" s="124" t="s">
        <v>123</v>
      </c>
      <c r="B7" s="8"/>
      <c r="C7" s="8"/>
      <c r="D7" s="8"/>
    </row>
    <row r="8" spans="1:256" ht="15" customHeight="1">
      <c r="A8" s="37" t="s">
        <v>126</v>
      </c>
      <c r="B8" s="37"/>
      <c r="C8" s="37"/>
      <c r="D8" s="37"/>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3"/>
      <c r="AY8" s="933"/>
      <c r="AZ8" s="933"/>
      <c r="BA8" s="933"/>
      <c r="BB8" s="933"/>
      <c r="BC8" s="933"/>
      <c r="BD8" s="933"/>
      <c r="BE8" s="933"/>
      <c r="BF8" s="933"/>
      <c r="BG8" s="933"/>
      <c r="BH8" s="933"/>
      <c r="BI8" s="933"/>
      <c r="BJ8" s="933"/>
      <c r="BK8" s="933"/>
      <c r="BL8" s="933"/>
      <c r="BM8" s="933"/>
      <c r="BN8" s="933"/>
      <c r="BO8" s="933"/>
      <c r="BP8" s="933"/>
      <c r="BQ8" s="933"/>
      <c r="BR8" s="933"/>
      <c r="BS8" s="933"/>
      <c r="BT8" s="933"/>
      <c r="BU8" s="933"/>
      <c r="BV8" s="933"/>
      <c r="BW8" s="933"/>
      <c r="BX8" s="933"/>
      <c r="BY8" s="933"/>
      <c r="BZ8" s="933"/>
      <c r="CA8" s="933"/>
      <c r="CB8" s="933"/>
      <c r="CC8" s="933"/>
      <c r="CD8" s="933"/>
      <c r="CE8" s="933"/>
      <c r="CF8" s="933"/>
      <c r="CG8" s="933"/>
      <c r="CH8" s="933"/>
      <c r="CI8" s="933"/>
      <c r="CJ8" s="933"/>
      <c r="CK8" s="933"/>
      <c r="CL8" s="933"/>
      <c r="CM8" s="933"/>
      <c r="CN8" s="933"/>
      <c r="CO8" s="933"/>
      <c r="CP8" s="933"/>
      <c r="CQ8" s="933"/>
      <c r="CR8" s="933"/>
      <c r="CS8" s="933"/>
      <c r="CT8" s="933"/>
      <c r="CU8" s="933"/>
      <c r="CV8" s="933"/>
      <c r="CW8" s="933"/>
      <c r="CX8" s="933"/>
      <c r="CY8" s="933"/>
      <c r="CZ8" s="933"/>
      <c r="DA8" s="933"/>
      <c r="DB8" s="933"/>
      <c r="DC8" s="933"/>
      <c r="DD8" s="933"/>
      <c r="DE8" s="933"/>
      <c r="DF8" s="933"/>
      <c r="DG8" s="933"/>
      <c r="DH8" s="933"/>
      <c r="DI8" s="933"/>
      <c r="DJ8" s="933"/>
      <c r="DK8" s="933"/>
      <c r="DL8" s="933"/>
      <c r="DM8" s="933"/>
      <c r="DN8" s="933"/>
      <c r="DO8" s="933"/>
      <c r="DP8" s="933"/>
      <c r="DQ8" s="933"/>
      <c r="DR8" s="933"/>
      <c r="DS8" s="933"/>
      <c r="DT8" s="933"/>
      <c r="DU8" s="933"/>
      <c r="DV8" s="933"/>
      <c r="DW8" s="933"/>
      <c r="DX8" s="933"/>
      <c r="DY8" s="933"/>
      <c r="DZ8" s="933"/>
      <c r="EA8" s="933"/>
      <c r="EB8" s="933"/>
      <c r="EC8" s="933"/>
      <c r="ED8" s="933"/>
      <c r="EE8" s="933"/>
      <c r="EF8" s="933"/>
      <c r="EG8" s="933"/>
      <c r="EH8" s="933"/>
      <c r="EI8" s="933"/>
      <c r="EJ8" s="933"/>
      <c r="EK8" s="933"/>
      <c r="EL8" s="933"/>
      <c r="EM8" s="933"/>
      <c r="EN8" s="933"/>
      <c r="EO8" s="933"/>
      <c r="EP8" s="933"/>
      <c r="EQ8" s="933"/>
      <c r="ER8" s="933"/>
      <c r="ES8" s="933"/>
      <c r="ET8" s="933"/>
      <c r="EU8" s="933"/>
      <c r="EV8" s="933"/>
      <c r="EW8" s="933"/>
      <c r="EX8" s="933"/>
      <c r="EY8" s="933"/>
      <c r="EZ8" s="933"/>
      <c r="FA8" s="933"/>
      <c r="FB8" s="933"/>
      <c r="FC8" s="933"/>
      <c r="FD8" s="933"/>
      <c r="FE8" s="933"/>
      <c r="FF8" s="933"/>
      <c r="FG8" s="933"/>
      <c r="FH8" s="933"/>
      <c r="FI8" s="933"/>
      <c r="FJ8" s="933"/>
      <c r="FK8" s="933"/>
      <c r="FL8" s="933"/>
      <c r="FM8" s="933"/>
      <c r="FN8" s="933"/>
      <c r="FO8" s="933"/>
      <c r="FP8" s="933"/>
      <c r="FQ8" s="933"/>
      <c r="FR8" s="933"/>
      <c r="FS8" s="933"/>
      <c r="FT8" s="933"/>
      <c r="FU8" s="933"/>
      <c r="FV8" s="933"/>
      <c r="FW8" s="933"/>
      <c r="FX8" s="933"/>
      <c r="FY8" s="933"/>
      <c r="FZ8" s="933"/>
      <c r="GA8" s="933"/>
      <c r="GB8" s="933"/>
      <c r="GC8" s="933"/>
      <c r="GD8" s="933"/>
      <c r="GE8" s="933"/>
      <c r="GF8" s="933"/>
      <c r="GG8" s="933"/>
      <c r="GH8" s="933"/>
      <c r="GI8" s="933"/>
      <c r="GJ8" s="933"/>
      <c r="GK8" s="933"/>
      <c r="GL8" s="933"/>
      <c r="GM8" s="933"/>
      <c r="GN8" s="933"/>
      <c r="GO8" s="933"/>
      <c r="GP8" s="933"/>
      <c r="GQ8" s="933"/>
      <c r="GR8" s="933"/>
      <c r="GS8" s="933"/>
      <c r="GT8" s="933"/>
      <c r="GU8" s="933"/>
      <c r="GV8" s="933"/>
      <c r="GW8" s="933"/>
      <c r="GX8" s="933"/>
      <c r="GY8" s="933"/>
      <c r="GZ8" s="933"/>
      <c r="HA8" s="933"/>
      <c r="HB8" s="933"/>
      <c r="HC8" s="933"/>
      <c r="HD8" s="933"/>
      <c r="HE8" s="933"/>
      <c r="HF8" s="933"/>
      <c r="HG8" s="933"/>
      <c r="HH8" s="933"/>
      <c r="HI8" s="933"/>
      <c r="HJ8" s="933"/>
      <c r="HK8" s="933"/>
      <c r="HL8" s="933"/>
      <c r="HM8" s="933"/>
      <c r="HN8" s="933"/>
      <c r="HO8" s="933"/>
      <c r="HP8" s="933"/>
      <c r="HQ8" s="933"/>
      <c r="HR8" s="933"/>
      <c r="HS8" s="933"/>
      <c r="HT8" s="933"/>
      <c r="HU8" s="933"/>
      <c r="HV8" s="933"/>
      <c r="HW8" s="933"/>
      <c r="HX8" s="933"/>
      <c r="HY8" s="933"/>
      <c r="HZ8" s="933"/>
      <c r="IA8" s="933"/>
      <c r="IB8" s="933"/>
      <c r="IC8" s="933"/>
      <c r="ID8" s="933"/>
      <c r="IE8" s="933"/>
      <c r="IF8" s="933"/>
      <c r="IG8" s="933"/>
      <c r="IH8" s="933"/>
      <c r="II8" s="933"/>
      <c r="IJ8" s="933"/>
      <c r="IK8" s="933"/>
      <c r="IL8" s="933"/>
      <c r="IM8" s="933"/>
      <c r="IN8" s="933"/>
      <c r="IO8" s="933"/>
      <c r="IP8" s="933"/>
      <c r="IQ8" s="933"/>
      <c r="IR8" s="933"/>
      <c r="IS8" s="933"/>
      <c r="IT8" s="933"/>
      <c r="IU8" s="933"/>
      <c r="IV8" s="933"/>
    </row>
    <row r="9" spans="1:256" ht="15" customHeight="1">
      <c r="A9" s="125" t="s">
        <v>3</v>
      </c>
      <c r="B9" s="240">
        <f>B8</f>
        <v>0</v>
      </c>
      <c r="C9" s="240">
        <f>C8</f>
        <v>0</v>
      </c>
      <c r="D9" s="37"/>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5" customHeight="1">
      <c r="A10" s="37"/>
      <c r="B10" s="37"/>
      <c r="C10" s="37"/>
      <c r="D10" s="37"/>
      <c r="E10" s="933"/>
      <c r="F10" s="933"/>
      <c r="G10" s="933"/>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933"/>
      <c r="AI10" s="933"/>
      <c r="AJ10" s="933"/>
      <c r="AK10" s="933"/>
      <c r="AL10" s="933"/>
      <c r="AM10" s="933"/>
      <c r="AN10" s="933"/>
      <c r="AO10" s="933"/>
      <c r="AP10" s="933"/>
      <c r="AQ10" s="933"/>
      <c r="AR10" s="933"/>
      <c r="AS10" s="933"/>
      <c r="AT10" s="933"/>
      <c r="AU10" s="933"/>
      <c r="AV10" s="933"/>
      <c r="AW10" s="933"/>
      <c r="AX10" s="933"/>
      <c r="AY10" s="933"/>
      <c r="AZ10" s="933"/>
      <c r="BA10" s="933"/>
      <c r="BB10" s="933"/>
      <c r="BC10" s="933"/>
      <c r="BD10" s="933"/>
      <c r="BE10" s="933"/>
      <c r="BF10" s="933"/>
      <c r="BG10" s="933"/>
      <c r="BH10" s="933"/>
      <c r="BI10" s="933"/>
      <c r="BJ10" s="933"/>
      <c r="BK10" s="933"/>
      <c r="BL10" s="933"/>
      <c r="BM10" s="933"/>
      <c r="BN10" s="933"/>
      <c r="BO10" s="933"/>
      <c r="BP10" s="933"/>
      <c r="BQ10" s="933"/>
      <c r="BR10" s="933"/>
      <c r="BS10" s="933"/>
      <c r="BT10" s="933"/>
      <c r="BU10" s="933"/>
      <c r="BV10" s="933"/>
      <c r="BW10" s="933"/>
      <c r="BX10" s="933"/>
      <c r="BY10" s="933"/>
      <c r="BZ10" s="933"/>
      <c r="CA10" s="933"/>
      <c r="CB10" s="933"/>
      <c r="CC10" s="933"/>
      <c r="CD10" s="933"/>
      <c r="CE10" s="933"/>
      <c r="CF10" s="933"/>
      <c r="CG10" s="933"/>
      <c r="CH10" s="933"/>
      <c r="CI10" s="933"/>
      <c r="CJ10" s="933"/>
      <c r="CK10" s="933"/>
      <c r="CL10" s="933"/>
      <c r="CM10" s="933"/>
      <c r="CN10" s="933"/>
      <c r="CO10" s="933"/>
      <c r="CP10" s="933"/>
      <c r="CQ10" s="933"/>
      <c r="CR10" s="933"/>
      <c r="CS10" s="933"/>
      <c r="CT10" s="933"/>
      <c r="CU10" s="933"/>
      <c r="CV10" s="933"/>
      <c r="CW10" s="933"/>
      <c r="CX10" s="933"/>
      <c r="CY10" s="933"/>
      <c r="CZ10" s="933"/>
      <c r="DA10" s="933"/>
      <c r="DB10" s="933"/>
      <c r="DC10" s="933"/>
      <c r="DD10" s="933"/>
      <c r="DE10" s="933"/>
      <c r="DF10" s="933"/>
      <c r="DG10" s="933"/>
      <c r="DH10" s="933"/>
      <c r="DI10" s="933"/>
      <c r="DJ10" s="933"/>
      <c r="DK10" s="933"/>
      <c r="DL10" s="933"/>
      <c r="DM10" s="933"/>
      <c r="DN10" s="933"/>
      <c r="DO10" s="933"/>
      <c r="DP10" s="933"/>
      <c r="DQ10" s="933"/>
      <c r="DR10" s="933"/>
      <c r="DS10" s="933"/>
      <c r="DT10" s="933"/>
      <c r="DU10" s="933"/>
      <c r="DV10" s="933"/>
      <c r="DW10" s="933"/>
      <c r="DX10" s="933"/>
      <c r="DY10" s="933"/>
      <c r="DZ10" s="933"/>
      <c r="EA10" s="933"/>
      <c r="EB10" s="933"/>
      <c r="EC10" s="933"/>
      <c r="ED10" s="933"/>
      <c r="EE10" s="933"/>
      <c r="EF10" s="933"/>
      <c r="EG10" s="933"/>
      <c r="EH10" s="933"/>
      <c r="EI10" s="933"/>
      <c r="EJ10" s="933"/>
      <c r="EK10" s="933"/>
      <c r="EL10" s="933"/>
      <c r="EM10" s="933"/>
      <c r="EN10" s="933"/>
      <c r="EO10" s="933"/>
      <c r="EP10" s="933"/>
      <c r="EQ10" s="933"/>
      <c r="ER10" s="933"/>
      <c r="ES10" s="933"/>
      <c r="ET10" s="933"/>
      <c r="EU10" s="933"/>
      <c r="EV10" s="933"/>
      <c r="EW10" s="933"/>
      <c r="EX10" s="933"/>
      <c r="EY10" s="933"/>
      <c r="EZ10" s="933"/>
      <c r="FA10" s="933"/>
      <c r="FB10" s="933"/>
      <c r="FC10" s="933"/>
      <c r="FD10" s="933"/>
      <c r="FE10" s="933"/>
      <c r="FF10" s="933"/>
      <c r="FG10" s="933"/>
      <c r="FH10" s="933"/>
      <c r="FI10" s="933"/>
      <c r="FJ10" s="933"/>
      <c r="FK10" s="933"/>
      <c r="FL10" s="933"/>
      <c r="FM10" s="933"/>
      <c r="FN10" s="933"/>
      <c r="FO10" s="933"/>
      <c r="FP10" s="933"/>
      <c r="FQ10" s="933"/>
      <c r="FR10" s="933"/>
      <c r="FS10" s="933"/>
      <c r="FT10" s="933"/>
      <c r="FU10" s="933"/>
      <c r="FV10" s="933"/>
      <c r="FW10" s="933"/>
      <c r="FX10" s="933"/>
      <c r="FY10" s="933"/>
      <c r="FZ10" s="933"/>
      <c r="GA10" s="933"/>
      <c r="GB10" s="933"/>
      <c r="GC10" s="933"/>
      <c r="GD10" s="933"/>
      <c r="GE10" s="933"/>
      <c r="GF10" s="933"/>
      <c r="GG10" s="933"/>
      <c r="GH10" s="933"/>
      <c r="GI10" s="933"/>
      <c r="GJ10" s="933"/>
      <c r="GK10" s="933"/>
      <c r="GL10" s="933"/>
      <c r="GM10" s="933"/>
      <c r="GN10" s="933"/>
      <c r="GO10" s="933"/>
      <c r="GP10" s="933"/>
      <c r="GQ10" s="933"/>
      <c r="GR10" s="933"/>
      <c r="GS10" s="933"/>
      <c r="GT10" s="933"/>
      <c r="GU10" s="933"/>
      <c r="GV10" s="933"/>
      <c r="GW10" s="933"/>
      <c r="GX10" s="933"/>
      <c r="GY10" s="933"/>
      <c r="GZ10" s="933"/>
      <c r="HA10" s="933"/>
      <c r="HB10" s="933"/>
      <c r="HC10" s="933"/>
      <c r="HD10" s="933"/>
      <c r="HE10" s="933"/>
      <c r="HF10" s="933"/>
      <c r="HG10" s="933"/>
      <c r="HH10" s="933"/>
      <c r="HI10" s="933"/>
      <c r="HJ10" s="933"/>
      <c r="HK10" s="933"/>
      <c r="HL10" s="933"/>
      <c r="HM10" s="933"/>
      <c r="HN10" s="933"/>
      <c r="HO10" s="933"/>
      <c r="HP10" s="933"/>
      <c r="HQ10" s="933"/>
      <c r="HR10" s="933"/>
      <c r="HS10" s="933"/>
      <c r="HT10" s="933"/>
      <c r="HU10" s="933"/>
      <c r="HV10" s="933"/>
      <c r="HW10" s="933"/>
      <c r="HX10" s="933"/>
      <c r="HY10" s="933"/>
      <c r="HZ10" s="933"/>
      <c r="IA10" s="933"/>
      <c r="IB10" s="933"/>
      <c r="IC10" s="933"/>
      <c r="ID10" s="933"/>
      <c r="IE10" s="933"/>
      <c r="IF10" s="933"/>
      <c r="IG10" s="933"/>
      <c r="IH10" s="933"/>
      <c r="II10" s="933"/>
      <c r="IJ10" s="933"/>
      <c r="IK10" s="933"/>
      <c r="IL10" s="933"/>
      <c r="IM10" s="933"/>
      <c r="IN10" s="933"/>
      <c r="IO10" s="933"/>
      <c r="IP10" s="933"/>
      <c r="IQ10" s="933"/>
      <c r="IR10" s="933"/>
      <c r="IS10" s="933"/>
      <c r="IT10" s="933"/>
      <c r="IU10" s="933"/>
      <c r="IV10" s="933"/>
    </row>
    <row r="11" spans="1:256" ht="15" customHeight="1">
      <c r="A11" s="125" t="s">
        <v>124</v>
      </c>
      <c r="B11" s="37"/>
      <c r="C11" s="37"/>
      <c r="D11" s="37"/>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933"/>
      <c r="AT11" s="933"/>
      <c r="AU11" s="933"/>
      <c r="AV11" s="933"/>
      <c r="AW11" s="933"/>
      <c r="AX11" s="933"/>
      <c r="AY11" s="933"/>
      <c r="AZ11" s="933"/>
      <c r="BA11" s="933"/>
      <c r="BB11" s="933"/>
      <c r="BC11" s="933"/>
      <c r="BD11" s="933"/>
      <c r="BE11" s="933"/>
      <c r="BF11" s="933"/>
      <c r="BG11" s="933"/>
      <c r="BH11" s="933"/>
      <c r="BI11" s="933"/>
      <c r="BJ11" s="933"/>
      <c r="BK11" s="933"/>
      <c r="BL11" s="933"/>
      <c r="BM11" s="933"/>
      <c r="BN11" s="933"/>
      <c r="BO11" s="933"/>
      <c r="BP11" s="933"/>
      <c r="BQ11" s="933"/>
      <c r="BR11" s="933"/>
      <c r="BS11" s="933"/>
      <c r="BT11" s="933"/>
      <c r="BU11" s="933"/>
      <c r="BV11" s="933"/>
      <c r="BW11" s="933"/>
      <c r="BX11" s="933"/>
      <c r="BY11" s="933"/>
      <c r="BZ11" s="933"/>
      <c r="CA11" s="933"/>
      <c r="CB11" s="933"/>
      <c r="CC11" s="933"/>
      <c r="CD11" s="933"/>
      <c r="CE11" s="933"/>
      <c r="CF11" s="933"/>
      <c r="CG11" s="933"/>
      <c r="CH11" s="933"/>
      <c r="CI11" s="933"/>
      <c r="CJ11" s="933"/>
      <c r="CK11" s="933"/>
      <c r="CL11" s="933"/>
      <c r="CM11" s="933"/>
      <c r="CN11" s="933"/>
      <c r="CO11" s="933"/>
      <c r="CP11" s="933"/>
      <c r="CQ11" s="933"/>
      <c r="CR11" s="933"/>
      <c r="CS11" s="933"/>
      <c r="CT11" s="933"/>
      <c r="CU11" s="933"/>
      <c r="CV11" s="933"/>
      <c r="CW11" s="933"/>
      <c r="CX11" s="933"/>
      <c r="CY11" s="933"/>
      <c r="CZ11" s="933"/>
      <c r="DA11" s="933"/>
      <c r="DB11" s="933"/>
      <c r="DC11" s="933"/>
      <c r="DD11" s="933"/>
      <c r="DE11" s="933"/>
      <c r="DF11" s="933"/>
      <c r="DG11" s="933"/>
      <c r="DH11" s="933"/>
      <c r="DI11" s="933"/>
      <c r="DJ11" s="933"/>
      <c r="DK11" s="933"/>
      <c r="DL11" s="933"/>
      <c r="DM11" s="933"/>
      <c r="DN11" s="933"/>
      <c r="DO11" s="933"/>
      <c r="DP11" s="933"/>
      <c r="DQ11" s="933"/>
      <c r="DR11" s="933"/>
      <c r="DS11" s="933"/>
      <c r="DT11" s="933"/>
      <c r="DU11" s="933"/>
      <c r="DV11" s="933"/>
      <c r="DW11" s="933"/>
      <c r="DX11" s="933"/>
      <c r="DY11" s="933"/>
      <c r="DZ11" s="933"/>
      <c r="EA11" s="933"/>
      <c r="EB11" s="933"/>
      <c r="EC11" s="933"/>
      <c r="ED11" s="933"/>
      <c r="EE11" s="933"/>
      <c r="EF11" s="933"/>
      <c r="EG11" s="933"/>
      <c r="EH11" s="933"/>
      <c r="EI11" s="933"/>
      <c r="EJ11" s="933"/>
      <c r="EK11" s="933"/>
      <c r="EL11" s="933"/>
      <c r="EM11" s="933"/>
      <c r="EN11" s="933"/>
      <c r="EO11" s="933"/>
      <c r="EP11" s="933"/>
      <c r="EQ11" s="933"/>
      <c r="ER11" s="933"/>
      <c r="ES11" s="933"/>
      <c r="ET11" s="933"/>
      <c r="EU11" s="933"/>
      <c r="EV11" s="933"/>
      <c r="EW11" s="933"/>
      <c r="EX11" s="933"/>
      <c r="EY11" s="933"/>
      <c r="EZ11" s="933"/>
      <c r="FA11" s="933"/>
      <c r="FB11" s="933"/>
      <c r="FC11" s="933"/>
      <c r="FD11" s="933"/>
      <c r="FE11" s="933"/>
      <c r="FF11" s="933"/>
      <c r="FG11" s="933"/>
      <c r="FH11" s="933"/>
      <c r="FI11" s="933"/>
      <c r="FJ11" s="933"/>
      <c r="FK11" s="933"/>
      <c r="FL11" s="933"/>
      <c r="FM11" s="933"/>
      <c r="FN11" s="933"/>
      <c r="FO11" s="933"/>
      <c r="FP11" s="933"/>
      <c r="FQ11" s="933"/>
      <c r="FR11" s="933"/>
      <c r="FS11" s="933"/>
      <c r="FT11" s="933"/>
      <c r="FU11" s="933"/>
      <c r="FV11" s="933"/>
      <c r="FW11" s="933"/>
      <c r="FX11" s="933"/>
      <c r="FY11" s="933"/>
      <c r="FZ11" s="933"/>
      <c r="GA11" s="933"/>
      <c r="GB11" s="933"/>
      <c r="GC11" s="933"/>
      <c r="GD11" s="933"/>
      <c r="GE11" s="933"/>
      <c r="GF11" s="933"/>
      <c r="GG11" s="933"/>
      <c r="GH11" s="933"/>
      <c r="GI11" s="933"/>
      <c r="GJ11" s="933"/>
      <c r="GK11" s="933"/>
      <c r="GL11" s="933"/>
      <c r="GM11" s="933"/>
      <c r="GN11" s="933"/>
      <c r="GO11" s="933"/>
      <c r="GP11" s="933"/>
      <c r="GQ11" s="933"/>
      <c r="GR11" s="933"/>
      <c r="GS11" s="933"/>
      <c r="GT11" s="933"/>
      <c r="GU11" s="933"/>
      <c r="GV11" s="933"/>
      <c r="GW11" s="933"/>
      <c r="GX11" s="933"/>
      <c r="GY11" s="933"/>
      <c r="GZ11" s="933"/>
      <c r="HA11" s="933"/>
      <c r="HB11" s="933"/>
      <c r="HC11" s="933"/>
      <c r="HD11" s="933"/>
      <c r="HE11" s="933"/>
      <c r="HF11" s="933"/>
      <c r="HG11" s="933"/>
      <c r="HH11" s="933"/>
      <c r="HI11" s="933"/>
      <c r="HJ11" s="933"/>
      <c r="HK11" s="933"/>
      <c r="HL11" s="933"/>
      <c r="HM11" s="933"/>
      <c r="HN11" s="933"/>
      <c r="HO11" s="933"/>
      <c r="HP11" s="933"/>
      <c r="HQ11" s="933"/>
      <c r="HR11" s="933"/>
      <c r="HS11" s="933"/>
      <c r="HT11" s="933"/>
      <c r="HU11" s="933"/>
      <c r="HV11" s="933"/>
      <c r="HW11" s="933"/>
      <c r="HX11" s="933"/>
      <c r="HY11" s="933"/>
      <c r="HZ11" s="933"/>
      <c r="IA11" s="933"/>
      <c r="IB11" s="933"/>
      <c r="IC11" s="933"/>
      <c r="ID11" s="933"/>
      <c r="IE11" s="933"/>
      <c r="IF11" s="933"/>
      <c r="IG11" s="933"/>
      <c r="IH11" s="933"/>
      <c r="II11" s="933"/>
      <c r="IJ11" s="933"/>
      <c r="IK11" s="933"/>
      <c r="IL11" s="933"/>
      <c r="IM11" s="933"/>
      <c r="IN11" s="933"/>
      <c r="IO11" s="933"/>
      <c r="IP11" s="933"/>
      <c r="IQ11" s="933"/>
      <c r="IR11" s="933"/>
      <c r="IS11" s="933"/>
      <c r="IT11" s="933"/>
      <c r="IU11" s="933"/>
      <c r="IV11" s="933"/>
    </row>
    <row r="12" spans="1:256" ht="15" customHeight="1">
      <c r="A12" s="37" t="s">
        <v>127</v>
      </c>
      <c r="B12" s="37"/>
      <c r="C12" s="37"/>
      <c r="D12" s="37"/>
      <c r="E12" s="933"/>
      <c r="F12" s="933"/>
      <c r="G12" s="933"/>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3"/>
      <c r="AF12" s="933"/>
      <c r="AG12" s="933"/>
      <c r="AH12" s="933"/>
      <c r="AI12" s="933"/>
      <c r="AJ12" s="933"/>
      <c r="AK12" s="933"/>
      <c r="AL12" s="933"/>
      <c r="AM12" s="933"/>
      <c r="AN12" s="933"/>
      <c r="AO12" s="933"/>
      <c r="AP12" s="933"/>
      <c r="AQ12" s="933"/>
      <c r="AR12" s="933"/>
      <c r="AS12" s="933"/>
      <c r="AT12" s="933"/>
      <c r="AU12" s="933"/>
      <c r="AV12" s="933"/>
      <c r="AW12" s="933"/>
      <c r="AX12" s="933"/>
      <c r="AY12" s="933"/>
      <c r="AZ12" s="933"/>
      <c r="BA12" s="933"/>
      <c r="BB12" s="933"/>
      <c r="BC12" s="933"/>
      <c r="BD12" s="933"/>
      <c r="BE12" s="933"/>
      <c r="BF12" s="933"/>
      <c r="BG12" s="933"/>
      <c r="BH12" s="933"/>
      <c r="BI12" s="933"/>
      <c r="BJ12" s="933"/>
      <c r="BK12" s="933"/>
      <c r="BL12" s="933"/>
      <c r="BM12" s="933"/>
      <c r="BN12" s="933"/>
      <c r="BO12" s="933"/>
      <c r="BP12" s="933"/>
      <c r="BQ12" s="933"/>
      <c r="BR12" s="933"/>
      <c r="BS12" s="933"/>
      <c r="BT12" s="933"/>
      <c r="BU12" s="933"/>
      <c r="BV12" s="933"/>
      <c r="BW12" s="933"/>
      <c r="BX12" s="933"/>
      <c r="BY12" s="933"/>
      <c r="BZ12" s="933"/>
      <c r="CA12" s="933"/>
      <c r="CB12" s="933"/>
      <c r="CC12" s="933"/>
      <c r="CD12" s="933"/>
      <c r="CE12" s="933"/>
      <c r="CF12" s="933"/>
      <c r="CG12" s="933"/>
      <c r="CH12" s="933"/>
      <c r="CI12" s="933"/>
      <c r="CJ12" s="933"/>
      <c r="CK12" s="933"/>
      <c r="CL12" s="933"/>
      <c r="CM12" s="933"/>
      <c r="CN12" s="933"/>
      <c r="CO12" s="933"/>
      <c r="CP12" s="933"/>
      <c r="CQ12" s="933"/>
      <c r="CR12" s="933"/>
      <c r="CS12" s="933"/>
      <c r="CT12" s="933"/>
      <c r="CU12" s="933"/>
      <c r="CV12" s="933"/>
      <c r="CW12" s="933"/>
      <c r="CX12" s="933"/>
      <c r="CY12" s="933"/>
      <c r="CZ12" s="933"/>
      <c r="DA12" s="933"/>
      <c r="DB12" s="933"/>
      <c r="DC12" s="933"/>
      <c r="DD12" s="933"/>
      <c r="DE12" s="933"/>
      <c r="DF12" s="933"/>
      <c r="DG12" s="933"/>
      <c r="DH12" s="933"/>
      <c r="DI12" s="933"/>
      <c r="DJ12" s="933"/>
      <c r="DK12" s="933"/>
      <c r="DL12" s="933"/>
      <c r="DM12" s="933"/>
      <c r="DN12" s="933"/>
      <c r="DO12" s="933"/>
      <c r="DP12" s="933"/>
      <c r="DQ12" s="933"/>
      <c r="DR12" s="933"/>
      <c r="DS12" s="933"/>
      <c r="DT12" s="933"/>
      <c r="DU12" s="933"/>
      <c r="DV12" s="933"/>
      <c r="DW12" s="933"/>
      <c r="DX12" s="933"/>
      <c r="DY12" s="933"/>
      <c r="DZ12" s="933"/>
      <c r="EA12" s="933"/>
      <c r="EB12" s="933"/>
      <c r="EC12" s="933"/>
      <c r="ED12" s="933"/>
      <c r="EE12" s="933"/>
      <c r="EF12" s="933"/>
      <c r="EG12" s="933"/>
      <c r="EH12" s="933"/>
      <c r="EI12" s="933"/>
      <c r="EJ12" s="933"/>
      <c r="EK12" s="933"/>
      <c r="EL12" s="933"/>
      <c r="EM12" s="933"/>
      <c r="EN12" s="933"/>
      <c r="EO12" s="933"/>
      <c r="EP12" s="933"/>
      <c r="EQ12" s="933"/>
      <c r="ER12" s="933"/>
      <c r="ES12" s="933"/>
      <c r="ET12" s="933"/>
      <c r="EU12" s="933"/>
      <c r="EV12" s="933"/>
      <c r="EW12" s="933"/>
      <c r="EX12" s="933"/>
      <c r="EY12" s="933"/>
      <c r="EZ12" s="933"/>
      <c r="FA12" s="933"/>
      <c r="FB12" s="933"/>
      <c r="FC12" s="933"/>
      <c r="FD12" s="933"/>
      <c r="FE12" s="933"/>
      <c r="FF12" s="933"/>
      <c r="FG12" s="933"/>
      <c r="FH12" s="933"/>
      <c r="FI12" s="933"/>
      <c r="FJ12" s="933"/>
      <c r="FK12" s="933"/>
      <c r="FL12" s="933"/>
      <c r="FM12" s="933"/>
      <c r="FN12" s="933"/>
      <c r="FO12" s="933"/>
      <c r="FP12" s="933"/>
      <c r="FQ12" s="933"/>
      <c r="FR12" s="933"/>
      <c r="FS12" s="933"/>
      <c r="FT12" s="933"/>
      <c r="FU12" s="933"/>
      <c r="FV12" s="933"/>
      <c r="FW12" s="933"/>
      <c r="FX12" s="933"/>
      <c r="FY12" s="933"/>
      <c r="FZ12" s="933"/>
      <c r="GA12" s="933"/>
      <c r="GB12" s="933"/>
      <c r="GC12" s="933"/>
      <c r="GD12" s="933"/>
      <c r="GE12" s="933"/>
      <c r="GF12" s="933"/>
      <c r="GG12" s="933"/>
      <c r="GH12" s="933"/>
      <c r="GI12" s="933"/>
      <c r="GJ12" s="933"/>
      <c r="GK12" s="933"/>
      <c r="GL12" s="933"/>
      <c r="GM12" s="933"/>
      <c r="GN12" s="933"/>
      <c r="GO12" s="933"/>
      <c r="GP12" s="933"/>
      <c r="GQ12" s="933"/>
      <c r="GR12" s="933"/>
      <c r="GS12" s="933"/>
      <c r="GT12" s="933"/>
      <c r="GU12" s="933"/>
      <c r="GV12" s="933"/>
      <c r="GW12" s="933"/>
      <c r="GX12" s="933"/>
      <c r="GY12" s="933"/>
      <c r="GZ12" s="933"/>
      <c r="HA12" s="933"/>
      <c r="HB12" s="933"/>
      <c r="HC12" s="933"/>
      <c r="HD12" s="933"/>
      <c r="HE12" s="933"/>
      <c r="HF12" s="933"/>
      <c r="HG12" s="933"/>
      <c r="HH12" s="933"/>
      <c r="HI12" s="933"/>
      <c r="HJ12" s="933"/>
      <c r="HK12" s="933"/>
      <c r="HL12" s="933"/>
      <c r="HM12" s="933"/>
      <c r="HN12" s="933"/>
      <c r="HO12" s="933"/>
      <c r="HP12" s="933"/>
      <c r="HQ12" s="933"/>
      <c r="HR12" s="933"/>
      <c r="HS12" s="933"/>
      <c r="HT12" s="933"/>
      <c r="HU12" s="933"/>
      <c r="HV12" s="933"/>
      <c r="HW12" s="933"/>
      <c r="HX12" s="933"/>
      <c r="HY12" s="933"/>
      <c r="HZ12" s="933"/>
      <c r="IA12" s="933"/>
      <c r="IB12" s="933"/>
      <c r="IC12" s="933"/>
      <c r="ID12" s="933"/>
      <c r="IE12" s="933"/>
      <c r="IF12" s="933"/>
      <c r="IG12" s="933"/>
      <c r="IH12" s="933"/>
      <c r="II12" s="933"/>
      <c r="IJ12" s="933"/>
      <c r="IK12" s="933"/>
      <c r="IL12" s="933"/>
      <c r="IM12" s="933"/>
      <c r="IN12" s="933"/>
      <c r="IO12" s="933"/>
      <c r="IP12" s="933"/>
      <c r="IQ12" s="933"/>
      <c r="IR12" s="933"/>
      <c r="IS12" s="933"/>
      <c r="IT12" s="933"/>
      <c r="IU12" s="933"/>
      <c r="IV12" s="933"/>
    </row>
    <row r="13" spans="1:256" ht="15" customHeight="1">
      <c r="A13" s="125" t="s">
        <v>3</v>
      </c>
      <c r="B13" s="240">
        <f>B12</f>
        <v>0</v>
      </c>
      <c r="C13" s="240">
        <f>C12</f>
        <v>0</v>
      </c>
      <c r="D13" s="37"/>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row>
    <row r="14" ht="15" customHeight="1"/>
    <row r="15" ht="15" customHeight="1">
      <c r="A15" s="93" t="s">
        <v>125</v>
      </c>
    </row>
    <row r="16" spans="1:4" s="45" customFormat="1" ht="15" customHeight="1">
      <c r="A16" s="123" t="s">
        <v>128</v>
      </c>
      <c r="B16" s="123"/>
      <c r="C16" s="123"/>
      <c r="D16" s="123"/>
    </row>
    <row r="17" spans="1:3" ht="15" customHeight="1">
      <c r="A17" s="125" t="s">
        <v>3</v>
      </c>
      <c r="B17" s="241">
        <f>B16</f>
        <v>0</v>
      </c>
      <c r="C17" s="241"/>
    </row>
    <row r="18" ht="15" customHeight="1"/>
    <row r="19" spans="1:3" ht="15" customHeight="1">
      <c r="A19" s="93" t="s">
        <v>129</v>
      </c>
      <c r="B19" s="241">
        <f>B9+B13+B17</f>
        <v>0</v>
      </c>
      <c r="C19" s="241">
        <f>C9+C13+C17</f>
        <v>0</v>
      </c>
    </row>
    <row r="20" ht="15" customHeight="1"/>
    <row r="21" ht="15" customHeight="1"/>
  </sheetData>
  <sheetProtection/>
  <mergeCells count="211">
    <mergeCell ref="B5:C5"/>
    <mergeCell ref="IK12:IP12"/>
    <mergeCell ref="ES12:EX12"/>
    <mergeCell ref="EY12:FD12"/>
    <mergeCell ref="FE12:FJ12"/>
    <mergeCell ref="FK12:FP12"/>
    <mergeCell ref="DI12:DN12"/>
    <mergeCell ref="DO12:DT12"/>
    <mergeCell ref="DU12:DZ12"/>
    <mergeCell ref="EA12:EF12"/>
    <mergeCell ref="IQ12:IV12"/>
    <mergeCell ref="HG12:HL12"/>
    <mergeCell ref="HM12:HR12"/>
    <mergeCell ref="HS12:HX12"/>
    <mergeCell ref="HY12:ID12"/>
    <mergeCell ref="IE12:IJ12"/>
    <mergeCell ref="DI11:DN11"/>
    <mergeCell ref="E12:J12"/>
    <mergeCell ref="K12:P12"/>
    <mergeCell ref="Q12:V12"/>
    <mergeCell ref="W12:AB12"/>
    <mergeCell ref="AC12:AH12"/>
    <mergeCell ref="AI12:AN12"/>
    <mergeCell ref="BG12:BL12"/>
    <mergeCell ref="BM12:BR12"/>
    <mergeCell ref="CW12:DB12"/>
    <mergeCell ref="DC12:DH12"/>
    <mergeCell ref="BY12:CD12"/>
    <mergeCell ref="CW11:DB11"/>
    <mergeCell ref="DC11:DH11"/>
    <mergeCell ref="FQ12:FV12"/>
    <mergeCell ref="DO11:DT11"/>
    <mergeCell ref="DU11:DZ11"/>
    <mergeCell ref="EY11:FD11"/>
    <mergeCell ref="FE11:FJ11"/>
    <mergeCell ref="FK11:FP11"/>
    <mergeCell ref="AU12:AZ12"/>
    <mergeCell ref="BA12:BF12"/>
    <mergeCell ref="CE12:CJ12"/>
    <mergeCell ref="CK12:CP12"/>
    <mergeCell ref="CQ12:CV12"/>
    <mergeCell ref="BS12:BX12"/>
    <mergeCell ref="HA11:HF11"/>
    <mergeCell ref="EG12:EL12"/>
    <mergeCell ref="EM12:ER12"/>
    <mergeCell ref="ES11:EX11"/>
    <mergeCell ref="EM11:ER11"/>
    <mergeCell ref="GC12:GH12"/>
    <mergeCell ref="GC11:GH11"/>
    <mergeCell ref="GI12:GN12"/>
    <mergeCell ref="FW12:GB12"/>
    <mergeCell ref="HA12:HF12"/>
    <mergeCell ref="GO12:GT12"/>
    <mergeCell ref="GU12:GZ12"/>
    <mergeCell ref="BG11:BL11"/>
    <mergeCell ref="E11:J11"/>
    <mergeCell ref="K11:P11"/>
    <mergeCell ref="Q11:V11"/>
    <mergeCell ref="W11:AB11"/>
    <mergeCell ref="AC11:AH11"/>
    <mergeCell ref="AI11:AN11"/>
    <mergeCell ref="AO12:AT12"/>
    <mergeCell ref="EG10:EL10"/>
    <mergeCell ref="EM10:ER10"/>
    <mergeCell ref="ES10:EX10"/>
    <mergeCell ref="EY10:FD10"/>
    <mergeCell ref="BM11:BR11"/>
    <mergeCell ref="BS11:BX11"/>
    <mergeCell ref="BY11:CD11"/>
    <mergeCell ref="EA11:EF11"/>
    <mergeCell ref="EG11:EL11"/>
    <mergeCell ref="CE11:CJ11"/>
    <mergeCell ref="IQ10:IV10"/>
    <mergeCell ref="HA10:HF10"/>
    <mergeCell ref="HG10:HL10"/>
    <mergeCell ref="HM10:HR10"/>
    <mergeCell ref="HS10:HX10"/>
    <mergeCell ref="HY10:ID10"/>
    <mergeCell ref="IE10:IJ10"/>
    <mergeCell ref="IK10:IP10"/>
    <mergeCell ref="IQ11:IV11"/>
    <mergeCell ref="GI11:GN11"/>
    <mergeCell ref="GO11:GT11"/>
    <mergeCell ref="GU11:GZ11"/>
    <mergeCell ref="HY11:ID11"/>
    <mergeCell ref="AO11:AT11"/>
    <mergeCell ref="CK11:CP11"/>
    <mergeCell ref="CQ11:CV11"/>
    <mergeCell ref="AU11:AZ11"/>
    <mergeCell ref="BA11:BF11"/>
    <mergeCell ref="IE11:IJ11"/>
    <mergeCell ref="IK11:IP11"/>
    <mergeCell ref="FQ11:FV11"/>
    <mergeCell ref="HS11:HX11"/>
    <mergeCell ref="FQ10:FV10"/>
    <mergeCell ref="FW10:GB10"/>
    <mergeCell ref="GI10:GN10"/>
    <mergeCell ref="HG11:HL11"/>
    <mergeCell ref="HM11:HR11"/>
    <mergeCell ref="FW11:GB11"/>
    <mergeCell ref="AO10:AT10"/>
    <mergeCell ref="AU10:AZ10"/>
    <mergeCell ref="BA10:BF10"/>
    <mergeCell ref="DI10:DN10"/>
    <mergeCell ref="EA10:EF10"/>
    <mergeCell ref="DU10:DZ10"/>
    <mergeCell ref="BG10:BL10"/>
    <mergeCell ref="BM10:BR10"/>
    <mergeCell ref="BS10:BX10"/>
    <mergeCell ref="BY10:CD10"/>
    <mergeCell ref="E10:J10"/>
    <mergeCell ref="K10:P10"/>
    <mergeCell ref="Q10:V10"/>
    <mergeCell ref="W10:AB10"/>
    <mergeCell ref="AC10:AH10"/>
    <mergeCell ref="AI10:AN10"/>
    <mergeCell ref="IK8:IP8"/>
    <mergeCell ref="EY8:FD8"/>
    <mergeCell ref="GO10:GT10"/>
    <mergeCell ref="GU10:GZ10"/>
    <mergeCell ref="FE10:FJ10"/>
    <mergeCell ref="FK10:FP10"/>
    <mergeCell ref="FW8:GB8"/>
    <mergeCell ref="GC10:GH10"/>
    <mergeCell ref="GC8:GH8"/>
    <mergeCell ref="FQ8:FV8"/>
    <mergeCell ref="CE10:CJ10"/>
    <mergeCell ref="DO10:DT10"/>
    <mergeCell ref="CK10:CP10"/>
    <mergeCell ref="CQ10:CV10"/>
    <mergeCell ref="CW10:DB10"/>
    <mergeCell ref="DC10:DH10"/>
    <mergeCell ref="IQ8:IV8"/>
    <mergeCell ref="GI8:GN8"/>
    <mergeCell ref="GO8:GT8"/>
    <mergeCell ref="GU8:GZ8"/>
    <mergeCell ref="HA8:HF8"/>
    <mergeCell ref="HG8:HL8"/>
    <mergeCell ref="HM8:HR8"/>
    <mergeCell ref="HS8:HX8"/>
    <mergeCell ref="HY8:ID8"/>
    <mergeCell ref="IE8:IJ8"/>
    <mergeCell ref="FK8:FP8"/>
    <mergeCell ref="CK8:CP8"/>
    <mergeCell ref="CQ8:CV8"/>
    <mergeCell ref="CW8:DB8"/>
    <mergeCell ref="DC8:DH8"/>
    <mergeCell ref="DI8:DN8"/>
    <mergeCell ref="DO8:DT8"/>
    <mergeCell ref="EA8:EF8"/>
    <mergeCell ref="EG8:EL8"/>
    <mergeCell ref="EM8:ER8"/>
    <mergeCell ref="E8:J8"/>
    <mergeCell ref="K8:P8"/>
    <mergeCell ref="Q8:V8"/>
    <mergeCell ref="W8:AB8"/>
    <mergeCell ref="AC8:AH8"/>
    <mergeCell ref="BS8:BX8"/>
    <mergeCell ref="BY8:CD8"/>
    <mergeCell ref="DU8:DZ8"/>
    <mergeCell ref="BA8:BF8"/>
    <mergeCell ref="BG8:BL8"/>
    <mergeCell ref="BM8:BR8"/>
    <mergeCell ref="AI8:AN8"/>
    <mergeCell ref="AO8:AT8"/>
    <mergeCell ref="CE8:CJ8"/>
    <mergeCell ref="FE8:FJ8"/>
    <mergeCell ref="ES8:EX8"/>
    <mergeCell ref="E4:J4"/>
    <mergeCell ref="K4:P4"/>
    <mergeCell ref="Q4:V4"/>
    <mergeCell ref="W4:AB4"/>
    <mergeCell ref="AC4:AH4"/>
    <mergeCell ref="AU8:AZ8"/>
    <mergeCell ref="EG4:EL4"/>
    <mergeCell ref="CK4:CP4"/>
    <mergeCell ref="CQ4:CV4"/>
    <mergeCell ref="IQ4:IV4"/>
    <mergeCell ref="HG4:HL4"/>
    <mergeCell ref="HM4:HR4"/>
    <mergeCell ref="HS4:HX4"/>
    <mergeCell ref="HY4:ID4"/>
    <mergeCell ref="IE4:IJ4"/>
    <mergeCell ref="IK4:IP4"/>
    <mergeCell ref="CW4:DB4"/>
    <mergeCell ref="GI4:GN4"/>
    <mergeCell ref="AI4:AN4"/>
    <mergeCell ref="AO4:AT4"/>
    <mergeCell ref="AU4:AZ4"/>
    <mergeCell ref="BA4:BF4"/>
    <mergeCell ref="BG4:BL4"/>
    <mergeCell ref="BM4:BR4"/>
    <mergeCell ref="CE4:CJ4"/>
    <mergeCell ref="BS4:BX4"/>
    <mergeCell ref="BY4:CD4"/>
    <mergeCell ref="FK4:FP4"/>
    <mergeCell ref="FQ4:FV4"/>
    <mergeCell ref="FW4:GB4"/>
    <mergeCell ref="ES4:EX4"/>
    <mergeCell ref="EY4:FD4"/>
    <mergeCell ref="EM4:ER4"/>
    <mergeCell ref="FE4:FJ4"/>
    <mergeCell ref="GC4:GH4"/>
    <mergeCell ref="GO4:GT4"/>
    <mergeCell ref="GU4:GZ4"/>
    <mergeCell ref="HA4:HF4"/>
    <mergeCell ref="DC4:DH4"/>
    <mergeCell ref="DI4:DN4"/>
    <mergeCell ref="DO4:DT4"/>
    <mergeCell ref="DU4:DZ4"/>
    <mergeCell ref="EA4:EF4"/>
  </mergeCells>
  <hyperlinks>
    <hyperlink ref="C1" location="BG!A1" display="BG"/>
  </hyperlinks>
  <printOptions/>
  <pageMargins left="0.7" right="0.7" top="0.75" bottom="0.75" header="0.3" footer="0.3"/>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S19"/>
  <sheetViews>
    <sheetView zoomScalePageLayoutView="0" workbookViewId="0" topLeftCell="A1">
      <selection activeCell="B7" sqref="B7"/>
    </sheetView>
  </sheetViews>
  <sheetFormatPr defaultColWidth="11.421875" defaultRowHeight="15"/>
  <cols>
    <col min="1" max="1" width="26.7109375" style="114" customWidth="1"/>
    <col min="2" max="3" width="22.7109375" style="114" customWidth="1"/>
    <col min="4" max="19" width="11.421875" style="114" customWidth="1"/>
  </cols>
  <sheetData>
    <row r="1" spans="1:6" ht="14.25">
      <c r="A1" s="114" t="str">
        <f>Indice!C1</f>
        <v>NEGOFIN S.A.E.C.A.</v>
      </c>
      <c r="F1" s="133" t="s">
        <v>131</v>
      </c>
    </row>
    <row r="4" spans="1:4" ht="14.25">
      <c r="A4" s="967" t="s">
        <v>321</v>
      </c>
      <c r="B4" s="967"/>
      <c r="C4" s="967"/>
      <c r="D4" s="967"/>
    </row>
    <row r="5" spans="2:3" ht="14.25">
      <c r="B5" s="963" t="s">
        <v>309</v>
      </c>
      <c r="C5" s="963"/>
    </row>
    <row r="6" spans="1:5" ht="14.25">
      <c r="A6" s="130" t="s">
        <v>124</v>
      </c>
      <c r="B6" s="359">
        <f>_xlfn.IFERROR(IF(Indice!B6="","2XX2",YEAR(Indice!B6)),"2XX2")</f>
        <v>2022</v>
      </c>
      <c r="C6" s="359">
        <f>_xlfn.IFERROR(YEAR(Indice!B6-365),"2XX1")</f>
        <v>2021</v>
      </c>
      <c r="D6" s="126"/>
      <c r="E6" s="428"/>
    </row>
    <row r="7" spans="1:19" s="413" customFormat="1" ht="14.25">
      <c r="A7" s="127" t="s">
        <v>953</v>
      </c>
      <c r="B7" s="428">
        <v>2469634.513</v>
      </c>
      <c r="C7" s="428">
        <v>2189032.114</v>
      </c>
      <c r="D7" s="127"/>
      <c r="E7" s="428"/>
      <c r="F7" s="114"/>
      <c r="G7" s="114"/>
      <c r="H7" s="114"/>
      <c r="I7" s="114"/>
      <c r="J7" s="114"/>
      <c r="K7" s="114"/>
      <c r="L7" s="114"/>
      <c r="M7" s="114"/>
      <c r="N7" s="114"/>
      <c r="O7" s="114"/>
      <c r="P7" s="114"/>
      <c r="Q7" s="114"/>
      <c r="R7" s="114"/>
      <c r="S7" s="114"/>
    </row>
    <row r="8" spans="1:19" s="413" customFormat="1" ht="14.25">
      <c r="A8" s="127" t="s">
        <v>954</v>
      </c>
      <c r="B8" s="428">
        <v>744859.941</v>
      </c>
      <c r="C8" s="428">
        <v>683987.213</v>
      </c>
      <c r="D8" s="127"/>
      <c r="E8" s="428"/>
      <c r="F8" s="114"/>
      <c r="G8" s="114"/>
      <c r="H8" s="114"/>
      <c r="I8" s="114"/>
      <c r="J8" s="114"/>
      <c r="K8" s="114"/>
      <c r="L8" s="114"/>
      <c r="M8" s="114"/>
      <c r="N8" s="114"/>
      <c r="O8" s="114"/>
      <c r="P8" s="114"/>
      <c r="Q8" s="114"/>
      <c r="R8" s="114"/>
      <c r="S8" s="114"/>
    </row>
    <row r="9" spans="1:19" s="413" customFormat="1" ht="14.25">
      <c r="A9" s="127" t="s">
        <v>955</v>
      </c>
      <c r="B9" s="428">
        <v>16003.182</v>
      </c>
      <c r="C9" s="428">
        <v>16003.182</v>
      </c>
      <c r="D9" s="127"/>
      <c r="E9" s="429"/>
      <c r="F9" s="114"/>
      <c r="G9" s="114"/>
      <c r="H9" s="114"/>
      <c r="I9" s="114"/>
      <c r="J9" s="114"/>
      <c r="K9" s="114"/>
      <c r="L9" s="114"/>
      <c r="M9" s="114"/>
      <c r="N9" s="114"/>
      <c r="O9" s="114"/>
      <c r="P9" s="114"/>
      <c r="Q9" s="114"/>
      <c r="R9" s="114"/>
      <c r="S9" s="114"/>
    </row>
    <row r="10" spans="1:4" ht="16.5" customHeight="1">
      <c r="A10" s="128" t="s">
        <v>162</v>
      </c>
      <c r="B10" s="429">
        <v>-2860913.11</v>
      </c>
      <c r="C10" s="429">
        <v>-2822325.042</v>
      </c>
      <c r="D10" s="629"/>
    </row>
    <row r="11" spans="1:6" ht="14.25">
      <c r="A11" s="129"/>
      <c r="B11" s="429"/>
      <c r="C11" s="429"/>
      <c r="D11" s="128"/>
      <c r="E11" s="127"/>
      <c r="F11" s="127"/>
    </row>
    <row r="12" spans="1:3" ht="14.25">
      <c r="A12" s="117" t="s">
        <v>129</v>
      </c>
      <c r="B12" s="430">
        <f>SUM(B7:B11)</f>
        <v>369584.52600000007</v>
      </c>
      <c r="C12" s="430">
        <f>SUM(C7:C11)</f>
        <v>66697.46700000018</v>
      </c>
    </row>
    <row r="13" spans="1:4" ht="14.25">
      <c r="A13" s="129"/>
      <c r="D13" s="128"/>
    </row>
    <row r="14" spans="1:4" ht="14.25">
      <c r="A14" s="128"/>
      <c r="D14" s="128"/>
    </row>
    <row r="15" spans="1:6" ht="14.25">
      <c r="A15" s="129"/>
      <c r="D15" s="128"/>
      <c r="E15" s="127"/>
      <c r="F15" s="127"/>
    </row>
    <row r="17" ht="14.25">
      <c r="A17" s="117"/>
    </row>
    <row r="18" spans="1:4" ht="14.25">
      <c r="A18" s="126"/>
      <c r="D18" s="126"/>
    </row>
    <row r="19" ht="14.25">
      <c r="A19" s="129"/>
    </row>
  </sheetData>
  <sheetProtection/>
  <mergeCells count="2">
    <mergeCell ref="A4:D4"/>
    <mergeCell ref="B5:C5"/>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13"/>
  <sheetViews>
    <sheetView zoomScalePageLayoutView="0" workbookViewId="0" topLeftCell="A1">
      <selection activeCell="C17" sqref="C17"/>
    </sheetView>
  </sheetViews>
  <sheetFormatPr defaultColWidth="11.421875" defaultRowHeight="15"/>
  <cols>
    <col min="1" max="1" width="24.7109375" style="114" customWidth="1"/>
    <col min="2" max="2" width="17.140625" style="114" customWidth="1"/>
    <col min="3" max="3" width="17.28125" style="114" customWidth="1"/>
    <col min="4" max="13" width="11.421875" style="114" customWidth="1"/>
  </cols>
  <sheetData>
    <row r="1" spans="1:5" ht="14.25">
      <c r="A1" s="114" t="str">
        <f>Indice!C1</f>
        <v>NEGOFIN S.A.E.C.A.</v>
      </c>
      <c r="E1" s="133" t="s">
        <v>131</v>
      </c>
    </row>
    <row r="5" spans="1:4" ht="14.25">
      <c r="A5" s="293" t="s">
        <v>322</v>
      </c>
      <c r="B5" s="293"/>
      <c r="C5" s="293"/>
      <c r="D5" s="293"/>
    </row>
    <row r="6" spans="2:3" ht="14.25">
      <c r="B6" s="963" t="s">
        <v>309</v>
      </c>
      <c r="C6" s="963"/>
    </row>
    <row r="7" spans="1:4" ht="14.25">
      <c r="A7" s="131" t="s">
        <v>130</v>
      </c>
      <c r="B7" s="359">
        <f>_xlfn.IFERROR(IF(Indice!B6="","2XX2",YEAR(Indice!B6)),"2XX2")</f>
        <v>2022</v>
      </c>
      <c r="C7" s="359">
        <f>_xlfn.IFERROR(YEAR(Indice!B6-365),"2XX1")</f>
        <v>2021</v>
      </c>
      <c r="D7" s="126"/>
    </row>
    <row r="8" spans="1:4" ht="14.25">
      <c r="A8" s="127"/>
      <c r="B8" s="127"/>
      <c r="C8" s="127"/>
      <c r="D8" s="127"/>
    </row>
    <row r="9" spans="1:4" ht="14.25">
      <c r="A9" s="128"/>
      <c r="D9" s="128"/>
    </row>
    <row r="10" spans="1:4" ht="14.25">
      <c r="A10" s="129"/>
      <c r="D10" s="128"/>
    </row>
    <row r="11" spans="1:3" ht="14.25">
      <c r="A11" s="117" t="s">
        <v>129</v>
      </c>
      <c r="B11" s="238">
        <f>SUM(B8:B10)</f>
        <v>0</v>
      </c>
      <c r="C11" s="238">
        <f>SUM(C8:C10)</f>
        <v>0</v>
      </c>
    </row>
    <row r="12" spans="1:4" ht="14.25">
      <c r="A12" s="129"/>
      <c r="D12" s="128"/>
    </row>
    <row r="13" spans="1:4" ht="14.25">
      <c r="A13" s="128"/>
      <c r="D13" s="128"/>
    </row>
  </sheetData>
  <sheetProtection/>
  <mergeCells count="1">
    <mergeCell ref="B6:C6"/>
  </mergeCells>
  <hyperlinks>
    <hyperlink ref="E1" location="BG!A1" display="BG"/>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E22"/>
  <sheetViews>
    <sheetView showGridLines="0" zoomScalePageLayoutView="0" workbookViewId="0" topLeftCell="A1">
      <selection activeCell="A11" sqref="A11:E11"/>
    </sheetView>
  </sheetViews>
  <sheetFormatPr defaultColWidth="11.421875" defaultRowHeight="15"/>
  <cols>
    <col min="1" max="1" width="38.57421875" style="277" customWidth="1"/>
    <col min="2" max="2" width="34.140625" style="277" customWidth="1"/>
    <col min="3" max="3" width="34.421875" style="277" bestFit="1" customWidth="1"/>
    <col min="4" max="4" width="18.421875" style="277" customWidth="1"/>
    <col min="5" max="5" width="18.7109375" style="277" customWidth="1"/>
    <col min="6" max="16384" width="11.421875" style="277" customWidth="1"/>
  </cols>
  <sheetData>
    <row r="1" spans="1:3" ht="14.25">
      <c r="A1" s="277" t="str">
        <f>Indice!C1</f>
        <v>NEGOFIN S.A.E.C.A.</v>
      </c>
      <c r="B1" s="132"/>
      <c r="C1" s="390" t="s">
        <v>131</v>
      </c>
    </row>
    <row r="4" spans="1:5" ht="14.25">
      <c r="A4" s="293" t="s">
        <v>324</v>
      </c>
      <c r="B4" s="293"/>
      <c r="C4" s="293"/>
      <c r="D4" s="293"/>
      <c r="E4" s="293"/>
    </row>
    <row r="5" ht="14.25">
      <c r="A5" s="357" t="s">
        <v>309</v>
      </c>
    </row>
    <row r="6" spans="1:4" ht="14.25">
      <c r="A6" s="294" t="s">
        <v>835</v>
      </c>
      <c r="B6" s="294"/>
      <c r="C6" s="294"/>
      <c r="D6" s="294"/>
    </row>
    <row r="7" ht="14.25">
      <c r="E7" s="239"/>
    </row>
    <row r="8" spans="1:5" ht="14.25">
      <c r="A8" s="93" t="s">
        <v>64</v>
      </c>
      <c r="B8" s="374" t="s">
        <v>179</v>
      </c>
      <c r="C8" s="374" t="s">
        <v>476</v>
      </c>
      <c r="D8" s="375">
        <f>_xlfn.IFERROR(IF(Indice!B6="","2XX2",YEAR(Indice!B6)),"2XX2")</f>
        <v>2022</v>
      </c>
      <c r="E8" s="375">
        <f>_xlfn.IFERROR(YEAR(Indice!B6-365),"2XX1")</f>
        <v>2021</v>
      </c>
    </row>
    <row r="9" spans="1:5" ht="14.25">
      <c r="A9" s="277" t="s">
        <v>475</v>
      </c>
      <c r="B9" s="292"/>
      <c r="C9" s="297">
        <f>_xlfn.IFERROR(VLOOKUP(B9,'Base de Monedas'!A:B,2,0),"")</f>
      </c>
      <c r="D9" s="465">
        <v>0</v>
      </c>
      <c r="E9" s="420">
        <v>0</v>
      </c>
    </row>
    <row r="10" spans="1:5" ht="14.25">
      <c r="A10" s="280" t="s">
        <v>112</v>
      </c>
      <c r="B10" s="292"/>
      <c r="C10" s="297">
        <f>_xlfn.IFERROR(VLOOKUP(B10,'Base de Monedas'!A:B,2,0),"")</f>
      </c>
      <c r="D10" s="432">
        <v>0</v>
      </c>
      <c r="E10" s="420">
        <v>0</v>
      </c>
    </row>
    <row r="11" spans="1:5" ht="14.25">
      <c r="A11" s="280" t="s">
        <v>113</v>
      </c>
      <c r="B11" s="292"/>
      <c r="C11" s="297">
        <f>_xlfn.IFERROR(VLOOKUP(B11,'Base de Monedas'!A:B,2,0),"")</f>
      </c>
      <c r="D11" s="425">
        <v>643346.701</v>
      </c>
      <c r="E11" s="425">
        <v>745296.545</v>
      </c>
    </row>
    <row r="12" spans="1:5" ht="14.25">
      <c r="A12" s="296" t="s">
        <v>65</v>
      </c>
      <c r="B12" s="292"/>
      <c r="C12" s="297">
        <f>_xlfn.IFERROR(VLOOKUP(B12,'Base de Monedas'!A:B,2,0),"")</f>
      </c>
      <c r="D12" s="425"/>
      <c r="E12" s="466"/>
    </row>
    <row r="13" spans="1:5" ht="15" thickBot="1">
      <c r="A13" s="9" t="s">
        <v>114</v>
      </c>
      <c r="B13" s="7"/>
      <c r="C13" s="11"/>
      <c r="D13" s="467">
        <f>SUM($D$9:D11)</f>
        <v>643346.701</v>
      </c>
      <c r="E13" s="467">
        <f>SUM($E$9:E11)</f>
        <v>745296.545</v>
      </c>
    </row>
    <row r="14" spans="1:5" ht="15" thickTop="1">
      <c r="A14" s="9"/>
      <c r="B14" s="7"/>
      <c r="C14" s="11"/>
      <c r="D14" s="286"/>
      <c r="E14" s="286"/>
    </row>
    <row r="16" ht="14.25">
      <c r="D16" s="239"/>
    </row>
    <row r="17" spans="1:5" ht="14.25">
      <c r="A17" s="93" t="s">
        <v>834</v>
      </c>
      <c r="B17" s="374" t="s">
        <v>179</v>
      </c>
      <c r="C17" s="374">
        <v>5850172.838</v>
      </c>
      <c r="D17" s="375">
        <f>_xlfn.IFERROR(YEAR(Indice!B6),"2XX2")</f>
        <v>2022</v>
      </c>
      <c r="E17" s="375">
        <f>_xlfn.IFERROR(YEAR(Indice!B6-365),"2XX1")</f>
        <v>2021</v>
      </c>
    </row>
    <row r="18" spans="1:5" ht="14.25">
      <c r="A18" s="277" t="s">
        <v>475</v>
      </c>
      <c r="B18" s="292"/>
      <c r="C18" s="297">
        <f>_xlfn.IFERROR(VLOOKUP(B18,'Base de Monedas'!A:B,2,0),"")</f>
      </c>
      <c r="D18" s="465">
        <v>0</v>
      </c>
      <c r="E18" s="420">
        <v>0</v>
      </c>
    </row>
    <row r="19" spans="1:5" ht="14.25">
      <c r="A19" s="280" t="s">
        <v>112</v>
      </c>
      <c r="B19" s="292"/>
      <c r="C19" s="297">
        <f>_xlfn.IFERROR(VLOOKUP(B19,'Base de Monedas'!A:B,2,0),"")</f>
      </c>
      <c r="D19" s="432">
        <v>0</v>
      </c>
      <c r="E19" s="420">
        <v>0</v>
      </c>
    </row>
    <row r="20" spans="1:5" ht="14.25">
      <c r="A20" s="280" t="s">
        <v>113</v>
      </c>
      <c r="B20" s="292"/>
      <c r="C20" s="297">
        <f>_xlfn.IFERROR(VLOOKUP(B20,'Base de Monedas'!A:B,2,0),"")</f>
      </c>
      <c r="D20" s="425">
        <v>0</v>
      </c>
      <c r="E20" s="466">
        <v>0</v>
      </c>
    </row>
    <row r="21" spans="1:5" ht="14.25">
      <c r="A21" s="296" t="s">
        <v>65</v>
      </c>
      <c r="B21" s="292"/>
      <c r="C21" s="297">
        <f>_xlfn.IFERROR(VLOOKUP(B21,'Base de Monedas'!A:B,2,0),"")</f>
      </c>
      <c r="D21" s="425">
        <v>0</v>
      </c>
      <c r="E21" s="466">
        <v>0</v>
      </c>
    </row>
    <row r="22" spans="1:5" ht="15" thickBot="1">
      <c r="A22" s="9" t="s">
        <v>114</v>
      </c>
      <c r="B22" s="7"/>
      <c r="C22" s="11"/>
      <c r="D22" s="467">
        <f>SUM($D$18:D20)</f>
        <v>0</v>
      </c>
      <c r="E22" s="467">
        <f>SUM($E$18:E21)</f>
        <v>0</v>
      </c>
    </row>
    <row r="23" ht="1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2"/>
  <drawing r:id="rId1"/>
</worksheet>
</file>

<file path=xl/worksheets/sheet19.xml><?xml version="1.0" encoding="utf-8"?>
<worksheet xmlns="http://schemas.openxmlformats.org/spreadsheetml/2006/main" xmlns:r="http://schemas.openxmlformats.org/officeDocument/2006/relationships">
  <dimension ref="A1:Q159"/>
  <sheetViews>
    <sheetView showGridLines="0" zoomScale="70" zoomScaleNormal="70" zoomScalePageLayoutView="0" workbookViewId="0" topLeftCell="A64">
      <selection activeCell="E102" sqref="E102"/>
    </sheetView>
  </sheetViews>
  <sheetFormatPr defaultColWidth="11.421875" defaultRowHeight="15"/>
  <cols>
    <col min="1" max="1" width="45.140625" style="0" customWidth="1"/>
    <col min="2" max="2" width="16.00390625" style="0" customWidth="1"/>
    <col min="3" max="3" width="22.140625" style="0" customWidth="1"/>
    <col min="4" max="4" width="16.421875" style="292" customWidth="1"/>
    <col min="5" max="5" width="20.421875" style="292" bestFit="1" customWidth="1"/>
    <col min="6" max="6" width="18.57421875" style="0" customWidth="1"/>
    <col min="7" max="7" width="3.28125" style="0" customWidth="1"/>
    <col min="8" max="8" width="29.421875" style="413" bestFit="1" customWidth="1"/>
    <col min="9" max="9" width="15.8515625" style="292" bestFit="1" customWidth="1"/>
    <col min="10" max="10" width="23.28125" style="280" customWidth="1"/>
    <col min="11" max="11" width="18.140625" style="280" customWidth="1"/>
    <col min="12" max="12" width="20.421875" style="0" bestFit="1" customWidth="1"/>
    <col min="13" max="13" width="17.7109375" style="0" customWidth="1"/>
    <col min="14" max="14" width="12.7109375" style="455" bestFit="1" customWidth="1"/>
    <col min="15" max="15" width="13.7109375" style="461" bestFit="1" customWidth="1"/>
    <col min="17" max="17" width="13.7109375" style="0" bestFit="1" customWidth="1"/>
  </cols>
  <sheetData>
    <row r="1" spans="1:13" ht="15" customHeight="1">
      <c r="A1" t="str">
        <f>Indice!C1</f>
        <v>NEGOFIN S.A.E.C.A.</v>
      </c>
      <c r="E1" s="205" t="s">
        <v>131</v>
      </c>
      <c r="M1" s="132" t="s">
        <v>131</v>
      </c>
    </row>
    <row r="2" ht="15" customHeight="1"/>
    <row r="3" ht="15" customHeight="1"/>
    <row r="4" spans="1:13" ht="15" customHeight="1">
      <c r="A4" s="311" t="s">
        <v>325</v>
      </c>
      <c r="B4" s="311"/>
      <c r="C4" s="311"/>
      <c r="D4" s="440"/>
      <c r="E4" s="440"/>
      <c r="F4" s="311"/>
      <c r="G4" s="311"/>
      <c r="H4" s="311"/>
      <c r="I4" s="440"/>
      <c r="J4" s="311"/>
      <c r="K4" s="311"/>
      <c r="L4" s="311"/>
      <c r="M4" s="311"/>
    </row>
    <row r="5" ht="15" customHeight="1"/>
    <row r="6" ht="15" customHeight="1">
      <c r="A6" t="s">
        <v>853</v>
      </c>
    </row>
    <row r="7" ht="15" customHeight="1">
      <c r="A7" t="s">
        <v>329</v>
      </c>
    </row>
    <row r="8" spans="4:15" s="280" customFormat="1" ht="15" customHeight="1">
      <c r="D8" s="292"/>
      <c r="E8" s="292"/>
      <c r="H8" s="413"/>
      <c r="I8" s="292"/>
      <c r="N8" s="455"/>
      <c r="O8" s="461"/>
    </row>
    <row r="9" spans="1:13" ht="15" customHeight="1">
      <c r="A9" s="93" t="s">
        <v>64</v>
      </c>
      <c r="B9" s="230"/>
      <c r="C9" s="239"/>
      <c r="D9" s="411"/>
      <c r="E9" s="411"/>
      <c r="F9" s="230"/>
      <c r="J9" s="239"/>
      <c r="K9" s="239"/>
      <c r="L9" s="239"/>
      <c r="M9" s="239"/>
    </row>
    <row r="10" spans="1:13" ht="15" customHeight="1">
      <c r="A10" s="15"/>
      <c r="B10" s="376"/>
      <c r="C10" s="376"/>
      <c r="D10" s="359">
        <f>_xlfn.IFERROR(IF(Indice!B6="","2XX2",YEAR(Indice!B6)),"2XX2")</f>
        <v>2022</v>
      </c>
      <c r="E10" s="358"/>
      <c r="F10" s="376"/>
      <c r="I10" s="358"/>
      <c r="J10" s="376"/>
      <c r="K10" s="359">
        <f>_xlfn.IFERROR(YEAR(Indice!B6-365),"2XX1")</f>
        <v>2021</v>
      </c>
      <c r="L10" s="376"/>
      <c r="M10" s="376"/>
    </row>
    <row r="11" spans="1:13" ht="15" customHeight="1">
      <c r="A11" s="118" t="s">
        <v>841</v>
      </c>
      <c r="B11" s="119" t="s">
        <v>116</v>
      </c>
      <c r="C11" s="295" t="s">
        <v>838</v>
      </c>
      <c r="D11" s="295" t="s">
        <v>326</v>
      </c>
      <c r="E11" s="118" t="s">
        <v>845</v>
      </c>
      <c r="F11" s="119" t="s">
        <v>118</v>
      </c>
      <c r="H11" s="118" t="s">
        <v>841</v>
      </c>
      <c r="I11" s="119" t="s">
        <v>116</v>
      </c>
      <c r="J11" s="295" t="s">
        <v>838</v>
      </c>
      <c r="K11" s="295" t="s">
        <v>326</v>
      </c>
      <c r="L11" s="118" t="s">
        <v>845</v>
      </c>
      <c r="M11" s="119" t="s">
        <v>118</v>
      </c>
    </row>
    <row r="12" spans="1:13" ht="15" customHeight="1">
      <c r="A12" t="s">
        <v>1221</v>
      </c>
      <c r="B12" s="437">
        <v>44975</v>
      </c>
      <c r="C12" s="292" t="s">
        <v>430</v>
      </c>
      <c r="D12" s="292" t="str">
        <f>_xlfn.IFERROR(VLOOKUP(C12,'Base de Monedas'!A:B,2,0),"")</f>
        <v>Guaraní</v>
      </c>
      <c r="E12" s="872">
        <v>1141666.67</v>
      </c>
      <c r="F12" s="292" t="s">
        <v>967</v>
      </c>
      <c r="H12" s="674" t="s">
        <v>1221</v>
      </c>
      <c r="I12" s="437">
        <v>44645</v>
      </c>
      <c r="J12" s="292" t="s">
        <v>430</v>
      </c>
      <c r="K12" s="292" t="s">
        <v>753</v>
      </c>
      <c r="L12" s="460">
        <v>1437499.997</v>
      </c>
      <c r="M12" s="292" t="s">
        <v>967</v>
      </c>
    </row>
    <row r="13" spans="1:13" ht="15" customHeight="1">
      <c r="A13" s="711" t="s">
        <v>1221</v>
      </c>
      <c r="B13" s="444">
        <v>45015</v>
      </c>
      <c r="C13" s="683" t="s">
        <v>430</v>
      </c>
      <c r="D13" s="683" t="str">
        <f>_xlfn.IFERROR(VLOOKUP(C13,'Base de Monedas'!A:B,2,0),"")</f>
        <v>Guaraní</v>
      </c>
      <c r="E13" s="872">
        <v>1875000</v>
      </c>
      <c r="F13" s="292" t="s">
        <v>967</v>
      </c>
      <c r="H13" s="674" t="s">
        <v>1221</v>
      </c>
      <c r="I13" s="437">
        <v>44795</v>
      </c>
      <c r="J13" s="292" t="s">
        <v>430</v>
      </c>
      <c r="K13" s="292" t="s">
        <v>753</v>
      </c>
      <c r="L13" s="586">
        <v>6533333.332</v>
      </c>
      <c r="M13" s="292" t="s">
        <v>967</v>
      </c>
    </row>
    <row r="14" spans="1:15" s="413" customFormat="1" ht="15" customHeight="1">
      <c r="A14" s="711" t="s">
        <v>1221</v>
      </c>
      <c r="B14" s="437">
        <v>45037</v>
      </c>
      <c r="C14" s="683" t="s">
        <v>430</v>
      </c>
      <c r="D14" s="683" t="str">
        <f>_xlfn.IFERROR(VLOOKUP(C14,'Base de Monedas'!A:B,2,0),"")</f>
        <v>Guaraní</v>
      </c>
      <c r="E14" s="872">
        <v>6000000</v>
      </c>
      <c r="F14" s="292" t="s">
        <v>967</v>
      </c>
      <c r="H14" s="674" t="s">
        <v>1221</v>
      </c>
      <c r="I14" s="437">
        <v>44879</v>
      </c>
      <c r="J14" s="292" t="s">
        <v>430</v>
      </c>
      <c r="K14" s="292" t="s">
        <v>753</v>
      </c>
      <c r="L14" s="586">
        <v>4858333.333</v>
      </c>
      <c r="M14" s="292" t="s">
        <v>967</v>
      </c>
      <c r="N14" s="455"/>
      <c r="O14" s="461"/>
    </row>
    <row r="15" spans="1:15" s="413" customFormat="1" ht="15" customHeight="1">
      <c r="A15" s="711" t="s">
        <v>1221</v>
      </c>
      <c r="B15" s="437">
        <v>45037</v>
      </c>
      <c r="C15" s="683" t="s">
        <v>430</v>
      </c>
      <c r="D15" s="683" t="str">
        <f>_xlfn.IFERROR(VLOOKUP(C15,'Base de Monedas'!A:B,2,0),"")</f>
        <v>Guaraní</v>
      </c>
      <c r="E15" s="872">
        <v>2000000</v>
      </c>
      <c r="F15" s="292" t="s">
        <v>967</v>
      </c>
      <c r="H15" s="674" t="s">
        <v>1221</v>
      </c>
      <c r="I15" s="437">
        <v>44924</v>
      </c>
      <c r="J15" s="292" t="s">
        <v>430</v>
      </c>
      <c r="K15" s="292" t="s">
        <v>753</v>
      </c>
      <c r="L15" s="586">
        <v>10000000</v>
      </c>
      <c r="M15" s="292" t="s">
        <v>967</v>
      </c>
      <c r="N15" s="455"/>
      <c r="O15" s="461"/>
    </row>
    <row r="16" spans="1:15" s="645" customFormat="1" ht="15" customHeight="1">
      <c r="A16" s="711" t="s">
        <v>1221</v>
      </c>
      <c r="B16" s="437">
        <v>45128</v>
      </c>
      <c r="C16" s="683" t="s">
        <v>430</v>
      </c>
      <c r="D16" s="683" t="str">
        <f>_xlfn.IFERROR(VLOOKUP(C16,'Base de Monedas'!A:B,2,0),"")</f>
        <v>Guaraní</v>
      </c>
      <c r="E16" s="872">
        <v>7000000</v>
      </c>
      <c r="F16" s="292" t="s">
        <v>967</v>
      </c>
      <c r="H16" s="674" t="s">
        <v>1221</v>
      </c>
      <c r="I16" s="437" t="s">
        <v>968</v>
      </c>
      <c r="J16" s="292" t="s">
        <v>968</v>
      </c>
      <c r="K16" s="292" t="s">
        <v>968</v>
      </c>
      <c r="L16" s="586" t="s">
        <v>968</v>
      </c>
      <c r="M16" s="292" t="s">
        <v>968</v>
      </c>
      <c r="N16" s="455"/>
      <c r="O16" s="461"/>
    </row>
    <row r="17" spans="1:15" s="739" customFormat="1" ht="15" customHeight="1">
      <c r="A17" s="739" t="s">
        <v>1221</v>
      </c>
      <c r="B17" s="437">
        <v>45254</v>
      </c>
      <c r="C17" s="683" t="s">
        <v>430</v>
      </c>
      <c r="D17" s="683" t="s">
        <v>753</v>
      </c>
      <c r="E17" s="872">
        <v>5958333.333</v>
      </c>
      <c r="F17" s="683" t="s">
        <v>967</v>
      </c>
      <c r="I17" s="437"/>
      <c r="J17" s="683"/>
      <c r="K17" s="683"/>
      <c r="L17" s="586"/>
      <c r="M17" s="683"/>
      <c r="N17" s="740"/>
      <c r="O17" s="461"/>
    </row>
    <row r="18" spans="1:15" s="413" customFormat="1" ht="15" customHeight="1">
      <c r="A18" s="413" t="s">
        <v>958</v>
      </c>
      <c r="B18" s="437">
        <v>45036</v>
      </c>
      <c r="C18" s="683" t="s">
        <v>430</v>
      </c>
      <c r="D18" s="683" t="str">
        <f>_xlfn.IFERROR(VLOOKUP(C18,'Base de Monedas'!A:B,2,0),"")</f>
        <v>Guaraní</v>
      </c>
      <c r="E18" s="872">
        <v>6666666.664</v>
      </c>
      <c r="F18" s="292" t="s">
        <v>967</v>
      </c>
      <c r="H18" s="413" t="s">
        <v>958</v>
      </c>
      <c r="I18" s="437">
        <v>44827</v>
      </c>
      <c r="J18" s="292" t="s">
        <v>430</v>
      </c>
      <c r="K18" s="292" t="s">
        <v>753</v>
      </c>
      <c r="L18" s="586">
        <v>14999999.999</v>
      </c>
      <c r="M18" s="292" t="s">
        <v>967</v>
      </c>
      <c r="N18" s="455"/>
      <c r="O18" s="461"/>
    </row>
    <row r="19" spans="1:15" s="413" customFormat="1" ht="15" customHeight="1">
      <c r="A19" s="711" t="s">
        <v>959</v>
      </c>
      <c r="B19" s="437">
        <v>44976</v>
      </c>
      <c r="C19" s="683" t="s">
        <v>430</v>
      </c>
      <c r="D19" s="683" t="str">
        <f>_xlfn.IFERROR(VLOOKUP(C19,'Base de Monedas'!A:B,2,0),"")</f>
        <v>Guaraní</v>
      </c>
      <c r="E19" s="872">
        <v>2104795.519</v>
      </c>
      <c r="F19" s="683" t="s">
        <v>967</v>
      </c>
      <c r="H19" s="413" t="s">
        <v>958</v>
      </c>
      <c r="I19" s="437" t="s">
        <v>968</v>
      </c>
      <c r="J19" s="292" t="s">
        <v>968</v>
      </c>
      <c r="K19" s="292" t="s">
        <v>968</v>
      </c>
      <c r="L19" s="586" t="s">
        <v>968</v>
      </c>
      <c r="M19" s="292" t="s">
        <v>968</v>
      </c>
      <c r="N19" s="455"/>
      <c r="O19" s="461"/>
    </row>
    <row r="20" spans="1:15" s="413" customFormat="1" ht="15" customHeight="1">
      <c r="A20" s="711" t="s">
        <v>959</v>
      </c>
      <c r="B20" s="437">
        <v>44983</v>
      </c>
      <c r="C20" s="683" t="s">
        <v>430</v>
      </c>
      <c r="D20" s="683" t="str">
        <f>_xlfn.IFERROR(VLOOKUP(C20,'Base de Monedas'!A:B,2,0),"")</f>
        <v>Guaraní</v>
      </c>
      <c r="E20" s="872">
        <v>1373692.574</v>
      </c>
      <c r="F20" s="683" t="s">
        <v>967</v>
      </c>
      <c r="H20" s="583" t="s">
        <v>958</v>
      </c>
      <c r="I20" s="437" t="s">
        <v>968</v>
      </c>
      <c r="J20" s="292" t="s">
        <v>968</v>
      </c>
      <c r="K20" s="292" t="s">
        <v>968</v>
      </c>
      <c r="L20" s="586" t="s">
        <v>968</v>
      </c>
      <c r="M20" s="292" t="s">
        <v>968</v>
      </c>
      <c r="N20" s="455"/>
      <c r="O20" s="461"/>
    </row>
    <row r="21" spans="1:15" s="413" customFormat="1" ht="15" customHeight="1">
      <c r="A21" s="711" t="s">
        <v>959</v>
      </c>
      <c r="B21" s="437">
        <v>45008</v>
      </c>
      <c r="C21" s="683" t="s">
        <v>430</v>
      </c>
      <c r="D21" s="683" t="str">
        <f>_xlfn.IFERROR(VLOOKUP(C21,'Base de Monedas'!A:B,2,0),"")</f>
        <v>Guaraní</v>
      </c>
      <c r="E21" s="872">
        <v>2587480.006</v>
      </c>
      <c r="F21" s="683" t="s">
        <v>967</v>
      </c>
      <c r="H21" s="413" t="s">
        <v>959</v>
      </c>
      <c r="I21" s="437">
        <v>44674</v>
      </c>
      <c r="J21" s="292" t="s">
        <v>430</v>
      </c>
      <c r="K21" s="292" t="s">
        <v>753</v>
      </c>
      <c r="L21" s="586">
        <v>1427385.534</v>
      </c>
      <c r="M21" s="292" t="s">
        <v>967</v>
      </c>
      <c r="N21" s="455"/>
      <c r="O21" s="461"/>
    </row>
    <row r="22" spans="1:15" s="739" customFormat="1" ht="15" customHeight="1">
      <c r="A22" s="739" t="s">
        <v>959</v>
      </c>
      <c r="B22" s="437">
        <v>45049</v>
      </c>
      <c r="C22" s="683" t="s">
        <v>430</v>
      </c>
      <c r="D22" s="683" t="str">
        <f>_xlfn.IFERROR(VLOOKUP(C22,'Base de Monedas'!A:B,2,0),"")</f>
        <v>Guaraní</v>
      </c>
      <c r="E22" s="872">
        <v>4269141.278</v>
      </c>
      <c r="F22" s="683" t="s">
        <v>967</v>
      </c>
      <c r="I22" s="437"/>
      <c r="J22" s="683"/>
      <c r="K22" s="683"/>
      <c r="L22" s="586"/>
      <c r="M22" s="683"/>
      <c r="N22" s="740"/>
      <c r="O22" s="461"/>
    </row>
    <row r="23" spans="1:15" s="739" customFormat="1" ht="15" customHeight="1">
      <c r="A23" s="739" t="s">
        <v>959</v>
      </c>
      <c r="B23" s="437">
        <v>45283</v>
      </c>
      <c r="C23" s="683" t="s">
        <v>430</v>
      </c>
      <c r="D23" s="683" t="str">
        <f>_xlfn.IFERROR(VLOOKUP(C23,'Base de Monedas'!A:B,2,0),"")</f>
        <v>Guaraní</v>
      </c>
      <c r="E23" s="872">
        <v>4250000</v>
      </c>
      <c r="F23" s="683" t="s">
        <v>967</v>
      </c>
      <c r="I23" s="437"/>
      <c r="J23" s="683"/>
      <c r="K23" s="683"/>
      <c r="L23" s="586"/>
      <c r="M23" s="683"/>
      <c r="N23" s="740"/>
      <c r="O23" s="461"/>
    </row>
    <row r="24" spans="1:15" s="413" customFormat="1" ht="15" customHeight="1">
      <c r="A24" s="711" t="s">
        <v>960</v>
      </c>
      <c r="B24" s="437">
        <v>44997</v>
      </c>
      <c r="C24" s="683" t="s">
        <v>430</v>
      </c>
      <c r="D24" s="683" t="str">
        <f>_xlfn.IFERROR(VLOOKUP(C24,'Base de Monedas'!A:B,2,0),"")</f>
        <v>Guaraní</v>
      </c>
      <c r="E24" s="872">
        <v>1939500</v>
      </c>
      <c r="F24" s="683" t="s">
        <v>967</v>
      </c>
      <c r="H24" s="413" t="s">
        <v>959</v>
      </c>
      <c r="I24" s="437">
        <v>44823</v>
      </c>
      <c r="J24" s="292" t="s">
        <v>430</v>
      </c>
      <c r="K24" s="292" t="s">
        <v>753</v>
      </c>
      <c r="L24" s="586">
        <v>4235808.058</v>
      </c>
      <c r="M24" s="292" t="s">
        <v>967</v>
      </c>
      <c r="N24" s="455"/>
      <c r="O24" s="461"/>
    </row>
    <row r="25" spans="1:15" s="645" customFormat="1" ht="15" customHeight="1">
      <c r="A25" s="711" t="s">
        <v>960</v>
      </c>
      <c r="B25" s="437">
        <v>45250</v>
      </c>
      <c r="C25" s="292" t="s">
        <v>430</v>
      </c>
      <c r="D25" s="292" t="str">
        <f>_xlfn.IFERROR(VLOOKUP(C25,'Base de Monedas'!A:B,2,0),"")</f>
        <v>Guaraní</v>
      </c>
      <c r="E25" s="872">
        <v>4580583.333</v>
      </c>
      <c r="F25" s="292" t="s">
        <v>967</v>
      </c>
      <c r="H25" s="674" t="s">
        <v>959</v>
      </c>
      <c r="I25" s="437" t="s">
        <v>968</v>
      </c>
      <c r="J25" s="292" t="s">
        <v>968</v>
      </c>
      <c r="K25" s="292" t="s">
        <v>968</v>
      </c>
      <c r="L25" s="586" t="s">
        <v>968</v>
      </c>
      <c r="M25" s="292" t="s">
        <v>968</v>
      </c>
      <c r="N25" s="455"/>
      <c r="O25" s="461"/>
    </row>
    <row r="26" spans="1:15" s="413" customFormat="1" ht="15" customHeight="1">
      <c r="A26" s="413" t="s">
        <v>960</v>
      </c>
      <c r="B26" s="437">
        <v>45018</v>
      </c>
      <c r="C26" s="292" t="s">
        <v>430</v>
      </c>
      <c r="D26" s="292" t="str">
        <f>_xlfn.IFERROR(VLOOKUP(C26,'Base de Monedas'!A:B,2,0),"")</f>
        <v>Guaraní</v>
      </c>
      <c r="E26" s="586">
        <v>5333333.334</v>
      </c>
      <c r="F26" s="292" t="s">
        <v>967</v>
      </c>
      <c r="H26" s="641" t="s">
        <v>960</v>
      </c>
      <c r="I26" s="437">
        <v>44764</v>
      </c>
      <c r="J26" s="292" t="s">
        <v>430</v>
      </c>
      <c r="K26" s="292" t="s">
        <v>753</v>
      </c>
      <c r="L26" s="586">
        <v>7758333.335</v>
      </c>
      <c r="M26" s="292" t="s">
        <v>967</v>
      </c>
      <c r="N26" s="455"/>
      <c r="O26" s="461"/>
    </row>
    <row r="27" spans="1:15" s="739" customFormat="1" ht="15" customHeight="1">
      <c r="A27" s="739" t="s">
        <v>960</v>
      </c>
      <c r="B27" s="437">
        <v>45018</v>
      </c>
      <c r="C27" s="683" t="s">
        <v>430</v>
      </c>
      <c r="D27" s="683" t="str">
        <f>_xlfn.IFERROR(VLOOKUP(C27,'Base de Monedas'!A:B,2,0),"")</f>
        <v>Guaraní</v>
      </c>
      <c r="E27" s="586">
        <v>5400000</v>
      </c>
      <c r="F27" s="683" t="s">
        <v>967</v>
      </c>
      <c r="I27" s="437"/>
      <c r="J27" s="683"/>
      <c r="K27" s="683"/>
      <c r="L27" s="586"/>
      <c r="M27" s="683"/>
      <c r="N27" s="740"/>
      <c r="O27" s="461"/>
    </row>
    <row r="28" spans="1:15" s="739" customFormat="1" ht="15" customHeight="1">
      <c r="A28" s="739" t="s">
        <v>960</v>
      </c>
      <c r="B28" s="437">
        <v>45018</v>
      </c>
      <c r="C28" s="683" t="s">
        <v>430</v>
      </c>
      <c r="D28" s="683" t="str">
        <f>_xlfn.IFERROR(VLOOKUP(C28,'Base de Monedas'!A:B,2,0),"")</f>
        <v>Guaraní</v>
      </c>
      <c r="E28" s="586">
        <v>4000000</v>
      </c>
      <c r="F28" s="683" t="s">
        <v>967</v>
      </c>
      <c r="I28" s="437"/>
      <c r="J28" s="683"/>
      <c r="K28" s="683"/>
      <c r="L28" s="586"/>
      <c r="M28" s="683"/>
      <c r="N28" s="740"/>
      <c r="O28" s="461"/>
    </row>
    <row r="29" spans="1:15" s="413" customFormat="1" ht="15" customHeight="1">
      <c r="A29" s="413" t="s">
        <v>962</v>
      </c>
      <c r="B29" s="437">
        <v>45245</v>
      </c>
      <c r="C29" s="292" t="s">
        <v>430</v>
      </c>
      <c r="D29" s="292" t="str">
        <f>_xlfn.IFERROR(VLOOKUP(C29,'Base de Monedas'!A:B,2,0),"")</f>
        <v>Guaraní</v>
      </c>
      <c r="E29" s="586">
        <v>4820904.48</v>
      </c>
      <c r="F29" s="292" t="s">
        <v>967</v>
      </c>
      <c r="H29" s="413" t="s">
        <v>962</v>
      </c>
      <c r="I29" s="438">
        <v>44886</v>
      </c>
      <c r="J29" s="292" t="s">
        <v>430</v>
      </c>
      <c r="K29" s="292" t="s">
        <v>753</v>
      </c>
      <c r="L29" s="443">
        <v>4594398.45</v>
      </c>
      <c r="M29" s="292" t="s">
        <v>967</v>
      </c>
      <c r="N29" s="455"/>
      <c r="O29" s="461"/>
    </row>
    <row r="30" spans="1:15" s="413" customFormat="1" ht="15" customHeight="1">
      <c r="A30" s="413" t="s">
        <v>962</v>
      </c>
      <c r="B30" s="437" t="s">
        <v>968</v>
      </c>
      <c r="C30" s="437" t="s">
        <v>968</v>
      </c>
      <c r="D30" s="437" t="s">
        <v>968</v>
      </c>
      <c r="E30" s="437" t="s">
        <v>968</v>
      </c>
      <c r="F30" s="683" t="s">
        <v>968</v>
      </c>
      <c r="H30" s="674" t="s">
        <v>964</v>
      </c>
      <c r="I30" s="457">
        <v>44642</v>
      </c>
      <c r="J30" s="292" t="s">
        <v>430</v>
      </c>
      <c r="K30" s="292" t="s">
        <v>753</v>
      </c>
      <c r="L30" s="586">
        <v>1637532.811</v>
      </c>
      <c r="M30" s="292" t="s">
        <v>967</v>
      </c>
      <c r="N30" s="455"/>
      <c r="O30" s="461"/>
    </row>
    <row r="31" spans="1:15" s="413" customFormat="1" ht="15" customHeight="1">
      <c r="A31" s="413" t="s">
        <v>964</v>
      </c>
      <c r="B31" s="437" t="s">
        <v>968</v>
      </c>
      <c r="C31" s="437" t="s">
        <v>968</v>
      </c>
      <c r="D31" s="437" t="s">
        <v>968</v>
      </c>
      <c r="E31" s="437" t="s">
        <v>968</v>
      </c>
      <c r="F31" s="683" t="s">
        <v>968</v>
      </c>
      <c r="G31" s="611"/>
      <c r="H31" s="641" t="s">
        <v>964</v>
      </c>
      <c r="I31" s="437">
        <v>44799</v>
      </c>
      <c r="J31" s="292" t="s">
        <v>430</v>
      </c>
      <c r="K31" s="292" t="s">
        <v>753</v>
      </c>
      <c r="L31" s="586">
        <v>4714996.021</v>
      </c>
      <c r="M31" s="292" t="s">
        <v>967</v>
      </c>
      <c r="N31" s="455"/>
      <c r="O31" s="461"/>
    </row>
    <row r="32" spans="1:15" s="413" customFormat="1" ht="15" customHeight="1">
      <c r="A32" s="413" t="s">
        <v>964</v>
      </c>
      <c r="B32" s="437" t="s">
        <v>968</v>
      </c>
      <c r="C32" s="437" t="s">
        <v>968</v>
      </c>
      <c r="D32" s="437" t="s">
        <v>968</v>
      </c>
      <c r="E32" s="437" t="s">
        <v>968</v>
      </c>
      <c r="F32" s="683" t="s">
        <v>968</v>
      </c>
      <c r="H32" s="641" t="s">
        <v>964</v>
      </c>
      <c r="I32" s="437" t="s">
        <v>968</v>
      </c>
      <c r="J32" s="292" t="s">
        <v>968</v>
      </c>
      <c r="K32" s="292" t="s">
        <v>968</v>
      </c>
      <c r="L32" s="460" t="s">
        <v>968</v>
      </c>
      <c r="M32" s="292" t="s">
        <v>968</v>
      </c>
      <c r="N32" s="455"/>
      <c r="O32" s="461"/>
    </row>
    <row r="33" spans="1:15" s="413" customFormat="1" ht="15" customHeight="1">
      <c r="A33" s="413" t="s">
        <v>969</v>
      </c>
      <c r="B33" s="437">
        <v>44979</v>
      </c>
      <c r="C33" s="683" t="s">
        <v>430</v>
      </c>
      <c r="D33" s="683" t="str">
        <f>_xlfn.IFERROR(VLOOKUP(C33,'Base de Monedas'!A:B,2,0),"")</f>
        <v>Guaraní</v>
      </c>
      <c r="E33" s="586">
        <v>3390659.482</v>
      </c>
      <c r="F33" s="683" t="s">
        <v>967</v>
      </c>
      <c r="G33" s="674"/>
      <c r="H33" s="674" t="s">
        <v>969</v>
      </c>
      <c r="I33" s="437">
        <v>44675</v>
      </c>
      <c r="J33" s="292" t="s">
        <v>430</v>
      </c>
      <c r="K33" s="292">
        <f>_xlfn.IFERROR(VLOOKUP(J33,#REF!,2,0),"")</f>
      </c>
      <c r="L33" s="441">
        <v>4000000</v>
      </c>
      <c r="M33" s="292" t="s">
        <v>967</v>
      </c>
      <c r="N33" s="455"/>
      <c r="O33" s="461"/>
    </row>
    <row r="34" spans="1:15" s="413" customFormat="1" ht="15" customHeight="1">
      <c r="A34" s="413" t="s">
        <v>969</v>
      </c>
      <c r="B34" s="437">
        <v>45005</v>
      </c>
      <c r="C34" s="292" t="s">
        <v>430</v>
      </c>
      <c r="D34" s="292" t="str">
        <f>_xlfn.IFERROR(VLOOKUP(C34,'Base de Monedas'!A:B,2,0),"")</f>
        <v>Guaraní</v>
      </c>
      <c r="E34" s="586">
        <v>1174999.997</v>
      </c>
      <c r="F34" s="292" t="s">
        <v>967</v>
      </c>
      <c r="H34" s="674" t="s">
        <v>969</v>
      </c>
      <c r="I34" s="437">
        <v>44891</v>
      </c>
      <c r="J34" s="292" t="s">
        <v>430</v>
      </c>
      <c r="K34" s="292">
        <f>_xlfn.IFERROR(VLOOKUP(J34,#REF!,2,0),"")</f>
      </c>
      <c r="L34" s="442">
        <v>6416666.667</v>
      </c>
      <c r="M34" s="292" t="s">
        <v>967</v>
      </c>
      <c r="N34" s="455"/>
      <c r="O34" s="461"/>
    </row>
    <row r="35" spans="1:15" s="413" customFormat="1" ht="15" customHeight="1">
      <c r="A35" s="645" t="s">
        <v>969</v>
      </c>
      <c r="B35" s="437">
        <v>45040</v>
      </c>
      <c r="C35" s="292" t="s">
        <v>430</v>
      </c>
      <c r="D35" s="292" t="str">
        <f>_xlfn.IFERROR(VLOOKUP(C35,'Base de Monedas'!A:B,2,0),"")</f>
        <v>Guaraní</v>
      </c>
      <c r="E35" s="586">
        <v>3333333.333</v>
      </c>
      <c r="F35" s="292" t="s">
        <v>967</v>
      </c>
      <c r="H35" s="413" t="s">
        <v>970</v>
      </c>
      <c r="I35" s="437" t="s">
        <v>968</v>
      </c>
      <c r="J35" s="292" t="s">
        <v>968</v>
      </c>
      <c r="K35" s="292" t="s">
        <v>968</v>
      </c>
      <c r="L35" s="460" t="s">
        <v>968</v>
      </c>
      <c r="M35" s="292" t="s">
        <v>968</v>
      </c>
      <c r="N35" s="292"/>
      <c r="O35" s="461"/>
    </row>
    <row r="36" spans="1:15" s="413" customFormat="1" ht="15" customHeight="1">
      <c r="A36" s="739" t="s">
        <v>969</v>
      </c>
      <c r="B36" s="437">
        <v>45042</v>
      </c>
      <c r="C36" s="683" t="s">
        <v>430</v>
      </c>
      <c r="D36" s="683" t="str">
        <f>_xlfn.IFERROR(VLOOKUP(C36,'Base de Monedas'!A:B,2,0),"")</f>
        <v>Guaraní</v>
      </c>
      <c r="E36" s="586">
        <v>2500000</v>
      </c>
      <c r="F36" s="683" t="s">
        <v>967</v>
      </c>
      <c r="H36" s="583" t="s">
        <v>971</v>
      </c>
      <c r="I36" s="437" t="s">
        <v>968</v>
      </c>
      <c r="J36" s="292" t="s">
        <v>968</v>
      </c>
      <c r="K36" s="292" t="s">
        <v>968</v>
      </c>
      <c r="L36" s="460" t="s">
        <v>968</v>
      </c>
      <c r="M36" s="292" t="s">
        <v>968</v>
      </c>
      <c r="N36" s="455"/>
      <c r="O36" s="461"/>
    </row>
    <row r="37" spans="1:15" s="413" customFormat="1" ht="15" customHeight="1">
      <c r="A37" s="739" t="s">
        <v>969</v>
      </c>
      <c r="B37" s="438">
        <v>45087</v>
      </c>
      <c r="C37" s="292" t="s">
        <v>430</v>
      </c>
      <c r="D37" s="292" t="str">
        <f>_xlfn.IFERROR(VLOOKUP(C37,'Base de Monedas'!A:B,2,0),"")</f>
        <v>Guaraní</v>
      </c>
      <c r="E37" s="669">
        <v>2500000</v>
      </c>
      <c r="F37" s="292" t="s">
        <v>967</v>
      </c>
      <c r="H37" s="674" t="s">
        <v>972</v>
      </c>
      <c r="I37" s="438">
        <v>44648</v>
      </c>
      <c r="J37" s="292" t="s">
        <v>430</v>
      </c>
      <c r="K37" s="292">
        <f>_xlfn.IFERROR(VLOOKUP(J37,#REF!,2,0),"")</f>
      </c>
      <c r="L37" s="441">
        <v>2572211.451</v>
      </c>
      <c r="M37" s="292" t="s">
        <v>967</v>
      </c>
      <c r="N37" s="455"/>
      <c r="O37" s="461"/>
    </row>
    <row r="38" spans="1:15" s="413" customFormat="1" ht="15" customHeight="1">
      <c r="A38" s="413" t="s">
        <v>972</v>
      </c>
      <c r="B38" s="437">
        <v>45009</v>
      </c>
      <c r="C38" s="292" t="s">
        <v>430</v>
      </c>
      <c r="D38" s="292" t="str">
        <f>_xlfn.IFERROR(VLOOKUP(C38,'Base de Monedas'!A:B,2,0),"")</f>
        <v>Guaraní</v>
      </c>
      <c r="E38" s="442">
        <v>1561039.161</v>
      </c>
      <c r="F38" s="292" t="s">
        <v>967</v>
      </c>
      <c r="H38" s="674" t="s">
        <v>972</v>
      </c>
      <c r="I38" s="437">
        <v>44890</v>
      </c>
      <c r="J38" s="292" t="s">
        <v>430</v>
      </c>
      <c r="K38" s="292">
        <f>_xlfn.IFERROR(VLOOKUP(J38,#REF!,2,0),"")</f>
      </c>
      <c r="L38" s="442">
        <v>13808483.456</v>
      </c>
      <c r="M38" s="292" t="s">
        <v>967</v>
      </c>
      <c r="N38" s="455"/>
      <c r="O38" s="461"/>
    </row>
    <row r="39" spans="1:15" s="641" customFormat="1" ht="15" customHeight="1">
      <c r="A39" s="641" t="s">
        <v>972</v>
      </c>
      <c r="B39" s="437">
        <v>45044</v>
      </c>
      <c r="C39" s="683" t="s">
        <v>430</v>
      </c>
      <c r="D39" s="683" t="str">
        <f>_xlfn.IFERROR(VLOOKUP(C39,'Base de Monedas'!A:B,2,0),"")</f>
        <v>Guaraní</v>
      </c>
      <c r="E39" s="442">
        <v>6922336.13</v>
      </c>
      <c r="F39" s="292" t="s">
        <v>967</v>
      </c>
      <c r="H39" s="674" t="s">
        <v>972</v>
      </c>
      <c r="I39" s="437">
        <v>44916</v>
      </c>
      <c r="J39" s="292" t="s">
        <v>430</v>
      </c>
      <c r="K39" s="292">
        <f>_xlfn.IFERROR(VLOOKUP(J39,#REF!,2,0),"")</f>
      </c>
      <c r="L39" s="442">
        <v>20000000</v>
      </c>
      <c r="M39" s="292" t="s">
        <v>967</v>
      </c>
      <c r="N39" s="455"/>
      <c r="O39" s="461"/>
    </row>
    <row r="40" spans="1:15" s="413" customFormat="1" ht="15" customHeight="1">
      <c r="A40" s="413" t="s">
        <v>963</v>
      </c>
      <c r="B40" s="437">
        <v>44670</v>
      </c>
      <c r="C40" s="292" t="s">
        <v>430</v>
      </c>
      <c r="D40" s="292" t="str">
        <f>_xlfn.IFERROR(VLOOKUP(C40,'Base de Monedas'!A:B,2,0),"")</f>
        <v>Guaraní</v>
      </c>
      <c r="E40" s="441">
        <v>3111759.42</v>
      </c>
      <c r="F40" s="292" t="s">
        <v>967</v>
      </c>
      <c r="H40" s="612" t="s">
        <v>963</v>
      </c>
      <c r="I40" s="437">
        <v>44741</v>
      </c>
      <c r="J40" s="292" t="s">
        <v>430</v>
      </c>
      <c r="K40" s="292" t="s">
        <v>753</v>
      </c>
      <c r="L40" s="460">
        <v>2927939.561</v>
      </c>
      <c r="M40" s="292" t="s">
        <v>967</v>
      </c>
      <c r="N40" s="455"/>
      <c r="O40" s="461"/>
    </row>
    <row r="41" spans="1:15" s="747" customFormat="1" ht="15" customHeight="1">
      <c r="A41" s="747" t="s">
        <v>963</v>
      </c>
      <c r="B41" s="437">
        <v>44881</v>
      </c>
      <c r="C41" s="683" t="s">
        <v>430</v>
      </c>
      <c r="D41" s="683" t="s">
        <v>753</v>
      </c>
      <c r="E41" s="441">
        <v>5094480.239</v>
      </c>
      <c r="F41" s="683" t="s">
        <v>967</v>
      </c>
      <c r="I41" s="437"/>
      <c r="J41" s="683"/>
      <c r="K41" s="683"/>
      <c r="L41" s="460"/>
      <c r="M41" s="683"/>
      <c r="N41" s="748"/>
      <c r="O41" s="461"/>
    </row>
    <row r="42" spans="1:15" s="413" customFormat="1" ht="15" customHeight="1">
      <c r="A42" s="583" t="s">
        <v>1350</v>
      </c>
      <c r="B42" s="437">
        <v>45021</v>
      </c>
      <c r="C42" s="683" t="s">
        <v>430</v>
      </c>
      <c r="D42" s="683" t="str">
        <f>_xlfn.IFERROR(VLOOKUP(C42,'Base de Monedas'!A:B,2,0),"")</f>
        <v>Guaraní</v>
      </c>
      <c r="E42" s="442">
        <v>2709008.463</v>
      </c>
      <c r="F42" s="683" t="s">
        <v>967</v>
      </c>
      <c r="H42" s="413" t="s">
        <v>963</v>
      </c>
      <c r="I42" s="437" t="s">
        <v>968</v>
      </c>
      <c r="J42" s="292" t="s">
        <v>968</v>
      </c>
      <c r="K42" s="292" t="s">
        <v>968</v>
      </c>
      <c r="L42" s="460" t="s">
        <v>968</v>
      </c>
      <c r="M42" s="292" t="s">
        <v>968</v>
      </c>
      <c r="N42" s="455"/>
      <c r="O42" s="461"/>
    </row>
    <row r="43" spans="1:15" s="747" customFormat="1" ht="15" customHeight="1">
      <c r="A43" s="747" t="s">
        <v>1350</v>
      </c>
      <c r="B43" s="437">
        <v>45273</v>
      </c>
      <c r="C43" s="683" t="s">
        <v>430</v>
      </c>
      <c r="D43" s="683" t="str">
        <f>_xlfn.IFERROR(VLOOKUP(C43,'Base de Monedas'!A:B,2,0),"")</f>
        <v>Guaraní</v>
      </c>
      <c r="E43" s="442">
        <v>5040236.506</v>
      </c>
      <c r="F43" s="683" t="s">
        <v>967</v>
      </c>
      <c r="I43" s="437"/>
      <c r="J43" s="683"/>
      <c r="K43" s="683"/>
      <c r="L43" s="460"/>
      <c r="M43" s="683"/>
      <c r="N43" s="748"/>
      <c r="O43" s="461"/>
    </row>
    <row r="44" spans="1:13" ht="15" customHeight="1">
      <c r="A44" s="583" t="s">
        <v>1222</v>
      </c>
      <c r="B44" s="439">
        <v>45104</v>
      </c>
      <c r="C44" s="292" t="s">
        <v>430</v>
      </c>
      <c r="D44" s="292" t="str">
        <f>_xlfn.IFERROR(VLOOKUP(C44,'Base de Monedas'!A:B,2,0),"")</f>
        <v>Guaraní</v>
      </c>
      <c r="E44" s="441">
        <v>5139374.525</v>
      </c>
      <c r="F44" s="292" t="s">
        <v>967</v>
      </c>
      <c r="H44" s="413" t="s">
        <v>973</v>
      </c>
      <c r="I44" s="437" t="s">
        <v>968</v>
      </c>
      <c r="J44" s="292" t="s">
        <v>968</v>
      </c>
      <c r="K44" s="292" t="s">
        <v>968</v>
      </c>
      <c r="L44" s="460" t="s">
        <v>968</v>
      </c>
      <c r="M44" s="292" t="s">
        <v>968</v>
      </c>
    </row>
    <row r="45" spans="1:15" s="747" customFormat="1" ht="15" customHeight="1">
      <c r="A45" s="747" t="s">
        <v>1222</v>
      </c>
      <c r="B45" s="439">
        <v>45281</v>
      </c>
      <c r="C45" s="683" t="s">
        <v>430</v>
      </c>
      <c r="D45" s="683" t="str">
        <f>_xlfn.IFERROR(VLOOKUP(C45,'Base de Monedas'!A:B,2,0),"")</f>
        <v>Guaraní</v>
      </c>
      <c r="E45" s="441">
        <v>10066713.636</v>
      </c>
      <c r="F45" s="683" t="s">
        <v>967</v>
      </c>
      <c r="I45" s="437"/>
      <c r="J45" s="683"/>
      <c r="K45" s="683"/>
      <c r="L45" s="460"/>
      <c r="M45" s="683"/>
      <c r="N45" s="748"/>
      <c r="O45" s="461"/>
    </row>
    <row r="46" spans="1:13" ht="15" customHeight="1">
      <c r="A46" s="747" t="s">
        <v>966</v>
      </c>
      <c r="B46" s="439">
        <v>45251</v>
      </c>
      <c r="C46" s="292" t="s">
        <v>430</v>
      </c>
      <c r="D46" s="292" t="str">
        <f>_xlfn.IFERROR(VLOOKUP(C46,'Base de Monedas'!A:B,2,0),"")</f>
        <v>Guaraní</v>
      </c>
      <c r="E46" s="441">
        <v>4585854.167</v>
      </c>
      <c r="F46" s="292" t="s">
        <v>967</v>
      </c>
      <c r="H46" s="641" t="s">
        <v>1180</v>
      </c>
      <c r="I46" s="437">
        <v>44856</v>
      </c>
      <c r="J46" s="292" t="s">
        <v>430</v>
      </c>
      <c r="K46" s="292" t="s">
        <v>753</v>
      </c>
      <c r="L46" s="460">
        <v>8386263.949</v>
      </c>
      <c r="M46" s="292" t="s">
        <v>967</v>
      </c>
    </row>
    <row r="47" spans="1:13" ht="15" customHeight="1">
      <c r="A47" s="413" t="s">
        <v>966</v>
      </c>
      <c r="B47" s="439">
        <v>45247</v>
      </c>
      <c r="C47" s="292" t="s">
        <v>430</v>
      </c>
      <c r="D47" s="292" t="str">
        <f>_xlfn.IFERROR(VLOOKUP(C47,'Base de Monedas'!A:B,2,0),"")</f>
        <v>Guaraní</v>
      </c>
      <c r="E47" s="441">
        <v>3668683.333</v>
      </c>
      <c r="F47" s="292" t="s">
        <v>967</v>
      </c>
      <c r="H47" s="674" t="s">
        <v>966</v>
      </c>
      <c r="I47" s="439">
        <v>44862</v>
      </c>
      <c r="J47" s="292" t="s">
        <v>430</v>
      </c>
      <c r="K47" s="292">
        <f>_xlfn.IFERROR(VLOOKUP(J47,#REF!,2,0),"")</f>
      </c>
      <c r="L47" s="441">
        <v>7279150.349</v>
      </c>
      <c r="M47" s="292" t="s">
        <v>967</v>
      </c>
    </row>
    <row r="48" spans="1:15" s="747" customFormat="1" ht="15" customHeight="1">
      <c r="A48" s="747" t="s">
        <v>1364</v>
      </c>
      <c r="B48" s="439">
        <v>45244</v>
      </c>
      <c r="C48" s="683" t="s">
        <v>430</v>
      </c>
      <c r="D48" s="683" t="str">
        <f>_xlfn.IFERROR(VLOOKUP(C48,'Base de Monedas'!A:B,2,0),"")</f>
        <v>Guaraní</v>
      </c>
      <c r="E48" s="441">
        <v>9235009.422</v>
      </c>
      <c r="F48" s="683" t="s">
        <v>967</v>
      </c>
      <c r="I48" s="439"/>
      <c r="J48" s="683"/>
      <c r="K48" s="683"/>
      <c r="L48" s="441"/>
      <c r="M48" s="683"/>
      <c r="N48" s="748"/>
      <c r="O48" s="461"/>
    </row>
    <row r="49" spans="1:15" s="747" customFormat="1" ht="15" customHeight="1">
      <c r="A49" s="747" t="s">
        <v>1365</v>
      </c>
      <c r="B49" s="439">
        <v>45055</v>
      </c>
      <c r="C49" s="683" t="s">
        <v>430</v>
      </c>
      <c r="D49" s="683" t="str">
        <f>_xlfn.IFERROR(VLOOKUP(C49,'Base de Monedas'!A:B,2,0),"")</f>
        <v>Guaraní</v>
      </c>
      <c r="E49" s="441">
        <v>2524511.521</v>
      </c>
      <c r="F49" s="683" t="s">
        <v>967</v>
      </c>
      <c r="I49" s="439"/>
      <c r="J49" s="683"/>
      <c r="K49" s="683"/>
      <c r="L49" s="441"/>
      <c r="M49" s="683"/>
      <c r="N49" s="748"/>
      <c r="O49" s="461"/>
    </row>
    <row r="50" spans="1:15" s="747" customFormat="1" ht="15" customHeight="1">
      <c r="A50" s="747" t="s">
        <v>1365</v>
      </c>
      <c r="B50" s="439">
        <v>45271</v>
      </c>
      <c r="C50" s="683" t="s">
        <v>430</v>
      </c>
      <c r="D50" s="683" t="str">
        <f>_xlfn.IFERROR(VLOOKUP(C50,'Base de Monedas'!A:B,2,0),"")</f>
        <v>Guaraní</v>
      </c>
      <c r="E50" s="441">
        <v>10016500</v>
      </c>
      <c r="F50" s="683" t="s">
        <v>967</v>
      </c>
      <c r="I50" s="439"/>
      <c r="J50" s="683"/>
      <c r="K50" s="683"/>
      <c r="L50" s="441"/>
      <c r="M50" s="683"/>
      <c r="N50" s="748"/>
      <c r="O50" s="461"/>
    </row>
    <row r="51" spans="2:15" s="747" customFormat="1" ht="15" customHeight="1">
      <c r="B51" s="439"/>
      <c r="C51" s="683"/>
      <c r="D51" s="683"/>
      <c r="E51" s="441"/>
      <c r="F51" s="683"/>
      <c r="I51" s="439"/>
      <c r="J51" s="683"/>
      <c r="K51" s="683"/>
      <c r="L51" s="441"/>
      <c r="M51" s="683"/>
      <c r="N51" s="748"/>
      <c r="O51" s="461"/>
    </row>
    <row r="52" spans="1:13" ht="15" customHeight="1">
      <c r="A52" s="458" t="s">
        <v>984</v>
      </c>
      <c r="B52" s="292">
        <v>2022</v>
      </c>
      <c r="C52" s="292" t="s">
        <v>430</v>
      </c>
      <c r="D52" s="292" t="str">
        <f>_xlfn.IFERROR(VLOOKUP(C52,'Base de Monedas'!A:B,2,0),"")</f>
        <v>Guaraní</v>
      </c>
      <c r="E52" s="441">
        <v>136185278.261</v>
      </c>
      <c r="F52" s="292" t="s">
        <v>985</v>
      </c>
      <c r="H52" s="458" t="s">
        <v>984</v>
      </c>
      <c r="I52" s="292">
        <v>2021</v>
      </c>
      <c r="J52" s="292" t="s">
        <v>430</v>
      </c>
      <c r="K52" s="292" t="s">
        <v>753</v>
      </c>
      <c r="L52" s="627">
        <v>78276477.71</v>
      </c>
      <c r="M52" s="292" t="s">
        <v>985</v>
      </c>
    </row>
    <row r="53" spans="1:13" ht="15" customHeight="1">
      <c r="A53" s="458" t="s">
        <v>990</v>
      </c>
      <c r="B53" s="292">
        <v>2022</v>
      </c>
      <c r="C53" s="292" t="s">
        <v>430</v>
      </c>
      <c r="D53" s="292" t="str">
        <f>_xlfn.IFERROR(VLOOKUP(C53,'Base de Monedas'!A:B,2,0),"")</f>
        <v>Guaraní</v>
      </c>
      <c r="E53" s="460">
        <v>0</v>
      </c>
      <c r="F53" s="292" t="s">
        <v>985</v>
      </c>
      <c r="H53" s="458" t="s">
        <v>990</v>
      </c>
      <c r="I53" s="292">
        <v>2021</v>
      </c>
      <c r="J53" s="292" t="s">
        <v>430</v>
      </c>
      <c r="K53" s="292" t="s">
        <v>753</v>
      </c>
      <c r="L53" s="627">
        <v>22503.17</v>
      </c>
      <c r="M53" s="627" t="s">
        <v>985</v>
      </c>
    </row>
    <row r="54" spans="1:13" ht="15" customHeight="1">
      <c r="A54" s="312" t="s">
        <v>122</v>
      </c>
      <c r="B54" s="292" t="s">
        <v>961</v>
      </c>
      <c r="C54" s="292"/>
      <c r="D54" s="292">
        <f>_xlfn.IFERROR(VLOOKUP(C54,'Base de Monedas'!A:B,2,0),"")</f>
      </c>
      <c r="H54" s="312" t="s">
        <v>122</v>
      </c>
      <c r="I54" s="292" t="s">
        <v>961</v>
      </c>
      <c r="J54" s="292"/>
      <c r="K54" s="292" t="s">
        <v>1213</v>
      </c>
      <c r="L54" s="627"/>
      <c r="M54" s="627"/>
    </row>
    <row r="55" spans="1:13" ht="15" customHeight="1">
      <c r="A55" s="118" t="s">
        <v>839</v>
      </c>
      <c r="B55" s="292"/>
      <c r="C55" s="292"/>
      <c r="D55" s="292">
        <f>_xlfn.IFERROR(VLOOKUP(C55,'Base de Monedas'!A:B,2,0),"")</f>
      </c>
      <c r="H55" s="118" t="s">
        <v>839</v>
      </c>
      <c r="J55" s="292"/>
      <c r="K55" s="641" t="s">
        <v>1213</v>
      </c>
      <c r="L55" s="641"/>
      <c r="M55" s="641"/>
    </row>
    <row r="56" spans="1:13" ht="15" customHeight="1">
      <c r="A56" s="280" t="s">
        <v>837</v>
      </c>
      <c r="B56" s="292" t="s">
        <v>961</v>
      </c>
      <c r="C56" s="292"/>
      <c r="D56" s="292">
        <f>_xlfn.IFERROR(VLOOKUP(C56,'Base de Monedas'!A:B,2,0),"")</f>
      </c>
      <c r="E56" s="627"/>
      <c r="H56" s="641" t="s">
        <v>837</v>
      </c>
      <c r="I56" s="292" t="s">
        <v>961</v>
      </c>
      <c r="J56" s="292"/>
      <c r="K56" s="641" t="s">
        <v>1213</v>
      </c>
      <c r="L56" s="641" t="s">
        <v>968</v>
      </c>
      <c r="M56" s="641"/>
    </row>
    <row r="57" spans="1:13" ht="15" customHeight="1">
      <c r="A57" s="280" t="s">
        <v>837</v>
      </c>
      <c r="B57" s="292" t="s">
        <v>961</v>
      </c>
      <c r="C57" s="292"/>
      <c r="D57" s="292">
        <f>_xlfn.IFERROR(VLOOKUP(C57,'Base de Monedas'!A:B,2,0),"")</f>
      </c>
      <c r="H57" s="641" t="s">
        <v>837</v>
      </c>
      <c r="I57" s="292" t="s">
        <v>961</v>
      </c>
      <c r="J57" s="292"/>
      <c r="K57" s="641" t="s">
        <v>1213</v>
      </c>
      <c r="L57" s="641"/>
      <c r="M57" s="641"/>
    </row>
    <row r="58" spans="1:13" ht="15" customHeight="1">
      <c r="A58" s="312" t="s">
        <v>121</v>
      </c>
      <c r="B58" s="292" t="s">
        <v>961</v>
      </c>
      <c r="C58" s="292"/>
      <c r="D58" s="292">
        <f>_xlfn.IFERROR(VLOOKUP(C58,'Base de Monedas'!A:B,2,0),"")</f>
      </c>
      <c r="H58" s="312" t="s">
        <v>121</v>
      </c>
      <c r="I58" s="292" t="s">
        <v>961</v>
      </c>
      <c r="J58" s="292"/>
      <c r="K58" s="641" t="s">
        <v>1213</v>
      </c>
      <c r="L58" s="641"/>
      <c r="M58" s="641"/>
    </row>
    <row r="59" spans="1:17" ht="15" customHeight="1">
      <c r="A59" t="s">
        <v>251</v>
      </c>
      <c r="B59" s="292" t="s">
        <v>961</v>
      </c>
      <c r="C59" s="292"/>
      <c r="D59" s="292">
        <f>_xlfn.IFERROR(VLOOKUP(C59,'Base de Monedas'!A:B,2,0),"")</f>
      </c>
      <c r="H59" s="641" t="s">
        <v>251</v>
      </c>
      <c r="I59" s="292" t="s">
        <v>961</v>
      </c>
      <c r="J59" s="292"/>
      <c r="K59" s="641" t="s">
        <v>1213</v>
      </c>
      <c r="L59" s="641"/>
      <c r="M59" s="641"/>
      <c r="O59" s="462"/>
      <c r="Q59" s="416"/>
    </row>
    <row r="60" spans="1:17" s="280" customFormat="1" ht="15" customHeight="1">
      <c r="A60" s="312" t="s">
        <v>122</v>
      </c>
      <c r="B60" s="292" t="s">
        <v>961</v>
      </c>
      <c r="C60" s="292"/>
      <c r="D60" s="292">
        <f>_xlfn.IFERROR(VLOOKUP(C60,'Base de Monedas'!A:B,2,0),"")</f>
      </c>
      <c r="E60" s="420"/>
      <c r="F60"/>
      <c r="H60" s="312" t="s">
        <v>122</v>
      </c>
      <c r="I60" s="292" t="s">
        <v>961</v>
      </c>
      <c r="J60" s="292"/>
      <c r="K60" s="641" t="s">
        <v>1213</v>
      </c>
      <c r="L60" s="641"/>
      <c r="M60" s="641"/>
      <c r="N60" s="462"/>
      <c r="O60" s="461"/>
      <c r="Q60" s="416"/>
    </row>
    <row r="61" spans="1:15" s="413" customFormat="1" ht="15" customHeight="1">
      <c r="A61" s="93" t="s">
        <v>842</v>
      </c>
      <c r="B61" s="292"/>
      <c r="C61" s="292"/>
      <c r="D61" s="292"/>
      <c r="E61" s="420"/>
      <c r="F61"/>
      <c r="H61" s="93" t="s">
        <v>842</v>
      </c>
      <c r="I61" s="292"/>
      <c r="J61" s="292"/>
      <c r="K61" s="641"/>
      <c r="L61" s="641"/>
      <c r="M61" s="641"/>
      <c r="N61" s="455"/>
      <c r="O61" s="461"/>
    </row>
    <row r="62" spans="1:15" s="413" customFormat="1" ht="15" customHeight="1">
      <c r="A62" t="s">
        <v>840</v>
      </c>
      <c r="B62" s="292"/>
      <c r="C62" s="292" t="s">
        <v>430</v>
      </c>
      <c r="D62" s="292" t="str">
        <f>_xlfn.IFERROR(VLOOKUP(C62,'Base de Monedas'!A:B,2,0),"")</f>
        <v>Guaraní</v>
      </c>
      <c r="E62" s="420">
        <v>6178041.586</v>
      </c>
      <c r="F62"/>
      <c r="H62" s="641" t="s">
        <v>840</v>
      </c>
      <c r="I62" s="292"/>
      <c r="J62" s="292" t="s">
        <v>430</v>
      </c>
      <c r="K62" s="641" t="s">
        <v>753</v>
      </c>
      <c r="L62" s="627">
        <v>4430155.34</v>
      </c>
      <c r="M62" s="641"/>
      <c r="N62" s="455"/>
      <c r="O62" s="461"/>
    </row>
    <row r="63" spans="1:15" s="413" customFormat="1" ht="15" customHeight="1">
      <c r="A63" s="280" t="s">
        <v>843</v>
      </c>
      <c r="B63" s="292"/>
      <c r="C63" s="292" t="s">
        <v>430</v>
      </c>
      <c r="D63" s="292" t="str">
        <f>_xlfn.IFERROR(VLOOKUP(C63,'Base de Monedas'!A:B,2,0),"")</f>
        <v>Guaraní</v>
      </c>
      <c r="E63" s="420">
        <v>-5529114.333</v>
      </c>
      <c r="F63" s="420"/>
      <c r="H63" s="641" t="s">
        <v>843</v>
      </c>
      <c r="I63" s="292"/>
      <c r="J63" s="292" t="s">
        <v>430</v>
      </c>
      <c r="K63" s="641" t="s">
        <v>753</v>
      </c>
      <c r="L63" s="627">
        <v>-4266427.786</v>
      </c>
      <c r="M63" s="641"/>
      <c r="N63" s="455"/>
      <c r="O63" s="461"/>
    </row>
    <row r="64" spans="1:15" s="413" customFormat="1" ht="15" customHeight="1">
      <c r="A64" s="93" t="s">
        <v>984</v>
      </c>
      <c r="B64" s="292"/>
      <c r="C64" s="292"/>
      <c r="D64" s="292"/>
      <c r="E64" s="420"/>
      <c r="F64" s="420"/>
      <c r="H64" s="93" t="s">
        <v>984</v>
      </c>
      <c r="I64" s="292"/>
      <c r="J64" s="292"/>
      <c r="K64" s="641"/>
      <c r="L64" s="627"/>
      <c r="M64" s="641"/>
      <c r="N64" s="455"/>
      <c r="O64" s="461"/>
    </row>
    <row r="65" spans="1:13" ht="15" customHeight="1">
      <c r="A65" s="413" t="s">
        <v>840</v>
      </c>
      <c r="B65" s="292"/>
      <c r="C65" s="292" t="s">
        <v>430</v>
      </c>
      <c r="D65" s="292" t="str">
        <f>_xlfn.IFERROR(VLOOKUP(C65,'Base de Monedas'!A:B,2,0),"")</f>
        <v>Guaraní</v>
      </c>
      <c r="E65" s="420">
        <v>7752570.973</v>
      </c>
      <c r="F65" s="420"/>
      <c r="H65" s="641" t="s">
        <v>840</v>
      </c>
      <c r="J65" s="292" t="s">
        <v>430</v>
      </c>
      <c r="K65" s="641" t="s">
        <v>753</v>
      </c>
      <c r="L65" s="627">
        <v>5056762.142</v>
      </c>
      <c r="M65" s="641"/>
    </row>
    <row r="66" spans="1:13" ht="15" customHeight="1">
      <c r="A66" s="413" t="s">
        <v>843</v>
      </c>
      <c r="B66" s="292"/>
      <c r="C66" s="292" t="s">
        <v>430</v>
      </c>
      <c r="D66" s="292" t="str">
        <f>_xlfn.IFERROR(VLOOKUP(C66,'Base de Monedas'!A:B,2,0),"")</f>
        <v>Guaraní</v>
      </c>
      <c r="E66" s="420">
        <v>-6192607.22</v>
      </c>
      <c r="F66" s="420"/>
      <c r="H66" s="641" t="s">
        <v>843</v>
      </c>
      <c r="J66" s="292" t="s">
        <v>430</v>
      </c>
      <c r="K66" s="641" t="s">
        <v>753</v>
      </c>
      <c r="L66" s="627">
        <v>-3840225.276</v>
      </c>
      <c r="M66" s="641"/>
    </row>
    <row r="67" spans="1:13" ht="15" customHeight="1">
      <c r="A67" s="458" t="s">
        <v>991</v>
      </c>
      <c r="B67" s="292"/>
      <c r="C67" s="292" t="s">
        <v>430</v>
      </c>
      <c r="D67" s="292" t="str">
        <f>_xlfn.IFERROR(VLOOKUP(C67,'Base de Monedas'!A:B,2,0),"")</f>
        <v>Guaraní</v>
      </c>
      <c r="E67" s="420">
        <v>0</v>
      </c>
      <c r="F67" s="420"/>
      <c r="G67" s="314"/>
      <c r="H67" s="458" t="s">
        <v>991</v>
      </c>
      <c r="J67" s="292" t="s">
        <v>430</v>
      </c>
      <c r="K67" s="641" t="s">
        <v>753</v>
      </c>
      <c r="L67" s="627">
        <v>2120.133</v>
      </c>
      <c r="M67" s="641"/>
    </row>
    <row r="68" spans="1:13" ht="15" customHeight="1">
      <c r="A68" s="93" t="s">
        <v>119</v>
      </c>
      <c r="B68" s="292"/>
      <c r="C68" s="292"/>
      <c r="D68" s="292">
        <f>_xlfn.IFERROR(VLOOKUP(C68,'Base de Monedas'!A:B,2,0),"")</f>
      </c>
      <c r="F68" s="442"/>
      <c r="H68" s="93" t="s">
        <v>119</v>
      </c>
      <c r="J68" s="641"/>
      <c r="K68" s="641" t="s">
        <v>1213</v>
      </c>
      <c r="L68" s="641"/>
      <c r="M68" s="641"/>
    </row>
    <row r="69" spans="1:13" ht="15" customHeight="1">
      <c r="A69" t="s">
        <v>840</v>
      </c>
      <c r="B69" s="292"/>
      <c r="C69" s="292"/>
      <c r="E69" s="420"/>
      <c r="F69" s="442"/>
      <c r="H69" s="641" t="s">
        <v>840</v>
      </c>
      <c r="J69" s="641"/>
      <c r="K69" s="641"/>
      <c r="L69" s="641"/>
      <c r="M69" s="641"/>
    </row>
    <row r="70" spans="1:13" ht="15" customHeight="1">
      <c r="A70" s="314" t="s">
        <v>843</v>
      </c>
      <c r="B70" s="315"/>
      <c r="C70" s="315"/>
      <c r="D70" s="315">
        <f>_xlfn.IFERROR(VLOOKUP(C70,'Base de Monedas'!A:B,2,0),"")</f>
      </c>
      <c r="E70" s="315"/>
      <c r="F70" s="459"/>
      <c r="H70" s="314" t="s">
        <v>843</v>
      </c>
      <c r="I70" s="315"/>
      <c r="J70" s="314"/>
      <c r="K70" s="314" t="s">
        <v>1213</v>
      </c>
      <c r="L70" s="314"/>
      <c r="M70" s="314"/>
    </row>
    <row r="71" spans="1:15" s="280" customFormat="1" ht="15" customHeight="1">
      <c r="A71" s="93" t="s">
        <v>3</v>
      </c>
      <c r="B71"/>
      <c r="C71" s="292"/>
      <c r="D71" s="292">
        <f>_xlfn.IFERROR(VLOOKUP(C71,'Base de Monedas'!A:B,2,0),"")</f>
      </c>
      <c r="E71" s="443">
        <f>SUM($E$12:E70)</f>
        <v>292269765.7929999</v>
      </c>
      <c r="F71"/>
      <c r="H71" s="413"/>
      <c r="I71" s="292"/>
      <c r="J71" s="456"/>
      <c r="K71" s="452"/>
      <c r="L71" s="443">
        <f>SUM($L$12:L70)</f>
        <v>207269701.73599997</v>
      </c>
      <c r="M71"/>
      <c r="N71" s="455"/>
      <c r="O71" s="461"/>
    </row>
    <row r="72" spans="1:15" s="280" customFormat="1" ht="15" customHeight="1">
      <c r="A72" s="93"/>
      <c r="B72"/>
      <c r="C72"/>
      <c r="D72" s="292"/>
      <c r="E72" s="443"/>
      <c r="F72"/>
      <c r="H72" s="413"/>
      <c r="I72" s="292"/>
      <c r="J72" s="456"/>
      <c r="K72" s="452"/>
      <c r="L72"/>
      <c r="M72"/>
      <c r="N72" s="455"/>
      <c r="O72" s="461"/>
    </row>
    <row r="73" spans="1:15" s="280" customFormat="1" ht="15" customHeight="1">
      <c r="A73"/>
      <c r="B73"/>
      <c r="C73"/>
      <c r="D73" s="292"/>
      <c r="E73" s="420"/>
      <c r="F73"/>
      <c r="H73" s="413"/>
      <c r="I73" s="292"/>
      <c r="J73" s="456"/>
      <c r="K73" s="452"/>
      <c r="L73"/>
      <c r="M73"/>
      <c r="N73" s="455"/>
      <c r="O73" s="461"/>
    </row>
    <row r="74" spans="1:15" s="413" customFormat="1" ht="15" customHeight="1">
      <c r="A74" s="93" t="s">
        <v>834</v>
      </c>
      <c r="B74" s="280"/>
      <c r="C74" s="280"/>
      <c r="D74" s="411"/>
      <c r="E74" s="464"/>
      <c r="F74" s="280"/>
      <c r="H74" s="641"/>
      <c r="I74" s="292"/>
      <c r="J74" s="456"/>
      <c r="K74" s="452"/>
      <c r="L74" s="641"/>
      <c r="M74" s="641"/>
      <c r="N74" s="455"/>
      <c r="O74" s="461"/>
    </row>
    <row r="75" spans="1:15" s="413" customFormat="1" ht="15" customHeight="1">
      <c r="A75" s="15"/>
      <c r="B75" s="376"/>
      <c r="C75" s="376"/>
      <c r="D75" s="359">
        <f>_xlfn.IFERROR(YEAR(Indice!B6),"2XX2")</f>
        <v>2022</v>
      </c>
      <c r="E75" s="358"/>
      <c r="F75" s="376"/>
      <c r="I75" s="358"/>
      <c r="J75" s="376"/>
      <c r="K75" s="359">
        <f>_xlfn.IFERROR(YEAR(Indice!B6-365),"2XX1")</f>
        <v>2021</v>
      </c>
      <c r="L75" s="376"/>
      <c r="M75" s="376"/>
      <c r="N75" s="455"/>
      <c r="O75" s="461"/>
    </row>
    <row r="76" spans="1:15" s="413" customFormat="1" ht="15" customHeight="1">
      <c r="A76" s="118" t="s">
        <v>841</v>
      </c>
      <c r="B76" s="119" t="s">
        <v>116</v>
      </c>
      <c r="C76" s="295" t="s">
        <v>838</v>
      </c>
      <c r="D76" s="295" t="s">
        <v>326</v>
      </c>
      <c r="E76" s="118" t="s">
        <v>845</v>
      </c>
      <c r="F76" s="119" t="s">
        <v>117</v>
      </c>
      <c r="H76" s="118" t="s">
        <v>841</v>
      </c>
      <c r="I76" s="119" t="s">
        <v>116</v>
      </c>
      <c r="J76" s="295" t="s">
        <v>838</v>
      </c>
      <c r="K76" s="295" t="s">
        <v>326</v>
      </c>
      <c r="L76" s="118" t="s">
        <v>845</v>
      </c>
      <c r="M76" s="119" t="s">
        <v>118</v>
      </c>
      <c r="N76" s="455"/>
      <c r="O76" s="461"/>
    </row>
    <row r="77" spans="1:15" s="413" customFormat="1" ht="15" customHeight="1">
      <c r="A77" s="280" t="s">
        <v>1351</v>
      </c>
      <c r="B77" s="445">
        <v>45169</v>
      </c>
      <c r="C77" s="683" t="s">
        <v>430</v>
      </c>
      <c r="D77" s="683" t="str">
        <f>_xlfn.IFERROR(VLOOKUP(C77,'Base de Monedas'!A:B,2,0),"")</f>
        <v>Guaraní</v>
      </c>
      <c r="E77" s="586">
        <v>6787565.219</v>
      </c>
      <c r="F77" s="683" t="s">
        <v>967</v>
      </c>
      <c r="H77" s="413" t="s">
        <v>958</v>
      </c>
      <c r="I77" s="437" t="s">
        <v>968</v>
      </c>
      <c r="J77" s="292" t="s">
        <v>968</v>
      </c>
      <c r="K77" s="292" t="s">
        <v>968</v>
      </c>
      <c r="L77" s="460" t="s">
        <v>968</v>
      </c>
      <c r="M77" s="292" t="s">
        <v>968</v>
      </c>
      <c r="N77" s="455"/>
      <c r="O77" s="461"/>
    </row>
    <row r="78" spans="1:15" s="413" customFormat="1" ht="15" customHeight="1">
      <c r="A78" s="280" t="s">
        <v>965</v>
      </c>
      <c r="B78" s="439">
        <v>45110</v>
      </c>
      <c r="C78" s="292" t="s">
        <v>430</v>
      </c>
      <c r="D78" s="292" t="str">
        <f>_xlfn.IFERROR(VLOOKUP(C78,'Base de Monedas'!A:B,2,0),"")</f>
        <v>Guaraní</v>
      </c>
      <c r="E78" s="586">
        <v>6002522.154</v>
      </c>
      <c r="F78" s="292" t="s">
        <v>967</v>
      </c>
      <c r="H78" s="413" t="s">
        <v>965</v>
      </c>
      <c r="I78" s="439">
        <v>44683</v>
      </c>
      <c r="J78" s="292" t="s">
        <v>430</v>
      </c>
      <c r="K78" s="292" t="s">
        <v>753</v>
      </c>
      <c r="L78" s="586">
        <v>3843109.535</v>
      </c>
      <c r="M78" s="292" t="s">
        <v>967</v>
      </c>
      <c r="N78" s="455"/>
      <c r="O78" s="461"/>
    </row>
    <row r="79" spans="1:15" s="413" customFormat="1" ht="15" customHeight="1">
      <c r="A79" s="641" t="s">
        <v>965</v>
      </c>
      <c r="B79" s="445">
        <v>44942</v>
      </c>
      <c r="C79" s="292" t="s">
        <v>430</v>
      </c>
      <c r="D79" s="292" t="str">
        <f>_xlfn.IFERROR(VLOOKUP(C79,'Base de Monedas'!A:B,2,0),"")</f>
        <v>Guaraní</v>
      </c>
      <c r="E79" s="586">
        <v>701165.111</v>
      </c>
      <c r="F79" s="292" t="s">
        <v>967</v>
      </c>
      <c r="H79" s="583" t="s">
        <v>965</v>
      </c>
      <c r="I79" s="445">
        <v>44942</v>
      </c>
      <c r="J79" s="292" t="s">
        <v>430</v>
      </c>
      <c r="K79" s="292" t="s">
        <v>753</v>
      </c>
      <c r="L79" s="586">
        <v>8008800</v>
      </c>
      <c r="M79" s="292" t="s">
        <v>967</v>
      </c>
      <c r="N79" s="455"/>
      <c r="O79" s="461"/>
    </row>
    <row r="80" spans="1:15" s="413" customFormat="1" ht="15" customHeight="1">
      <c r="A80" s="641" t="s">
        <v>965</v>
      </c>
      <c r="B80" s="439">
        <v>44995</v>
      </c>
      <c r="C80" s="292" t="s">
        <v>430</v>
      </c>
      <c r="D80" s="292" t="str">
        <f>_xlfn.IFERROR(VLOOKUP(C80,'Base de Monedas'!A:B,2,0),"")</f>
        <v>Guaraní</v>
      </c>
      <c r="E80" s="586">
        <v>1228760.557</v>
      </c>
      <c r="F80" s="292" t="s">
        <v>967</v>
      </c>
      <c r="H80" s="674" t="s">
        <v>965</v>
      </c>
      <c r="I80" s="439">
        <v>44995</v>
      </c>
      <c r="J80" s="292" t="s">
        <v>430</v>
      </c>
      <c r="K80" s="292" t="s">
        <v>753</v>
      </c>
      <c r="L80" s="586">
        <v>5912074.738</v>
      </c>
      <c r="M80" s="292" t="s">
        <v>967</v>
      </c>
      <c r="N80" s="455"/>
      <c r="O80" s="461"/>
    </row>
    <row r="81" spans="1:15" s="413" customFormat="1" ht="15" customHeight="1">
      <c r="A81" s="413" t="s">
        <v>1352</v>
      </c>
      <c r="B81" s="439">
        <v>45144</v>
      </c>
      <c r="C81" s="292" t="s">
        <v>430</v>
      </c>
      <c r="D81" s="292" t="str">
        <f>_xlfn.IFERROR(VLOOKUP(C81,'Base de Monedas'!A:B,2,0),"")</f>
        <v>Guaraní</v>
      </c>
      <c r="E81" s="586">
        <v>4675000</v>
      </c>
      <c r="F81" s="292" t="s">
        <v>967</v>
      </c>
      <c r="H81" s="413" t="s">
        <v>959</v>
      </c>
      <c r="I81" s="439">
        <v>44685</v>
      </c>
      <c r="J81" s="292" t="s">
        <v>430</v>
      </c>
      <c r="K81" s="292" t="s">
        <v>753</v>
      </c>
      <c r="L81" s="586">
        <v>945047.59</v>
      </c>
      <c r="M81" s="292" t="s">
        <v>967</v>
      </c>
      <c r="N81" s="455"/>
      <c r="O81" s="461"/>
    </row>
    <row r="82" spans="1:15" s="674" customFormat="1" ht="15" customHeight="1">
      <c r="A82" s="747" t="s">
        <v>1352</v>
      </c>
      <c r="B82" s="445">
        <v>45273</v>
      </c>
      <c r="C82" s="683" t="s">
        <v>430</v>
      </c>
      <c r="D82" s="683" t="str">
        <f>_xlfn.IFERROR(VLOOKUP(C82,'Base de Monedas'!A:B,2,0),"")</f>
        <v>Guaraní</v>
      </c>
      <c r="E82" s="586">
        <v>5000000</v>
      </c>
      <c r="F82" s="683" t="s">
        <v>967</v>
      </c>
      <c r="H82" s="674" t="s">
        <v>972</v>
      </c>
      <c r="I82" s="445">
        <v>44648</v>
      </c>
      <c r="J82" s="445" t="s">
        <v>430</v>
      </c>
      <c r="K82" s="445" t="s">
        <v>753</v>
      </c>
      <c r="L82" s="586">
        <v>2913460.395</v>
      </c>
      <c r="M82" s="292" t="s">
        <v>967</v>
      </c>
      <c r="N82" s="675"/>
      <c r="O82" s="461"/>
    </row>
    <row r="83" spans="2:15" s="747" customFormat="1" ht="15" customHeight="1">
      <c r="B83" s="445"/>
      <c r="C83" s="445"/>
      <c r="D83" s="445"/>
      <c r="E83" s="586"/>
      <c r="F83" s="683"/>
      <c r="I83" s="445"/>
      <c r="J83" s="445"/>
      <c r="K83" s="445"/>
      <c r="L83" s="586"/>
      <c r="M83" s="683"/>
      <c r="N83" s="748"/>
      <c r="O83" s="461"/>
    </row>
    <row r="84" spans="1:15" s="280" customFormat="1" ht="15" customHeight="1">
      <c r="A84" s="413" t="s">
        <v>984</v>
      </c>
      <c r="B84" s="292">
        <v>2022</v>
      </c>
      <c r="C84" s="292" t="s">
        <v>430</v>
      </c>
      <c r="D84" s="292" t="str">
        <f>_xlfn.IFERROR(VLOOKUP(C84,'Base de Monedas'!A:B,2,0),"")</f>
        <v>Guaraní</v>
      </c>
      <c r="E84" s="420">
        <v>40115237.462</v>
      </c>
      <c r="F84" s="420" t="s">
        <v>985</v>
      </c>
      <c r="H84" s="413" t="s">
        <v>984</v>
      </c>
      <c r="I84" s="439">
        <v>44742</v>
      </c>
      <c r="J84" s="292" t="s">
        <v>430</v>
      </c>
      <c r="K84" s="292" t="s">
        <v>753</v>
      </c>
      <c r="L84" s="627">
        <v>56034185.51</v>
      </c>
      <c r="M84" s="627" t="s">
        <v>985</v>
      </c>
      <c r="N84" s="455"/>
      <c r="O84" s="461"/>
    </row>
    <row r="85" spans="1:15" s="280" customFormat="1" ht="15" customHeight="1">
      <c r="A85" s="280" t="s">
        <v>251</v>
      </c>
      <c r="C85" s="292"/>
      <c r="D85" s="292">
        <f>_xlfn.IFERROR(VLOOKUP(C85,'Base de Monedas'!A:B,2,0),"")</f>
      </c>
      <c r="E85" s="292"/>
      <c r="H85" s="413"/>
      <c r="I85" s="645"/>
      <c r="J85" s="292"/>
      <c r="K85" s="292">
        <f>_xlfn.IFERROR(VLOOKUP(J85,'Base de Monedas'!H:I,2,0),"")</f>
      </c>
      <c r="L85" s="292"/>
      <c r="M85" s="645"/>
      <c r="N85" s="455"/>
      <c r="O85" s="461"/>
    </row>
    <row r="86" spans="1:15" s="280" customFormat="1" ht="15" customHeight="1">
      <c r="A86" s="312" t="s">
        <v>122</v>
      </c>
      <c r="C86" s="292"/>
      <c r="D86" s="292">
        <f>_xlfn.IFERROR(VLOOKUP(C86,'Base de Monedas'!A:B,2,0),"")</f>
      </c>
      <c r="H86" s="413"/>
      <c r="I86" s="645"/>
      <c r="J86" s="292"/>
      <c r="K86" s="292">
        <f>_xlfn.IFERROR(VLOOKUP(J86,'Base de Monedas'!H:I,2,0),"")</f>
      </c>
      <c r="L86" s="645"/>
      <c r="M86" s="645"/>
      <c r="N86" s="455"/>
      <c r="O86" s="461"/>
    </row>
    <row r="87" spans="1:15" s="280" customFormat="1" ht="15" customHeight="1">
      <c r="A87" s="118" t="s">
        <v>839</v>
      </c>
      <c r="C87" s="292"/>
      <c r="D87" s="292">
        <f>_xlfn.IFERROR(VLOOKUP(C87,'Base de Monedas'!A:B,2,0),"")</f>
      </c>
      <c r="E87" s="292"/>
      <c r="H87" s="118" t="s">
        <v>839</v>
      </c>
      <c r="I87" s="645"/>
      <c r="J87" s="292"/>
      <c r="K87" s="292">
        <f>_xlfn.IFERROR(VLOOKUP(J87,'Base de Monedas'!H:I,2,0),"")</f>
      </c>
      <c r="L87" s="292"/>
      <c r="M87" s="645"/>
      <c r="N87" s="455"/>
      <c r="O87" s="461"/>
    </row>
    <row r="88" spans="1:15" s="280" customFormat="1" ht="15" customHeight="1">
      <c r="A88" s="280" t="s">
        <v>837</v>
      </c>
      <c r="C88" s="292"/>
      <c r="D88" s="292">
        <f>_xlfn.IFERROR(VLOOKUP(C88,'Base de Monedas'!A:B,2,0),"")</f>
      </c>
      <c r="E88" s="292"/>
      <c r="H88" s="413" t="s">
        <v>837</v>
      </c>
      <c r="I88" s="645"/>
      <c r="J88" s="292"/>
      <c r="K88" s="292">
        <f>_xlfn.IFERROR(VLOOKUP(J88,'Base de Monedas'!H:I,2,0),"")</f>
      </c>
      <c r="L88" s="292"/>
      <c r="M88" s="645"/>
      <c r="N88" s="455"/>
      <c r="O88" s="461"/>
    </row>
    <row r="89" spans="1:15" s="280" customFormat="1" ht="15" customHeight="1">
      <c r="A89" s="280" t="s">
        <v>837</v>
      </c>
      <c r="C89" s="292"/>
      <c r="D89" s="292">
        <f>_xlfn.IFERROR(VLOOKUP(C89,'Base de Monedas'!A:B,2,0),"")</f>
      </c>
      <c r="E89" s="292"/>
      <c r="H89" s="413" t="s">
        <v>837</v>
      </c>
      <c r="I89" s="645"/>
      <c r="J89" s="292"/>
      <c r="K89" s="292">
        <f>_xlfn.IFERROR(VLOOKUP(J89,'Base de Monedas'!H:I,2,0),"")</f>
      </c>
      <c r="L89" s="292"/>
      <c r="M89" s="645"/>
      <c r="N89" s="455"/>
      <c r="O89" s="461"/>
    </row>
    <row r="90" spans="1:15" s="280" customFormat="1" ht="15" customHeight="1">
      <c r="A90" s="312" t="s">
        <v>121</v>
      </c>
      <c r="C90" s="292"/>
      <c r="D90" s="292">
        <f>_xlfn.IFERROR(VLOOKUP(C90,'Base de Monedas'!A:B,2,0),"")</f>
      </c>
      <c r="E90" s="292"/>
      <c r="H90" s="312" t="s">
        <v>121</v>
      </c>
      <c r="I90" s="645"/>
      <c r="J90" s="292"/>
      <c r="K90" s="292">
        <f>_xlfn.IFERROR(VLOOKUP(J90,'Base de Monedas'!H:I,2,0),"")</f>
      </c>
      <c r="L90" s="292"/>
      <c r="M90" s="645"/>
      <c r="N90" s="455"/>
      <c r="O90" s="461"/>
    </row>
    <row r="91" spans="1:15" s="280" customFormat="1" ht="15" customHeight="1">
      <c r="A91" s="280" t="s">
        <v>251</v>
      </c>
      <c r="C91" s="292"/>
      <c r="D91" s="292">
        <f>_xlfn.IFERROR(VLOOKUP(C91,'Base de Monedas'!A:B,2,0),"")</f>
      </c>
      <c r="E91" s="292"/>
      <c r="H91" s="413" t="s">
        <v>251</v>
      </c>
      <c r="I91" s="645"/>
      <c r="J91" s="292"/>
      <c r="K91" s="292">
        <f>_xlfn.IFERROR(VLOOKUP(J91,'Base de Monedas'!H:I,2,0),"")</f>
      </c>
      <c r="L91" s="292"/>
      <c r="M91" s="645"/>
      <c r="N91" s="455"/>
      <c r="O91" s="461"/>
    </row>
    <row r="92" spans="1:15" s="280" customFormat="1" ht="15" customHeight="1">
      <c r="A92" s="312" t="s">
        <v>122</v>
      </c>
      <c r="C92" s="292"/>
      <c r="D92" s="292">
        <f>_xlfn.IFERROR(VLOOKUP(C92,'Base de Monedas'!A:B,2,0),"")</f>
      </c>
      <c r="E92" s="292"/>
      <c r="H92" s="312" t="s">
        <v>122</v>
      </c>
      <c r="I92" s="645"/>
      <c r="J92" s="292"/>
      <c r="K92" s="292">
        <f>_xlfn.IFERROR(VLOOKUP(J92,'Base de Monedas'!H:I,2,0),"")</f>
      </c>
      <c r="L92" s="292"/>
      <c r="M92" s="645"/>
      <c r="N92" s="455"/>
      <c r="O92" s="461"/>
    </row>
    <row r="93" spans="1:15" s="413" customFormat="1" ht="15" customHeight="1">
      <c r="A93" s="93" t="s">
        <v>842</v>
      </c>
      <c r="B93" s="280"/>
      <c r="C93" s="292"/>
      <c r="D93" s="292">
        <f>_xlfn.IFERROR(VLOOKUP(C93,'Base de Monedas'!A:B,2,0),"")</f>
      </c>
      <c r="E93" s="292"/>
      <c r="F93" s="280"/>
      <c r="H93" s="93" t="s">
        <v>842</v>
      </c>
      <c r="I93" s="645"/>
      <c r="J93" s="292"/>
      <c r="K93" s="292">
        <f>_xlfn.IFERROR(VLOOKUP(J93,'Base de Monedas'!H:I,2,0),"")</f>
      </c>
      <c r="L93" s="292"/>
      <c r="M93" s="645"/>
      <c r="N93" s="462"/>
      <c r="O93" s="461"/>
    </row>
    <row r="94" spans="1:15" s="413" customFormat="1" ht="15" customHeight="1">
      <c r="A94" s="280" t="s">
        <v>840</v>
      </c>
      <c r="B94" s="280"/>
      <c r="C94" s="292" t="s">
        <v>430</v>
      </c>
      <c r="D94" s="292" t="str">
        <f>_xlfn.IFERROR(VLOOKUP(C94,'Base de Monedas'!A:B,2,0),"")</f>
        <v>Guaraní</v>
      </c>
      <c r="E94" s="466">
        <v>1048900.067</v>
      </c>
      <c r="F94" s="280"/>
      <c r="H94" s="413" t="s">
        <v>840</v>
      </c>
      <c r="I94" s="645"/>
      <c r="J94" s="292" t="s">
        <v>430</v>
      </c>
      <c r="K94" s="292" t="s">
        <v>753</v>
      </c>
      <c r="L94" s="627">
        <v>873463.297</v>
      </c>
      <c r="M94" s="645"/>
      <c r="N94" s="455"/>
      <c r="O94" s="461"/>
    </row>
    <row r="95" spans="1:15" s="413" customFormat="1" ht="15" customHeight="1">
      <c r="A95" s="280" t="s">
        <v>843</v>
      </c>
      <c r="B95" s="280"/>
      <c r="C95" s="292" t="s">
        <v>430</v>
      </c>
      <c r="D95" s="292" t="str">
        <f>_xlfn.IFERROR(VLOOKUP(C95,'Base de Monedas'!A:B,2,0),"")</f>
        <v>Guaraní</v>
      </c>
      <c r="E95" s="728">
        <v>-955578.581</v>
      </c>
      <c r="F95" s="280"/>
      <c r="H95" s="413" t="s">
        <v>843</v>
      </c>
      <c r="I95" s="645"/>
      <c r="J95" s="292" t="s">
        <v>430</v>
      </c>
      <c r="K95" s="292" t="s">
        <v>753</v>
      </c>
      <c r="L95" s="627">
        <v>-807486.424</v>
      </c>
      <c r="M95" s="645"/>
      <c r="N95" s="455"/>
      <c r="O95" s="461"/>
    </row>
    <row r="96" spans="1:15" s="280" customFormat="1" ht="15" customHeight="1">
      <c r="A96" s="93" t="s">
        <v>984</v>
      </c>
      <c r="B96" s="413"/>
      <c r="C96" s="292"/>
      <c r="D96" s="292"/>
      <c r="E96" s="420"/>
      <c r="F96" s="413"/>
      <c r="H96" s="93" t="s">
        <v>984</v>
      </c>
      <c r="I96" s="645"/>
      <c r="J96" s="292"/>
      <c r="K96" s="292"/>
      <c r="L96" s="627"/>
      <c r="M96" s="645"/>
      <c r="N96" s="463"/>
      <c r="O96" s="461"/>
    </row>
    <row r="97" spans="1:15" s="280" customFormat="1" ht="15" customHeight="1">
      <c r="A97" s="413" t="s">
        <v>840</v>
      </c>
      <c r="B97" s="413"/>
      <c r="C97" s="292" t="s">
        <v>430</v>
      </c>
      <c r="D97" s="292" t="str">
        <f>_xlfn.IFERROR(VLOOKUP(C97,'Base de Monedas'!A:B,2,0),"")</f>
        <v>Guaraní</v>
      </c>
      <c r="E97" s="420">
        <v>6011922.284</v>
      </c>
      <c r="F97" s="413"/>
      <c r="H97" s="413" t="s">
        <v>840</v>
      </c>
      <c r="I97" s="645"/>
      <c r="J97" s="292" t="s">
        <v>430</v>
      </c>
      <c r="K97" s="292" t="s">
        <v>753</v>
      </c>
      <c r="L97" s="627">
        <v>5978780.201</v>
      </c>
      <c r="M97" s="645"/>
      <c r="N97" s="455"/>
      <c r="O97" s="461"/>
    </row>
    <row r="98" spans="1:15" s="280" customFormat="1" ht="15" customHeight="1">
      <c r="A98" s="413" t="s">
        <v>843</v>
      </c>
      <c r="B98" s="413"/>
      <c r="C98" s="292" t="s">
        <v>430</v>
      </c>
      <c r="D98" s="292" t="str">
        <f>_xlfn.IFERROR(VLOOKUP(C98,'Base de Monedas'!A:B,2,0),"")</f>
        <v>Guaraní</v>
      </c>
      <c r="E98" s="420">
        <v>-5405761.447</v>
      </c>
      <c r="F98" s="413"/>
      <c r="H98" s="413" t="s">
        <v>843</v>
      </c>
      <c r="I98" s="645"/>
      <c r="J98" s="292" t="s">
        <v>430</v>
      </c>
      <c r="K98" s="292" t="s">
        <v>753</v>
      </c>
      <c r="L98" s="627">
        <v>-5245766.914</v>
      </c>
      <c r="M98" s="645"/>
      <c r="N98" s="455"/>
      <c r="O98" s="461"/>
    </row>
    <row r="99" spans="1:15" s="280" customFormat="1" ht="15" customHeight="1">
      <c r="A99" s="93" t="s">
        <v>119</v>
      </c>
      <c r="C99" s="292"/>
      <c r="D99" s="292">
        <f>_xlfn.IFERROR(VLOOKUP(C99,'Base de Monedas'!A:B,2,0),"")</f>
      </c>
      <c r="E99" s="292"/>
      <c r="H99" s="93" t="s">
        <v>119</v>
      </c>
      <c r="I99" s="645"/>
      <c r="J99" s="292"/>
      <c r="K99" s="292">
        <f>_xlfn.IFERROR(VLOOKUP(J99,'Base de Monedas'!H:I,2,0),"")</f>
      </c>
      <c r="L99" s="292"/>
      <c r="M99" s="645"/>
      <c r="N99" s="455"/>
      <c r="O99" s="461"/>
    </row>
    <row r="100" spans="1:13" ht="15" customHeight="1">
      <c r="A100" s="280" t="s">
        <v>840</v>
      </c>
      <c r="B100" s="280"/>
      <c r="C100" s="292"/>
      <c r="F100" s="280"/>
      <c r="H100" s="413" t="s">
        <v>840</v>
      </c>
      <c r="I100" s="645"/>
      <c r="J100" s="292"/>
      <c r="K100" s="292"/>
      <c r="L100" s="292"/>
      <c r="M100" s="645"/>
    </row>
    <row r="101" spans="1:13" ht="15" customHeight="1">
      <c r="A101" s="314" t="s">
        <v>843</v>
      </c>
      <c r="B101" s="314"/>
      <c r="C101" s="315"/>
      <c r="D101" s="315">
        <f>_xlfn.IFERROR(VLOOKUP(C101,'Base de Monedas'!A:B,2,0),"")</f>
      </c>
      <c r="E101" s="315"/>
      <c r="F101" s="280"/>
      <c r="H101" s="314" t="s">
        <v>843</v>
      </c>
      <c r="I101" s="314"/>
      <c r="J101" s="315"/>
      <c r="K101" s="315">
        <f>_xlfn.IFERROR(VLOOKUP(J101,'Base de Monedas'!H:I,2,0),"")</f>
      </c>
      <c r="L101" s="315"/>
      <c r="M101" s="645"/>
    </row>
    <row r="102" spans="1:13" ht="15" customHeight="1">
      <c r="A102" s="93" t="s">
        <v>3</v>
      </c>
      <c r="B102" s="280"/>
      <c r="C102" s="292"/>
      <c r="D102" s="292">
        <f>_xlfn.IFERROR(VLOOKUP(C102,'Base de Monedas'!A:B,2,0),"")</f>
      </c>
      <c r="E102" s="443">
        <f>SUM($E$77:E101)</f>
        <v>65209732.826000005</v>
      </c>
      <c r="F102" s="280"/>
      <c r="G102" s="455"/>
      <c r="J102" s="292"/>
      <c r="K102" s="280">
        <f>_xlfn.IFERROR(VLOOKUP(J102,'Base de Monedas'!A:B,2,0),"")</f>
      </c>
      <c r="L102" s="443">
        <f>SUM($L$77:L101)</f>
        <v>78455667.92800002</v>
      </c>
      <c r="M102" s="280"/>
    </row>
    <row r="103" spans="5:11" ht="15" customHeight="1">
      <c r="E103" s="420"/>
      <c r="G103" s="455"/>
      <c r="J103" s="292"/>
      <c r="K103" s="280">
        <f>_xlfn.IFERROR(VLOOKUP(J103,'Base de Monedas'!H:I,2,0),"")</f>
      </c>
    </row>
    <row r="104" spans="5:12" ht="15" customHeight="1">
      <c r="E104" s="420"/>
      <c r="G104" s="455"/>
      <c r="L104" s="420"/>
    </row>
    <row r="105" spans="4:12" ht="15" customHeight="1">
      <c r="D105" s="454"/>
      <c r="E105" s="581"/>
      <c r="F105" s="455"/>
      <c r="G105" s="455"/>
      <c r="H105" s="455"/>
      <c r="I105" s="454"/>
      <c r="L105" s="420"/>
    </row>
    <row r="106" spans="4:12" ht="15" customHeight="1">
      <c r="D106" s="454"/>
      <c r="E106" s="581"/>
      <c r="F106" s="455"/>
      <c r="G106" s="455"/>
      <c r="H106" s="455"/>
      <c r="I106" s="454"/>
      <c r="L106" s="420"/>
    </row>
    <row r="107" spans="4:12" ht="15" customHeight="1">
      <c r="D107" s="454"/>
      <c r="E107" s="581"/>
      <c r="F107" s="455"/>
      <c r="G107" s="455"/>
      <c r="H107" s="455"/>
      <c r="I107" s="454"/>
      <c r="L107" s="420"/>
    </row>
    <row r="108" spans="4:9" ht="15" customHeight="1">
      <c r="D108" s="452"/>
      <c r="E108" s="453"/>
      <c r="F108" s="452"/>
      <c r="G108" s="455"/>
      <c r="H108" s="455"/>
      <c r="I108" s="454"/>
    </row>
    <row r="109" spans="4:9" ht="15" customHeight="1">
      <c r="D109" s="452"/>
      <c r="E109" s="453"/>
      <c r="F109" s="452"/>
      <c r="G109" s="455"/>
      <c r="H109" s="455"/>
      <c r="I109" s="454"/>
    </row>
    <row r="110" spans="4:9" ht="15" customHeight="1">
      <c r="D110" s="452"/>
      <c r="E110" s="453"/>
      <c r="F110" s="452"/>
      <c r="G110" s="455"/>
      <c r="H110" s="455"/>
      <c r="I110" s="454"/>
    </row>
    <row r="111" spans="4:9" ht="15" customHeight="1">
      <c r="D111" s="452"/>
      <c r="E111" s="453"/>
      <c r="F111" s="452"/>
      <c r="G111" s="455"/>
      <c r="H111" s="455"/>
      <c r="I111" s="454"/>
    </row>
    <row r="112" spans="4:9" ht="15" customHeight="1">
      <c r="D112" s="452"/>
      <c r="E112" s="453"/>
      <c r="F112" s="452"/>
      <c r="G112" s="455"/>
      <c r="H112" s="455"/>
      <c r="I112" s="454"/>
    </row>
    <row r="113" spans="4:13" ht="15" customHeight="1">
      <c r="D113" s="452"/>
      <c r="E113" s="453"/>
      <c r="F113" s="452"/>
      <c r="G113" s="455"/>
      <c r="H113" s="455"/>
      <c r="I113" s="454"/>
      <c r="K113" s="416"/>
      <c r="L113" s="416"/>
      <c r="M113" s="416"/>
    </row>
    <row r="114" spans="4:9" ht="15" customHeight="1">
      <c r="D114" s="452"/>
      <c r="E114" s="453"/>
      <c r="F114" s="452"/>
      <c r="G114" s="455"/>
      <c r="H114" s="455"/>
      <c r="I114" s="454"/>
    </row>
    <row r="115" spans="4:9" ht="15" customHeight="1">
      <c r="D115" s="452"/>
      <c r="E115" s="453"/>
      <c r="F115" s="452"/>
      <c r="G115" s="455"/>
      <c r="H115" s="455"/>
      <c r="I115" s="454"/>
    </row>
    <row r="116" spans="4:9" ht="15" customHeight="1">
      <c r="D116" s="452"/>
      <c r="E116" s="453"/>
      <c r="F116" s="452"/>
      <c r="G116" s="455"/>
      <c r="H116" s="455"/>
      <c r="I116" s="454"/>
    </row>
    <row r="117" spans="4:9" ht="15" customHeight="1">
      <c r="D117" s="454"/>
      <c r="E117" s="454"/>
      <c r="F117" s="455"/>
      <c r="G117" s="455"/>
      <c r="H117" s="455"/>
      <c r="I117" s="454"/>
    </row>
    <row r="118" spans="4:9" ht="15" customHeight="1">
      <c r="D118" s="454"/>
      <c r="E118" s="454"/>
      <c r="F118" s="455"/>
      <c r="G118" s="455"/>
      <c r="H118" s="455"/>
      <c r="I118" s="454"/>
    </row>
    <row r="119" spans="4:9" ht="15" customHeight="1">
      <c r="D119" s="454"/>
      <c r="E119" s="454"/>
      <c r="F119" s="455"/>
      <c r="G119" s="455"/>
      <c r="H119" s="455"/>
      <c r="I119" s="454"/>
    </row>
    <row r="120" spans="4:9" ht="15" customHeight="1">
      <c r="D120" s="454"/>
      <c r="E120" s="454"/>
      <c r="F120" s="455"/>
      <c r="G120" s="455"/>
      <c r="H120" s="455"/>
      <c r="I120" s="454"/>
    </row>
    <row r="121" spans="4:9" ht="15" customHeight="1">
      <c r="D121" s="454"/>
      <c r="E121" s="454"/>
      <c r="F121" s="455"/>
      <c r="G121" s="455"/>
      <c r="H121" s="455"/>
      <c r="I121" s="454"/>
    </row>
    <row r="122" spans="4:9" ht="15" customHeight="1">
      <c r="D122" s="454"/>
      <c r="E122" s="454"/>
      <c r="F122" s="455"/>
      <c r="G122" s="455"/>
      <c r="H122" s="455"/>
      <c r="I122" s="454"/>
    </row>
    <row r="123" spans="4:9" ht="15" customHeight="1">
      <c r="D123" s="454"/>
      <c r="E123" s="454"/>
      <c r="F123" s="455"/>
      <c r="G123" s="455"/>
      <c r="H123" s="455"/>
      <c r="I123" s="454"/>
    </row>
    <row r="124" spans="4:9" ht="15" customHeight="1">
      <c r="D124" s="454"/>
      <c r="E124" s="454"/>
      <c r="F124" s="455"/>
      <c r="G124" s="455"/>
      <c r="H124" s="455"/>
      <c r="I124" s="454"/>
    </row>
    <row r="125" spans="4:9" ht="15" customHeight="1">
      <c r="D125" s="454"/>
      <c r="E125" s="454"/>
      <c r="F125" s="455"/>
      <c r="G125" s="455"/>
      <c r="H125" s="455"/>
      <c r="I125" s="454"/>
    </row>
    <row r="126" spans="4:9" ht="15" customHeight="1">
      <c r="D126" s="454"/>
      <c r="E126" s="454"/>
      <c r="F126" s="455"/>
      <c r="G126" s="455"/>
      <c r="H126" s="455"/>
      <c r="I126" s="454"/>
    </row>
    <row r="127" spans="4:9" ht="15" customHeight="1">
      <c r="D127" s="454"/>
      <c r="E127" s="454"/>
      <c r="F127" s="455"/>
      <c r="G127" s="455"/>
      <c r="H127" s="455"/>
      <c r="I127" s="454"/>
    </row>
    <row r="128" spans="4:9" ht="15" customHeight="1">
      <c r="D128" s="454"/>
      <c r="E128" s="454"/>
      <c r="F128" s="455"/>
      <c r="G128" s="455"/>
      <c r="H128" s="455"/>
      <c r="I128" s="454"/>
    </row>
    <row r="129" spans="4:9" ht="15" customHeight="1">
      <c r="D129" s="454"/>
      <c r="E129" s="454"/>
      <c r="F129" s="455"/>
      <c r="G129" s="455"/>
      <c r="H129" s="455"/>
      <c r="I129" s="454"/>
    </row>
    <row r="130" spans="4:9" ht="15" customHeight="1">
      <c r="D130" s="454"/>
      <c r="E130" s="454"/>
      <c r="F130" s="455"/>
      <c r="G130" s="455"/>
      <c r="H130" s="455"/>
      <c r="I130" s="454"/>
    </row>
    <row r="131" spans="4:9" ht="15" customHeight="1">
      <c r="D131" s="454"/>
      <c r="E131" s="454"/>
      <c r="F131" s="455"/>
      <c r="G131" s="455"/>
      <c r="H131" s="455"/>
      <c r="I131" s="454"/>
    </row>
    <row r="132" spans="4:9" ht="15" customHeight="1">
      <c r="D132" s="454"/>
      <c r="E132" s="454"/>
      <c r="F132" s="455"/>
      <c r="G132" s="455"/>
      <c r="H132" s="455"/>
      <c r="I132" s="454"/>
    </row>
    <row r="133" spans="4:9" ht="15" customHeight="1">
      <c r="D133" s="454"/>
      <c r="E133" s="454"/>
      <c r="F133" s="455"/>
      <c r="G133" s="455"/>
      <c r="H133" s="455"/>
      <c r="I133" s="454"/>
    </row>
    <row r="134" spans="4:9" ht="15" customHeight="1">
      <c r="D134" s="454"/>
      <c r="E134" s="454"/>
      <c r="F134" s="455"/>
      <c r="G134" s="455"/>
      <c r="H134" s="455"/>
      <c r="I134" s="454"/>
    </row>
    <row r="135" spans="4:9" ht="15" customHeight="1">
      <c r="D135" s="454"/>
      <c r="E135" s="454"/>
      <c r="F135" s="455"/>
      <c r="G135" s="455"/>
      <c r="H135" s="455"/>
      <c r="I135" s="454"/>
    </row>
    <row r="136" spans="4:9" ht="15" customHeight="1">
      <c r="D136" s="454"/>
      <c r="E136" s="454"/>
      <c r="F136" s="455"/>
      <c r="G136" s="455"/>
      <c r="H136" s="455"/>
      <c r="I136" s="454"/>
    </row>
    <row r="137" spans="4:9" ht="15" customHeight="1">
      <c r="D137" s="454"/>
      <c r="E137" s="454"/>
      <c r="F137" s="455"/>
      <c r="G137" s="455"/>
      <c r="H137" s="455"/>
      <c r="I137" s="454"/>
    </row>
    <row r="138" spans="4:9" ht="15" customHeight="1">
      <c r="D138" s="454"/>
      <c r="E138" s="454"/>
      <c r="F138" s="455"/>
      <c r="G138" s="455"/>
      <c r="H138" s="455"/>
      <c r="I138" s="454"/>
    </row>
    <row r="139" spans="4:9" ht="15" customHeight="1">
      <c r="D139" s="454"/>
      <c r="E139" s="454"/>
      <c r="F139" s="455"/>
      <c r="G139" s="455"/>
      <c r="H139" s="455"/>
      <c r="I139" s="454"/>
    </row>
    <row r="140" spans="4:9" ht="15" customHeight="1">
      <c r="D140" s="454"/>
      <c r="E140" s="454"/>
      <c r="F140" s="455"/>
      <c r="G140" s="455"/>
      <c r="H140" s="455"/>
      <c r="I140" s="454"/>
    </row>
    <row r="141" spans="4:9" ht="15" customHeight="1">
      <c r="D141" s="454"/>
      <c r="E141" s="454"/>
      <c r="F141" s="455"/>
      <c r="G141" s="455"/>
      <c r="H141" s="455"/>
      <c r="I141" s="454"/>
    </row>
    <row r="142" spans="4:9" ht="15" customHeight="1">
      <c r="D142" s="454"/>
      <c r="E142" s="454"/>
      <c r="F142" s="455"/>
      <c r="G142" s="455"/>
      <c r="H142" s="455"/>
      <c r="I142" s="454"/>
    </row>
    <row r="143" spans="4:9" ht="15" customHeight="1">
      <c r="D143" s="454"/>
      <c r="E143" s="454"/>
      <c r="F143" s="455"/>
      <c r="G143" s="455"/>
      <c r="H143" s="455"/>
      <c r="I143" s="454"/>
    </row>
    <row r="144" spans="4:9" ht="15" customHeight="1">
      <c r="D144" s="454"/>
      <c r="E144" s="454"/>
      <c r="F144" s="455"/>
      <c r="G144" s="455"/>
      <c r="H144" s="455"/>
      <c r="I144" s="454"/>
    </row>
    <row r="145" spans="4:9" ht="15" customHeight="1">
      <c r="D145" s="454"/>
      <c r="E145" s="454"/>
      <c r="F145" s="455"/>
      <c r="G145" s="455"/>
      <c r="H145" s="455"/>
      <c r="I145" s="454"/>
    </row>
    <row r="146" spans="4:9" ht="15" customHeight="1">
      <c r="D146" s="454"/>
      <c r="E146" s="454"/>
      <c r="F146" s="455"/>
      <c r="G146" s="455"/>
      <c r="H146" s="455"/>
      <c r="I146" s="454"/>
    </row>
    <row r="147" spans="4:9" ht="15" customHeight="1">
      <c r="D147" s="454"/>
      <c r="E147" s="454"/>
      <c r="F147" s="455"/>
      <c r="G147" s="455"/>
      <c r="H147" s="455"/>
      <c r="I147" s="454"/>
    </row>
    <row r="148" spans="4:9" ht="15" customHeight="1">
      <c r="D148" s="454"/>
      <c r="E148" s="454"/>
      <c r="F148" s="455"/>
      <c r="G148" s="455"/>
      <c r="H148" s="455"/>
      <c r="I148" s="454"/>
    </row>
    <row r="149" spans="4:9" ht="15" customHeight="1">
      <c r="D149" s="454"/>
      <c r="E149" s="454"/>
      <c r="F149" s="455"/>
      <c r="G149" s="455"/>
      <c r="H149" s="455"/>
      <c r="I149" s="454"/>
    </row>
    <row r="150" spans="4:9" ht="15" customHeight="1">
      <c r="D150" s="454"/>
      <c r="E150" s="454"/>
      <c r="F150" s="455"/>
      <c r="G150" s="455"/>
      <c r="H150" s="455"/>
      <c r="I150" s="454"/>
    </row>
    <row r="151" spans="4:9" ht="15" customHeight="1">
      <c r="D151" s="454"/>
      <c r="E151" s="454"/>
      <c r="F151" s="455"/>
      <c r="G151" s="455"/>
      <c r="H151" s="455"/>
      <c r="I151" s="454"/>
    </row>
    <row r="152" spans="4:9" ht="15" customHeight="1">
      <c r="D152" s="454"/>
      <c r="E152" s="454"/>
      <c r="F152" s="455"/>
      <c r="G152" s="455"/>
      <c r="H152" s="455"/>
      <c r="I152" s="454"/>
    </row>
    <row r="153" spans="4:9" ht="15" customHeight="1">
      <c r="D153" s="454"/>
      <c r="E153" s="454"/>
      <c r="F153" s="455"/>
      <c r="G153" s="455"/>
      <c r="H153" s="455"/>
      <c r="I153" s="454"/>
    </row>
    <row r="154" spans="4:9" ht="15" customHeight="1">
      <c r="D154" s="454"/>
      <c r="E154" s="454"/>
      <c r="F154" s="455"/>
      <c r="G154" s="455"/>
      <c r="H154" s="455"/>
      <c r="I154" s="454"/>
    </row>
    <row r="155" spans="4:9" ht="15" customHeight="1">
      <c r="D155" s="454"/>
      <c r="E155" s="454"/>
      <c r="F155" s="455"/>
      <c r="G155" s="455"/>
      <c r="H155" s="455"/>
      <c r="I155" s="454"/>
    </row>
    <row r="156" spans="4:9" ht="15" customHeight="1">
      <c r="D156" s="454"/>
      <c r="E156" s="454"/>
      <c r="F156" s="455"/>
      <c r="G156" s="455"/>
      <c r="H156" s="455"/>
      <c r="I156" s="454"/>
    </row>
    <row r="157" spans="4:9" ht="15" customHeight="1">
      <c r="D157" s="454"/>
      <c r="E157" s="454"/>
      <c r="F157" s="455"/>
      <c r="H157" s="455"/>
      <c r="I157" s="454"/>
    </row>
    <row r="158" spans="4:9" ht="15" customHeight="1">
      <c r="D158" s="454"/>
      <c r="E158" s="454"/>
      <c r="F158" s="455"/>
      <c r="H158" s="455"/>
      <c r="I158" s="454"/>
    </row>
    <row r="159" spans="4:9" ht="15" customHeight="1">
      <c r="D159" s="454"/>
      <c r="E159" s="454"/>
      <c r="F159" s="455"/>
      <c r="H159" s="455"/>
      <c r="I159" s="454"/>
    </row>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sheetData>
  <sheetProtection/>
  <hyperlinks>
    <hyperlink ref="M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2.xml><?xml version="1.0" encoding="utf-8"?>
<worksheet xmlns="http://schemas.openxmlformats.org/spreadsheetml/2006/main" xmlns:r="http://schemas.openxmlformats.org/officeDocument/2006/relationships">
  <dimension ref="A1:L82"/>
  <sheetViews>
    <sheetView showGridLines="0" tabSelected="1" zoomScalePageLayoutView="0" workbookViewId="0" topLeftCell="A40">
      <selection activeCell="G66" sqref="G66"/>
    </sheetView>
  </sheetViews>
  <sheetFormatPr defaultColWidth="11.421875" defaultRowHeight="15"/>
  <cols>
    <col min="1" max="1" width="2.140625" style="38" customWidth="1"/>
    <col min="2" max="2" width="2.00390625" style="38" customWidth="1"/>
    <col min="3" max="3" width="2.28125" style="38" customWidth="1"/>
    <col min="4" max="4" width="51.8515625" style="38" customWidth="1"/>
    <col min="5" max="5" width="10.28125" style="71" customWidth="1"/>
    <col min="6" max="7" width="21.7109375" style="38" bestFit="1" customWidth="1"/>
    <col min="8" max="8" width="11.421875" style="38" customWidth="1"/>
    <col min="9" max="9" width="15.28125" style="38" bestFit="1" customWidth="1"/>
    <col min="10" max="11" width="14.7109375" style="38" bestFit="1" customWidth="1"/>
    <col min="12" max="16384" width="11.421875" style="38" customWidth="1"/>
  </cols>
  <sheetData>
    <row r="1" spans="4:5" ht="14.25">
      <c r="D1" s="406" t="str">
        <f>Indice!C1</f>
        <v>NEGOFIN S.A.E.C.A.</v>
      </c>
      <c r="E1" s="188" t="s">
        <v>384</v>
      </c>
    </row>
    <row r="3" ht="9.75">
      <c r="F3" s="106"/>
    </row>
    <row r="6" ht="9.75">
      <c r="G6" s="43"/>
    </row>
    <row r="7" spans="1:7" ht="12.75">
      <c r="A7" s="886" t="s">
        <v>297</v>
      </c>
      <c r="B7" s="886"/>
      <c r="C7" s="886"/>
      <c r="D7" s="886"/>
      <c r="E7" s="886"/>
      <c r="F7" s="886"/>
      <c r="G7" s="886"/>
    </row>
    <row r="8" spans="1:7" ht="15" customHeight="1">
      <c r="A8" s="889" t="str">
        <f>_xlfn.IFERROR(IF(Indice!B6="","Al dia... de mes… de año 2XX2…","Al "&amp;DAY(Indice!B6)&amp;" de "&amp;VLOOKUP(MONTH(Indice!B6),Indice!S:T,2,0)&amp;" de "&amp;YEAR(Indice!B6)),"Al dia... de mes… de año 2XX2…")</f>
        <v>Al 31 de Diciembre de 2022</v>
      </c>
      <c r="B8" s="889"/>
      <c r="C8" s="889"/>
      <c r="D8" s="889"/>
      <c r="E8" s="889"/>
      <c r="F8" s="889"/>
      <c r="G8" s="889"/>
    </row>
    <row r="9" spans="1:7" ht="12.75">
      <c r="A9" s="887" t="s">
        <v>272</v>
      </c>
      <c r="B9" s="887"/>
      <c r="C9" s="887"/>
      <c r="D9" s="887"/>
      <c r="E9" s="887"/>
      <c r="F9" s="887"/>
      <c r="G9" s="887"/>
    </row>
    <row r="10" spans="1:7" ht="11.25">
      <c r="A10" s="49"/>
      <c r="B10" s="49"/>
      <c r="C10" s="49"/>
      <c r="D10" s="49"/>
      <c r="E10" s="5"/>
      <c r="F10" s="49"/>
      <c r="G10" s="49"/>
    </row>
    <row r="11" spans="1:7" ht="15.75">
      <c r="A11" s="49"/>
      <c r="B11" s="186"/>
      <c r="C11" s="186"/>
      <c r="D11" s="186"/>
      <c r="E11" s="287" t="s">
        <v>218</v>
      </c>
      <c r="F11" s="287">
        <f>_xlfn.IFERROR(IF(Indice!B6="","2XX2",YEAR(Indice!B6)),"2XX2")</f>
        <v>2022</v>
      </c>
      <c r="G11" s="287">
        <f>_xlfn.IFERROR(YEAR(Indice!B6-365),"2XX1")</f>
        <v>2021</v>
      </c>
    </row>
    <row r="12" spans="2:5" ht="15.75">
      <c r="B12" s="882" t="s">
        <v>219</v>
      </c>
      <c r="C12" s="882"/>
      <c r="D12" s="882"/>
      <c r="E12" s="191"/>
    </row>
    <row r="13" spans="1:10" ht="14.25">
      <c r="A13" s="49"/>
      <c r="B13" s="65" t="s">
        <v>220</v>
      </c>
      <c r="C13" s="29"/>
      <c r="D13" s="29"/>
      <c r="E13" s="187"/>
      <c r="F13" s="29"/>
      <c r="G13" s="66"/>
      <c r="I13" s="330"/>
      <c r="J13" s="470"/>
    </row>
    <row r="14" spans="1:9" ht="14.25">
      <c r="A14" s="49"/>
      <c r="B14" s="29"/>
      <c r="C14" s="883" t="s">
        <v>221</v>
      </c>
      <c r="D14" s="883"/>
      <c r="E14" s="205">
        <v>3</v>
      </c>
      <c r="F14" s="330">
        <f>'Nota 3'!C20</f>
        <v>13809885.148999998</v>
      </c>
      <c r="G14" s="330">
        <f>'Nota 3'!D20</f>
        <v>8930286.336</v>
      </c>
      <c r="I14" s="330"/>
    </row>
    <row r="15" spans="1:10" ht="14.25">
      <c r="A15" s="49"/>
      <c r="B15" s="29"/>
      <c r="C15" s="883" t="s">
        <v>109</v>
      </c>
      <c r="D15" s="883"/>
      <c r="E15" s="205">
        <v>4</v>
      </c>
      <c r="F15" s="330">
        <f>'Nota 4'!B18</f>
        <v>5035749.246</v>
      </c>
      <c r="G15" s="330">
        <f>'Nota 4'!C18</f>
        <v>25004321.416</v>
      </c>
      <c r="I15" s="330"/>
      <c r="J15" s="330"/>
    </row>
    <row r="16" spans="1:10" ht="14.25">
      <c r="A16" s="49"/>
      <c r="B16" s="29"/>
      <c r="C16" s="883" t="s">
        <v>222</v>
      </c>
      <c r="D16" s="883"/>
      <c r="E16" s="205">
        <v>5</v>
      </c>
      <c r="F16" s="330">
        <f>'Nota 5'!C27</f>
        <v>485630985.549</v>
      </c>
      <c r="G16" s="330">
        <f>'Nota 5'!D27</f>
        <v>402351326.56799996</v>
      </c>
      <c r="I16" s="330"/>
      <c r="J16" s="473"/>
    </row>
    <row r="17" spans="1:10" ht="14.25">
      <c r="A17" s="64"/>
      <c r="B17" s="29"/>
      <c r="C17" s="888" t="s">
        <v>225</v>
      </c>
      <c r="D17" s="888"/>
      <c r="E17" s="205">
        <v>6</v>
      </c>
      <c r="F17" s="330">
        <f>'Nota 6'!B63</f>
        <v>10906537.752</v>
      </c>
      <c r="G17" s="330">
        <f>'Nota 6'!C63</f>
        <v>11285922.439999996</v>
      </c>
      <c r="I17" s="330"/>
      <c r="J17" s="446"/>
    </row>
    <row r="18" spans="1:10" ht="14.25">
      <c r="A18" s="49"/>
      <c r="B18" s="29"/>
      <c r="C18" s="883" t="s">
        <v>223</v>
      </c>
      <c r="D18" s="883"/>
      <c r="E18" s="205">
        <v>7</v>
      </c>
      <c r="F18" s="330">
        <f>'Nota 7'!B15</f>
        <v>0</v>
      </c>
      <c r="G18" s="330">
        <f>'Nota 7'!C15</f>
        <v>0</v>
      </c>
      <c r="I18" s="330"/>
      <c r="J18" s="43"/>
    </row>
    <row r="19" spans="1:10" ht="12.75">
      <c r="A19" s="49"/>
      <c r="B19" s="29"/>
      <c r="C19" s="65" t="s">
        <v>305</v>
      </c>
      <c r="D19" s="29"/>
      <c r="E19" s="187"/>
      <c r="F19" s="566">
        <f>SUM(F14:F18)</f>
        <v>515383157.696</v>
      </c>
      <c r="G19" s="566">
        <f>SUM(G14:G18)</f>
        <v>447571856.75999993</v>
      </c>
      <c r="I19" s="330"/>
      <c r="J19" s="43"/>
    </row>
    <row r="20" spans="1:9" ht="12.75">
      <c r="A20" s="49"/>
      <c r="B20" s="65" t="s">
        <v>224</v>
      </c>
      <c r="C20" s="29"/>
      <c r="D20" s="29"/>
      <c r="E20" s="187"/>
      <c r="F20" s="505"/>
      <c r="G20" s="331"/>
      <c r="I20" s="330"/>
    </row>
    <row r="21" spans="1:9" ht="14.25">
      <c r="A21" s="49"/>
      <c r="B21" s="29"/>
      <c r="C21" s="883" t="s">
        <v>225</v>
      </c>
      <c r="D21" s="883"/>
      <c r="E21" s="205">
        <v>6</v>
      </c>
      <c r="F21" s="330">
        <f>'Nota 6'!F16</f>
        <v>10024697.871000001</v>
      </c>
      <c r="G21" s="567">
        <f>'Nota 6'!G16</f>
        <v>7568493.201</v>
      </c>
      <c r="I21" s="330"/>
    </row>
    <row r="22" spans="1:11" ht="14.25">
      <c r="A22" s="49"/>
      <c r="B22" s="29"/>
      <c r="C22" s="354" t="s">
        <v>222</v>
      </c>
      <c r="D22" s="354"/>
      <c r="E22" s="205">
        <v>5</v>
      </c>
      <c r="F22" s="330">
        <f>'Nota 5'!C54</f>
        <v>54358074.8</v>
      </c>
      <c r="G22" s="567">
        <f>'Nota 5'!D54</f>
        <v>78585234.105</v>
      </c>
      <c r="I22" s="330"/>
      <c r="J22" s="598"/>
      <c r="K22" s="71"/>
    </row>
    <row r="23" spans="1:11" ht="14.25">
      <c r="A23" s="49"/>
      <c r="B23" s="29"/>
      <c r="C23" s="883" t="s">
        <v>410</v>
      </c>
      <c r="D23" s="883"/>
      <c r="E23" s="205">
        <v>8</v>
      </c>
      <c r="F23" s="330">
        <f>'Nota 8'!B8</f>
        <v>4009803.163</v>
      </c>
      <c r="G23" s="331">
        <f>'Nota 8'!C8</f>
        <v>750125</v>
      </c>
      <c r="I23" s="330"/>
      <c r="J23" s="597"/>
      <c r="K23" s="71"/>
    </row>
    <row r="24" spans="1:11" ht="14.25">
      <c r="A24" s="49"/>
      <c r="B24" s="29"/>
      <c r="C24" s="883" t="s">
        <v>411</v>
      </c>
      <c r="D24" s="883"/>
      <c r="E24" s="205">
        <v>9</v>
      </c>
      <c r="F24" s="330">
        <f>'Nota 9'!L25</f>
        <v>2064942.485</v>
      </c>
      <c r="G24" s="331">
        <f>'Nota 9'!M25</f>
        <v>2399968.209000001</v>
      </c>
      <c r="I24" s="330"/>
      <c r="J24" s="597"/>
      <c r="K24" s="71"/>
    </row>
    <row r="25" spans="1:11" ht="14.25">
      <c r="A25" s="49"/>
      <c r="B25" s="29"/>
      <c r="C25" s="883" t="s">
        <v>242</v>
      </c>
      <c r="D25" s="883"/>
      <c r="E25" s="205">
        <v>10</v>
      </c>
      <c r="F25" s="330">
        <f>'Nota 10'!B19</f>
        <v>0</v>
      </c>
      <c r="G25" s="331">
        <f>'Nota 10'!C19</f>
        <v>0</v>
      </c>
      <c r="I25" s="330"/>
      <c r="J25" s="71"/>
      <c r="K25" s="71"/>
    </row>
    <row r="26" spans="1:11" ht="14.25">
      <c r="A26" s="49"/>
      <c r="B26" s="29"/>
      <c r="C26" s="883" t="s">
        <v>124</v>
      </c>
      <c r="D26" s="883"/>
      <c r="E26" s="205">
        <v>11</v>
      </c>
      <c r="F26" s="330">
        <f>'Nota 11'!B12</f>
        <v>369584.52600000007</v>
      </c>
      <c r="G26" s="331">
        <f>'Nota 11'!C12</f>
        <v>66697.46700000018</v>
      </c>
      <c r="I26" s="330"/>
      <c r="J26" s="71"/>
      <c r="K26" s="71"/>
    </row>
    <row r="27" spans="1:11" ht="14.25">
      <c r="A27" s="49"/>
      <c r="B27" s="29"/>
      <c r="C27" s="883" t="s">
        <v>130</v>
      </c>
      <c r="D27" s="883"/>
      <c r="E27" s="205">
        <v>12</v>
      </c>
      <c r="F27" s="330">
        <f>'Nota 12'!B11</f>
        <v>0</v>
      </c>
      <c r="G27" s="331">
        <f>'Nota 12'!C11</f>
        <v>0</v>
      </c>
      <c r="I27" s="330"/>
      <c r="J27" s="71"/>
      <c r="K27" s="71"/>
    </row>
    <row r="28" spans="1:11" ht="12.75">
      <c r="A28" s="49"/>
      <c r="B28" s="29"/>
      <c r="C28" s="885" t="s">
        <v>323</v>
      </c>
      <c r="D28" s="885"/>
      <c r="E28" s="187"/>
      <c r="F28" s="566">
        <f>SUM(F21:F27)</f>
        <v>70827102.84499998</v>
      </c>
      <c r="G28" s="566">
        <f>SUM(G21:G27)</f>
        <v>89370517.98200002</v>
      </c>
      <c r="I28" s="330"/>
      <c r="J28" s="71"/>
      <c r="K28" s="71"/>
    </row>
    <row r="29" spans="1:12" ht="15.75">
      <c r="A29" s="49"/>
      <c r="B29" s="895" t="s">
        <v>243</v>
      </c>
      <c r="C29" s="895"/>
      <c r="D29" s="895"/>
      <c r="E29" s="192"/>
      <c r="F29" s="568">
        <f>+F19+F28</f>
        <v>586210260.541</v>
      </c>
      <c r="G29" s="569">
        <f>+G19+G28</f>
        <v>536942374.742</v>
      </c>
      <c r="I29" s="330"/>
      <c r="J29" s="470"/>
      <c r="K29" s="470"/>
      <c r="L29" s="470"/>
    </row>
    <row r="30" spans="2:12" ht="18">
      <c r="B30" s="884" t="s">
        <v>244</v>
      </c>
      <c r="C30" s="884"/>
      <c r="D30" s="884"/>
      <c r="E30" s="194"/>
      <c r="F30" s="570">
        <v>5361266</v>
      </c>
      <c r="G30" s="571">
        <v>395442329</v>
      </c>
      <c r="I30" s="330"/>
      <c r="J30" s="598"/>
      <c r="K30" s="623"/>
      <c r="L30" s="473"/>
    </row>
    <row r="31" spans="1:11" ht="12.75">
      <c r="A31" s="49"/>
      <c r="B31" s="65" t="s">
        <v>245</v>
      </c>
      <c r="C31" s="29"/>
      <c r="D31" s="29"/>
      <c r="E31" s="187"/>
      <c r="F31" s="572">
        <v>-1</v>
      </c>
      <c r="G31" s="331"/>
      <c r="I31" s="330"/>
      <c r="J31" s="71"/>
      <c r="K31" s="71"/>
    </row>
    <row r="32" spans="1:11" ht="14.25">
      <c r="A32" s="49"/>
      <c r="B32" s="29"/>
      <c r="C32" s="883" t="s">
        <v>110</v>
      </c>
      <c r="D32" s="883"/>
      <c r="E32" s="205">
        <v>13</v>
      </c>
      <c r="F32" s="330">
        <f>'Nota 13'!D13</f>
        <v>643346.701</v>
      </c>
      <c r="G32" s="331">
        <f>'Nota 13'!E13</f>
        <v>745296.545</v>
      </c>
      <c r="I32" s="330"/>
      <c r="J32" s="71"/>
      <c r="K32" s="71"/>
    </row>
    <row r="33" spans="1:10" ht="14.25">
      <c r="A33" s="49"/>
      <c r="B33" s="29"/>
      <c r="C33" s="896" t="s">
        <v>247</v>
      </c>
      <c r="D33" s="896"/>
      <c r="E33" s="205">
        <v>14</v>
      </c>
      <c r="F33" s="330">
        <f>'Nota 14'!E71</f>
        <v>292269765.7929999</v>
      </c>
      <c r="G33" s="331">
        <f>'Nota 14'!L71</f>
        <v>207269701.73599997</v>
      </c>
      <c r="I33" s="330"/>
      <c r="J33" s="446"/>
    </row>
    <row r="34" spans="1:10" ht="14.25">
      <c r="A34" s="49"/>
      <c r="B34" s="29"/>
      <c r="C34" s="883" t="s">
        <v>132</v>
      </c>
      <c r="D34" s="883"/>
      <c r="E34" s="205">
        <v>15</v>
      </c>
      <c r="F34" s="330">
        <f>'Nota 15'!B15</f>
        <v>0</v>
      </c>
      <c r="G34" s="331">
        <f>'Nota 15'!C15</f>
        <v>0</v>
      </c>
      <c r="I34" s="330"/>
      <c r="J34" s="446"/>
    </row>
    <row r="35" spans="1:10" ht="14.25">
      <c r="A35" s="49"/>
      <c r="B35" s="29"/>
      <c r="C35" s="883" t="s">
        <v>66</v>
      </c>
      <c r="D35" s="883"/>
      <c r="E35" s="205">
        <v>16</v>
      </c>
      <c r="F35" s="330">
        <f>'Nota 16'!B12</f>
        <v>452284.297</v>
      </c>
      <c r="G35" s="331">
        <f>'Nota 16'!C12</f>
        <v>282694.195</v>
      </c>
      <c r="I35" s="330"/>
      <c r="J35" s="446"/>
    </row>
    <row r="36" spans="1:9" ht="14.25">
      <c r="A36" s="49"/>
      <c r="B36" s="29"/>
      <c r="C36" s="883" t="s">
        <v>67</v>
      </c>
      <c r="D36" s="883"/>
      <c r="E36" s="205">
        <v>17</v>
      </c>
      <c r="F36" s="330">
        <f>'Nota 17'!B15</f>
        <v>1376024.1199999999</v>
      </c>
      <c r="G36" s="331">
        <f>'Nota 17'!C15</f>
        <v>14036072.761</v>
      </c>
      <c r="I36" s="330"/>
    </row>
    <row r="37" spans="1:10" ht="14.25">
      <c r="A37" s="49"/>
      <c r="B37" s="29"/>
      <c r="C37" s="883" t="s">
        <v>68</v>
      </c>
      <c r="D37" s="883"/>
      <c r="E37" s="205">
        <v>18</v>
      </c>
      <c r="F37" s="330">
        <f>'Nota 18'!B92</f>
        <v>3552229.4409999996</v>
      </c>
      <c r="G37" s="331">
        <f>'Nota 18'!C92</f>
        <v>2901023.906000001</v>
      </c>
      <c r="I37" s="330"/>
      <c r="J37" s="473"/>
    </row>
    <row r="38" spans="1:10" ht="14.25">
      <c r="A38" s="49"/>
      <c r="B38" s="29"/>
      <c r="C38" s="883" t="s">
        <v>248</v>
      </c>
      <c r="D38" s="883"/>
      <c r="E38" s="205">
        <v>19</v>
      </c>
      <c r="F38" s="330">
        <f>'Nota 19'!B22</f>
        <v>515230.167</v>
      </c>
      <c r="G38" s="331">
        <f>'Nota 19'!C22+1</f>
        <v>815448.862</v>
      </c>
      <c r="I38" s="330"/>
      <c r="J38" s="446"/>
    </row>
    <row r="39" spans="1:10" ht="13.5" customHeight="1">
      <c r="A39" s="49"/>
      <c r="B39" s="29"/>
      <c r="C39" s="65" t="s">
        <v>246</v>
      </c>
      <c r="D39" s="29"/>
      <c r="E39" s="187"/>
      <c r="F39" s="566">
        <f>+F32+F33+F34+F35+F36+F37+F38</f>
        <v>298808880.5189999</v>
      </c>
      <c r="G39" s="566">
        <f>SUM(G32:G38)</f>
        <v>226050238.00499994</v>
      </c>
      <c r="I39" s="330"/>
      <c r="J39" s="43"/>
    </row>
    <row r="40" spans="1:9" ht="12.75">
      <c r="A40" s="49"/>
      <c r="B40" s="65" t="s">
        <v>249</v>
      </c>
      <c r="C40" s="29"/>
      <c r="D40" s="29"/>
      <c r="E40" s="187"/>
      <c r="F40" s="505"/>
      <c r="G40" s="505"/>
      <c r="I40" s="330"/>
    </row>
    <row r="41" spans="1:9" ht="14.25">
      <c r="A41" s="49"/>
      <c r="B41" s="29"/>
      <c r="C41" s="883" t="s">
        <v>250</v>
      </c>
      <c r="D41" s="883"/>
      <c r="E41" s="205">
        <v>14</v>
      </c>
      <c r="F41" s="330">
        <f>'Nota 14'!E102</f>
        <v>65209732.826000005</v>
      </c>
      <c r="G41" s="331">
        <f>'Nota 14'!L102</f>
        <v>78455667.92800002</v>
      </c>
      <c r="I41" s="330"/>
    </row>
    <row r="42" spans="1:9" ht="14.25">
      <c r="A42" s="49"/>
      <c r="B42" s="29"/>
      <c r="C42" s="883" t="s">
        <v>358</v>
      </c>
      <c r="D42" s="883"/>
      <c r="E42" s="205">
        <v>19</v>
      </c>
      <c r="F42" s="330">
        <f>'Nota 19'!F14</f>
        <v>0</v>
      </c>
      <c r="G42" s="331">
        <f>'Nota 19'!G14</f>
        <v>0</v>
      </c>
      <c r="I42" s="330"/>
    </row>
    <row r="43" spans="1:9" ht="12.75">
      <c r="A43" s="49"/>
      <c r="B43" s="29"/>
      <c r="C43" s="65" t="s">
        <v>333</v>
      </c>
      <c r="D43" s="29"/>
      <c r="E43" s="187"/>
      <c r="F43" s="566">
        <f>SUM(F41:F42)</f>
        <v>65209732.826000005</v>
      </c>
      <c r="G43" s="566">
        <f>SUM(G41:G42)</f>
        <v>78455667.92800002</v>
      </c>
      <c r="I43" s="330"/>
    </row>
    <row r="44" spans="1:9" ht="6" customHeight="1">
      <c r="A44" s="49"/>
      <c r="B44" s="29"/>
      <c r="C44" s="29"/>
      <c r="D44" s="75"/>
      <c r="E44" s="193"/>
      <c r="F44" s="505"/>
      <c r="G44" s="331"/>
      <c r="I44" s="330"/>
    </row>
    <row r="45" spans="1:12" ht="15.75">
      <c r="A45" s="49"/>
      <c r="B45" s="884" t="s">
        <v>412</v>
      </c>
      <c r="C45" s="884"/>
      <c r="D45" s="884"/>
      <c r="E45" s="195"/>
      <c r="F45" s="568">
        <f>+F39+F43</f>
        <v>364018613.3449999</v>
      </c>
      <c r="G45" s="568">
        <f>+G39+G43</f>
        <v>304505905.93299997</v>
      </c>
      <c r="I45" s="330"/>
      <c r="J45" s="416"/>
      <c r="K45" s="473"/>
      <c r="L45" s="473"/>
    </row>
    <row r="46" spans="2:11" ht="15.75">
      <c r="B46" s="884" t="s">
        <v>41</v>
      </c>
      <c r="C46" s="884"/>
      <c r="D46" s="884"/>
      <c r="E46" s="194"/>
      <c r="F46" s="420"/>
      <c r="G46" s="420"/>
      <c r="I46" s="330"/>
      <c r="J46" s="446"/>
      <c r="K46" s="446"/>
    </row>
    <row r="47" spans="1:9" ht="14.25">
      <c r="A47" s="49"/>
      <c r="B47" s="29"/>
      <c r="C47" s="883" t="s">
        <v>252</v>
      </c>
      <c r="D47" s="883"/>
      <c r="E47" s="205">
        <v>20</v>
      </c>
      <c r="F47" s="330">
        <f>'Nota 20'!B13</f>
        <v>143712672.948</v>
      </c>
      <c r="G47" s="330">
        <f>'Nota 20'!C13</f>
        <v>135619737.35</v>
      </c>
      <c r="I47" s="330"/>
    </row>
    <row r="48" spans="1:11" ht="14.25">
      <c r="A48" s="49"/>
      <c r="B48" s="29"/>
      <c r="C48" s="883" t="s">
        <v>43</v>
      </c>
      <c r="D48" s="883"/>
      <c r="E48" s="188">
        <v>21</v>
      </c>
      <c r="F48" s="330">
        <f>' Nota 21'!B8</f>
        <v>1329154.82</v>
      </c>
      <c r="G48" s="330">
        <f>' Nota 21'!C8</f>
        <v>1330528</v>
      </c>
      <c r="I48" s="330"/>
      <c r="J48" s="446"/>
      <c r="K48" s="446"/>
    </row>
    <row r="49" spans="1:9" ht="14.25">
      <c r="A49" s="64"/>
      <c r="B49" s="29"/>
      <c r="C49" s="883" t="s">
        <v>80</v>
      </c>
      <c r="D49" s="883"/>
      <c r="E49" s="188">
        <v>21</v>
      </c>
      <c r="F49" s="330">
        <f>' Nota 21'!B12</f>
        <v>19459839.054</v>
      </c>
      <c r="G49" s="330">
        <f>' Nota 21'!C12</f>
        <v>16677338</v>
      </c>
      <c r="I49" s="330"/>
    </row>
    <row r="50" spans="1:9" ht="14.25">
      <c r="A50" s="49"/>
      <c r="B50" s="29"/>
      <c r="C50" s="883" t="s">
        <v>253</v>
      </c>
      <c r="D50" s="883"/>
      <c r="E50" s="188">
        <v>21</v>
      </c>
      <c r="F50" s="330">
        <f>' Nota 21'!B16</f>
        <v>0</v>
      </c>
      <c r="G50" s="330">
        <f>' Nota 21'!C16</f>
        <v>0</v>
      </c>
      <c r="I50" s="330"/>
    </row>
    <row r="51" spans="1:9" ht="14.25">
      <c r="A51" s="49"/>
      <c r="B51" s="29"/>
      <c r="C51" s="883" t="s">
        <v>254</v>
      </c>
      <c r="D51" s="883"/>
      <c r="E51" s="188">
        <v>21</v>
      </c>
      <c r="F51" s="330">
        <f>' Nota 21'!B20</f>
        <v>4862778.492</v>
      </c>
      <c r="G51" s="330">
        <f>' Nota 21'!C20</f>
        <v>33381225.338</v>
      </c>
      <c r="I51" s="330"/>
    </row>
    <row r="52" spans="1:9" ht="14.25">
      <c r="A52" s="49"/>
      <c r="B52" s="29"/>
      <c r="C52" s="883" t="s">
        <v>69</v>
      </c>
      <c r="D52" s="883"/>
      <c r="E52" s="205">
        <v>22</v>
      </c>
      <c r="F52" s="330">
        <f>'Nota 22'!B8</f>
        <v>0</v>
      </c>
      <c r="G52" s="330">
        <f>'Nota 22'!C8</f>
        <v>0</v>
      </c>
      <c r="I52" s="330"/>
    </row>
    <row r="53" spans="1:9" ht="14.25">
      <c r="A53" s="49"/>
      <c r="B53" s="29"/>
      <c r="C53" s="883" t="s">
        <v>44</v>
      </c>
      <c r="D53" s="883"/>
      <c r="E53" s="205">
        <v>23</v>
      </c>
      <c r="F53" s="330">
        <f>'Nota 23'!B10</f>
        <v>52827201.958</v>
      </c>
      <c r="G53" s="330">
        <f>'Nota 23'!C10</f>
        <v>45427640.032</v>
      </c>
      <c r="I53" s="330"/>
    </row>
    <row r="54" spans="1:9" ht="12.75">
      <c r="A54" s="49"/>
      <c r="B54" s="29"/>
      <c r="C54" s="894" t="s">
        <v>61</v>
      </c>
      <c r="D54" s="894"/>
      <c r="E54" s="187"/>
      <c r="F54" s="330">
        <f>SUM(F47:F53)</f>
        <v>222191647.272</v>
      </c>
      <c r="G54" s="330">
        <f>SUM(G47:G53)</f>
        <v>232436468.72</v>
      </c>
      <c r="I54" s="330"/>
    </row>
    <row r="55" spans="1:9" ht="14.25">
      <c r="A55" s="49"/>
      <c r="B55" s="29"/>
      <c r="C55" s="883" t="s">
        <v>70</v>
      </c>
      <c r="D55" s="883"/>
      <c r="E55" s="205">
        <v>24</v>
      </c>
      <c r="F55" s="330">
        <f>'Nota 24'!B8</f>
        <v>0</v>
      </c>
      <c r="G55" s="330">
        <f>'Nota 24'!C8</f>
        <v>0</v>
      </c>
      <c r="I55" s="330"/>
    </row>
    <row r="56" spans="1:12" ht="15.75">
      <c r="A56" s="49"/>
      <c r="B56" s="884" t="s">
        <v>255</v>
      </c>
      <c r="C56" s="884"/>
      <c r="D56" s="884"/>
      <c r="E56" s="195"/>
      <c r="F56" s="568">
        <f>F54</f>
        <v>222191647.272</v>
      </c>
      <c r="G56" s="568">
        <f>G54</f>
        <v>232436468.72</v>
      </c>
      <c r="I56" s="330"/>
      <c r="J56" s="473"/>
      <c r="K56" s="473"/>
      <c r="L56" s="473"/>
    </row>
    <row r="57" spans="1:11" ht="15.75">
      <c r="A57" s="49"/>
      <c r="B57" s="884" t="s">
        <v>256</v>
      </c>
      <c r="C57" s="884"/>
      <c r="D57" s="884"/>
      <c r="E57" s="196"/>
      <c r="F57" s="568">
        <f>+F45+F56</f>
        <v>586210260.6169999</v>
      </c>
      <c r="G57" s="568">
        <f>+G45+G56</f>
        <v>536942374.653</v>
      </c>
      <c r="I57" s="330"/>
      <c r="J57" s="473"/>
      <c r="K57" s="473"/>
    </row>
    <row r="58" spans="1:11" ht="12.75">
      <c r="A58" s="49"/>
      <c r="B58" s="65"/>
      <c r="C58" s="29"/>
      <c r="D58" s="29"/>
      <c r="E58" s="187"/>
      <c r="F58" s="573"/>
      <c r="G58" s="505"/>
      <c r="I58" s="330"/>
      <c r="J58" s="473"/>
      <c r="K58" s="473"/>
    </row>
    <row r="59" spans="2:9" ht="12.75">
      <c r="B59" s="49" t="s">
        <v>409</v>
      </c>
      <c r="C59" s="49"/>
      <c r="D59" s="49"/>
      <c r="E59" s="197"/>
      <c r="F59" s="574"/>
      <c r="G59" s="574"/>
      <c r="I59" s="330"/>
    </row>
    <row r="60" spans="1:9" ht="12.75">
      <c r="A60" s="49"/>
      <c r="B60" s="63"/>
      <c r="C60" s="49"/>
      <c r="D60" s="49"/>
      <c r="E60" s="197"/>
      <c r="F60" s="574"/>
      <c r="G60" s="575"/>
      <c r="I60" s="330"/>
    </row>
    <row r="61" spans="1:9" ht="12.75">
      <c r="A61" s="49"/>
      <c r="B61" s="63"/>
      <c r="C61" s="49"/>
      <c r="D61" s="49"/>
      <c r="E61" s="197"/>
      <c r="F61" s="574"/>
      <c r="G61" s="575"/>
      <c r="I61" s="330"/>
    </row>
    <row r="62" spans="1:9" ht="12.75">
      <c r="A62" s="49"/>
      <c r="B62" s="63"/>
      <c r="C62" s="49"/>
      <c r="D62" s="49"/>
      <c r="E62" s="197"/>
      <c r="F62" s="574"/>
      <c r="G62" s="575"/>
      <c r="I62" s="330"/>
    </row>
    <row r="63" spans="1:9" ht="12.75">
      <c r="A63" s="49"/>
      <c r="B63" s="49"/>
      <c r="C63" s="49"/>
      <c r="D63" s="49"/>
      <c r="E63" s="197"/>
      <c r="F63" s="574"/>
      <c r="G63" s="574"/>
      <c r="I63" s="330"/>
    </row>
    <row r="64" spans="1:9" s="74" customFormat="1" ht="15">
      <c r="A64" s="87"/>
      <c r="B64" s="88"/>
      <c r="C64" s="88"/>
      <c r="D64" s="88"/>
      <c r="E64" s="198"/>
      <c r="F64" s="893"/>
      <c r="G64" s="893"/>
      <c r="I64" s="330"/>
    </row>
    <row r="65" spans="2:9" s="74" customFormat="1" ht="15">
      <c r="B65" s="89"/>
      <c r="C65" s="89"/>
      <c r="D65" s="97"/>
      <c r="E65" s="199"/>
      <c r="F65" s="891"/>
      <c r="G65" s="891"/>
      <c r="I65" s="330"/>
    </row>
    <row r="66" spans="1:9" s="74" customFormat="1" ht="15">
      <c r="A66" s="87"/>
      <c r="B66" s="87"/>
      <c r="C66" s="87"/>
      <c r="D66" s="73"/>
      <c r="E66" s="200"/>
      <c r="F66" s="73"/>
      <c r="G66" s="87"/>
      <c r="I66" s="330"/>
    </row>
    <row r="67" spans="1:9" s="74" customFormat="1" ht="15">
      <c r="A67" s="87"/>
      <c r="B67" s="87"/>
      <c r="C67" s="87"/>
      <c r="D67" s="73"/>
      <c r="E67" s="200"/>
      <c r="F67" s="73"/>
      <c r="G67" s="87"/>
      <c r="I67" s="330"/>
    </row>
    <row r="68" spans="1:9" s="74" customFormat="1" ht="15">
      <c r="A68" s="87"/>
      <c r="B68" s="87"/>
      <c r="C68" s="87"/>
      <c r="D68" s="73"/>
      <c r="E68" s="200"/>
      <c r="F68" s="73"/>
      <c r="G68" s="87"/>
      <c r="I68" s="330"/>
    </row>
    <row r="69" spans="1:9" s="74" customFormat="1" ht="15">
      <c r="A69" s="90"/>
      <c r="B69" s="90"/>
      <c r="C69" s="90"/>
      <c r="D69" s="90"/>
      <c r="E69" s="201"/>
      <c r="F69" s="892"/>
      <c r="G69" s="892"/>
      <c r="I69" s="330"/>
    </row>
    <row r="70" spans="2:9" s="74" customFormat="1" ht="15">
      <c r="B70" s="91"/>
      <c r="C70" s="91"/>
      <c r="D70" s="91"/>
      <c r="E70" s="200"/>
      <c r="F70" s="891"/>
      <c r="G70" s="891"/>
      <c r="I70" s="330"/>
    </row>
    <row r="71" spans="2:9" s="73" customFormat="1" ht="15">
      <c r="B71" s="890"/>
      <c r="C71" s="890"/>
      <c r="D71" s="890"/>
      <c r="E71" s="200"/>
      <c r="I71" s="330"/>
    </row>
    <row r="72" spans="1:9" ht="12.75">
      <c r="A72" s="29"/>
      <c r="B72" s="29"/>
      <c r="C72" s="66"/>
      <c r="D72" s="67"/>
      <c r="E72" s="187"/>
      <c r="F72" s="67"/>
      <c r="G72" s="29"/>
      <c r="I72" s="330"/>
    </row>
    <row r="73" spans="3:9" ht="12.75">
      <c r="C73" s="41"/>
      <c r="D73" s="39"/>
      <c r="E73" s="202"/>
      <c r="F73" s="39"/>
      <c r="I73" s="330"/>
    </row>
    <row r="74" spans="4:9" ht="12.75">
      <c r="D74" s="40"/>
      <c r="E74" s="203"/>
      <c r="F74" s="40"/>
      <c r="I74" s="330"/>
    </row>
    <row r="75" spans="4:9" ht="12.75">
      <c r="D75" s="40"/>
      <c r="E75" s="203"/>
      <c r="F75" s="40"/>
      <c r="I75" s="330"/>
    </row>
    <row r="76" spans="4:9" ht="12.75">
      <c r="D76" s="40"/>
      <c r="E76" s="203"/>
      <c r="F76" s="40"/>
      <c r="I76" s="330"/>
    </row>
    <row r="77" spans="4:9" ht="12.75">
      <c r="D77" s="40"/>
      <c r="E77" s="203"/>
      <c r="F77" s="40"/>
      <c r="I77" s="330"/>
    </row>
    <row r="78" spans="4:9" ht="12.75">
      <c r="D78" s="40"/>
      <c r="E78" s="203"/>
      <c r="F78" s="40"/>
      <c r="I78" s="330"/>
    </row>
    <row r="79" ht="9.75">
      <c r="E79" s="204"/>
    </row>
    <row r="80" spans="3:5" ht="9.75">
      <c r="C80" s="42"/>
      <c r="E80" s="204"/>
    </row>
    <row r="81" spans="3:6" ht="9.75">
      <c r="C81" s="41"/>
      <c r="D81" s="39"/>
      <c r="E81" s="202"/>
      <c r="F81" s="39"/>
    </row>
    <row r="82" spans="4:6" ht="9.75">
      <c r="D82" s="39"/>
      <c r="E82" s="72"/>
      <c r="F82" s="39"/>
    </row>
  </sheetData>
  <sheetProtection/>
  <mergeCells count="45">
    <mergeCell ref="C48:D48"/>
    <mergeCell ref="B56:D56"/>
    <mergeCell ref="B29:D29"/>
    <mergeCell ref="C41:D41"/>
    <mergeCell ref="C33:D33"/>
    <mergeCell ref="C27:D27"/>
    <mergeCell ref="C34:D34"/>
    <mergeCell ref="C55:D55"/>
    <mergeCell ref="C50:D50"/>
    <mergeCell ref="C51:D51"/>
    <mergeCell ref="C49:D49"/>
    <mergeCell ref="B71:D71"/>
    <mergeCell ref="B57:D57"/>
    <mergeCell ref="F70:G70"/>
    <mergeCell ref="F69:G69"/>
    <mergeCell ref="F65:G65"/>
    <mergeCell ref="F64:G64"/>
    <mergeCell ref="C54:D54"/>
    <mergeCell ref="C52:D52"/>
    <mergeCell ref="C25:D25"/>
    <mergeCell ref="C26:D26"/>
    <mergeCell ref="C35:D35"/>
    <mergeCell ref="C36:D36"/>
    <mergeCell ref="C42:D42"/>
    <mergeCell ref="C38:D38"/>
    <mergeCell ref="A7:G7"/>
    <mergeCell ref="A9:G9"/>
    <mergeCell ref="C17:D17"/>
    <mergeCell ref="C18:D18"/>
    <mergeCell ref="C23:D23"/>
    <mergeCell ref="A8:G8"/>
    <mergeCell ref="C16:D16"/>
    <mergeCell ref="C21:D21"/>
    <mergeCell ref="C14:D14"/>
    <mergeCell ref="C15:D15"/>
    <mergeCell ref="B12:D12"/>
    <mergeCell ref="C53:D53"/>
    <mergeCell ref="B30:D30"/>
    <mergeCell ref="B46:D46"/>
    <mergeCell ref="B45:D45"/>
    <mergeCell ref="C32:D32"/>
    <mergeCell ref="C37:D37"/>
    <mergeCell ref="C47:D47"/>
    <mergeCell ref="C24:D24"/>
    <mergeCell ref="C28:D28"/>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1"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2" location="'Nota 19'!A1" display="'Nota 19'!A1"/>
    <hyperlink ref="E47" location="'Nota 20'!A1" display="'Nota 20'!A1"/>
    <hyperlink ref="E52" location="'Nota 22'!A1" display="'Nota 22'!A1"/>
    <hyperlink ref="E48" location="' Nota 21'!A1" display="' Nota 21'!A1"/>
    <hyperlink ref="E49" location="' Nota 21'!A1" display="' Nota 21'!A1"/>
    <hyperlink ref="E50" location="' Nota 21'!A1" display="' Nota 21'!A1"/>
    <hyperlink ref="E51" location="' Nota 21'!A1" display="' Nota 21'!A1"/>
    <hyperlink ref="E53" location="'Nota 23'!A1" display="'Nota 23'!A1"/>
    <hyperlink ref="E55" location="'Nota 24'!A1" display="'Nota 24'!A1"/>
    <hyperlink ref="E1" location="Indice!A1" display="Indice"/>
    <hyperlink ref="E22" location="'Nota 5'!A1" display="'Nota 5'!A1"/>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ignoredErrors>
    <ignoredError sqref="G28" formulaRange="1"/>
  </ignoredErrors>
  <drawing r:id="rId1"/>
</worksheet>
</file>

<file path=xl/worksheets/sheet20.xml><?xml version="1.0" encoding="utf-8"?>
<worksheet xmlns="http://schemas.openxmlformats.org/spreadsheetml/2006/main" xmlns:r="http://schemas.openxmlformats.org/officeDocument/2006/relationships">
  <dimension ref="A1:AH19"/>
  <sheetViews>
    <sheetView zoomScalePageLayoutView="0" workbookViewId="0" topLeftCell="A1">
      <selection activeCell="B9" sqref="B9"/>
    </sheetView>
  </sheetViews>
  <sheetFormatPr defaultColWidth="11.421875" defaultRowHeight="15"/>
  <cols>
    <col min="1" max="1" width="44.7109375" style="114" customWidth="1"/>
    <col min="2" max="2" width="18.28125" style="114" customWidth="1"/>
    <col min="3" max="3" width="20.140625" style="114" customWidth="1"/>
    <col min="4" max="34" width="11.421875" style="114" customWidth="1"/>
  </cols>
  <sheetData>
    <row r="1" spans="1:4" ht="14.25">
      <c r="A1" s="114" t="str">
        <f>Indice!C1</f>
        <v>NEGOFIN S.A.E.C.A.</v>
      </c>
      <c r="D1" s="133" t="s">
        <v>131</v>
      </c>
    </row>
    <row r="5" spans="1:34" ht="14.25">
      <c r="A5" s="293" t="s">
        <v>327</v>
      </c>
      <c r="B5" s="293"/>
      <c r="C5" s="293"/>
      <c r="D5" s="293"/>
      <c r="T5"/>
      <c r="U5"/>
      <c r="V5"/>
      <c r="W5"/>
      <c r="X5"/>
      <c r="Y5"/>
      <c r="Z5"/>
      <c r="AA5"/>
      <c r="AB5"/>
      <c r="AC5"/>
      <c r="AD5"/>
      <c r="AE5"/>
      <c r="AF5"/>
      <c r="AG5"/>
      <c r="AH5"/>
    </row>
    <row r="7" spans="2:3" ht="14.25">
      <c r="B7" s="963" t="s">
        <v>309</v>
      </c>
      <c r="C7" s="963"/>
    </row>
    <row r="8" spans="1:34" ht="14.25">
      <c r="A8" s="282" t="s">
        <v>132</v>
      </c>
      <c r="B8" s="596">
        <f>_xlfn.IFERROR(IF(Indice!B6="","2XX2",YEAR(Indice!B6)),"2XX2")</f>
        <v>2022</v>
      </c>
      <c r="C8" s="596">
        <f>_xlfn.IFERROR(YEAR(Indice!B6-365),"2XX1")</f>
        <v>2021</v>
      </c>
      <c r="D8" s="126"/>
      <c r="T8"/>
      <c r="U8"/>
      <c r="V8"/>
      <c r="W8"/>
      <c r="X8"/>
      <c r="Y8"/>
      <c r="Z8"/>
      <c r="AA8"/>
      <c r="AB8"/>
      <c r="AC8"/>
      <c r="AD8"/>
      <c r="AE8"/>
      <c r="AF8"/>
      <c r="AG8"/>
      <c r="AH8"/>
    </row>
    <row r="9" spans="1:34" ht="14.25">
      <c r="A9" s="127" t="s">
        <v>110</v>
      </c>
      <c r="B9" s="428">
        <v>0</v>
      </c>
      <c r="C9" s="428">
        <v>0</v>
      </c>
      <c r="D9" s="127"/>
      <c r="T9"/>
      <c r="U9"/>
      <c r="V9"/>
      <c r="W9"/>
      <c r="X9"/>
      <c r="Y9"/>
      <c r="Z9"/>
      <c r="AA9"/>
      <c r="AB9"/>
      <c r="AC9"/>
      <c r="AD9"/>
      <c r="AE9"/>
      <c r="AF9"/>
      <c r="AG9"/>
      <c r="AH9"/>
    </row>
    <row r="10" spans="1:34" ht="14.25">
      <c r="A10" s="128" t="s">
        <v>133</v>
      </c>
      <c r="B10" s="428">
        <v>0</v>
      </c>
      <c r="C10" s="428">
        <v>0</v>
      </c>
      <c r="D10" s="128"/>
      <c r="T10"/>
      <c r="U10"/>
      <c r="V10"/>
      <c r="W10"/>
      <c r="X10"/>
      <c r="Y10"/>
      <c r="Z10"/>
      <c r="AA10"/>
      <c r="AB10"/>
      <c r="AC10"/>
      <c r="AD10"/>
      <c r="AE10"/>
      <c r="AF10"/>
      <c r="AG10"/>
      <c r="AH10"/>
    </row>
    <row r="11" spans="1:34" ht="14.25">
      <c r="A11" s="128" t="s">
        <v>115</v>
      </c>
      <c r="B11" s="428">
        <v>0</v>
      </c>
      <c r="C11" s="428">
        <v>0</v>
      </c>
      <c r="D11" s="128"/>
      <c r="T11"/>
      <c r="U11"/>
      <c r="V11"/>
      <c r="W11"/>
      <c r="X11"/>
      <c r="Y11"/>
      <c r="Z11"/>
      <c r="AA11"/>
      <c r="AB11"/>
      <c r="AC11"/>
      <c r="AD11"/>
      <c r="AE11"/>
      <c r="AF11"/>
      <c r="AG11"/>
      <c r="AH11"/>
    </row>
    <row r="12" spans="1:34" ht="14.25">
      <c r="A12" s="128" t="s">
        <v>134</v>
      </c>
      <c r="B12" s="428">
        <v>0</v>
      </c>
      <c r="C12" s="428">
        <v>0</v>
      </c>
      <c r="D12" s="128"/>
      <c r="T12"/>
      <c r="U12"/>
      <c r="V12"/>
      <c r="W12"/>
      <c r="X12"/>
      <c r="Y12"/>
      <c r="Z12"/>
      <c r="AA12"/>
      <c r="AB12"/>
      <c r="AC12"/>
      <c r="AD12"/>
      <c r="AE12"/>
      <c r="AF12"/>
      <c r="AG12"/>
      <c r="AH12"/>
    </row>
    <row r="13" spans="1:34" ht="14.25">
      <c r="A13" s="128" t="s">
        <v>135</v>
      </c>
      <c r="B13" s="428">
        <v>0</v>
      </c>
      <c r="C13" s="428">
        <v>0</v>
      </c>
      <c r="D13" s="128"/>
      <c r="T13"/>
      <c r="U13"/>
      <c r="V13"/>
      <c r="W13"/>
      <c r="X13"/>
      <c r="Y13"/>
      <c r="Z13"/>
      <c r="AA13"/>
      <c r="AB13"/>
      <c r="AC13"/>
      <c r="AD13"/>
      <c r="AE13"/>
      <c r="AF13"/>
      <c r="AG13"/>
      <c r="AH13"/>
    </row>
    <row r="14" spans="1:34" ht="14.25">
      <c r="A14" s="313" t="s">
        <v>65</v>
      </c>
      <c r="B14" s="428">
        <v>0</v>
      </c>
      <c r="C14" s="428">
        <v>0</v>
      </c>
      <c r="D14" s="127"/>
      <c r="T14"/>
      <c r="U14"/>
      <c r="V14"/>
      <c r="W14"/>
      <c r="X14"/>
      <c r="Y14"/>
      <c r="Z14"/>
      <c r="AA14"/>
      <c r="AB14"/>
      <c r="AC14"/>
      <c r="AD14"/>
      <c r="AE14"/>
      <c r="AF14"/>
      <c r="AG14"/>
      <c r="AH14"/>
    </row>
    <row r="15" spans="1:34" ht="14.25">
      <c r="A15" s="117" t="s">
        <v>129</v>
      </c>
      <c r="B15" s="436">
        <f>SUM($B$9:B14)</f>
        <v>0</v>
      </c>
      <c r="C15" s="436">
        <f>SUM($C$9:C14)</f>
        <v>0</v>
      </c>
      <c r="T15"/>
      <c r="U15"/>
      <c r="V15"/>
      <c r="W15"/>
      <c r="X15"/>
      <c r="Y15"/>
      <c r="Z15"/>
      <c r="AA15"/>
      <c r="AB15"/>
      <c r="AC15"/>
      <c r="AD15"/>
      <c r="AE15"/>
      <c r="AF15"/>
      <c r="AG15"/>
      <c r="AH15"/>
    </row>
    <row r="16" spans="1:34" ht="14.25">
      <c r="A16" s="129"/>
      <c r="D16" s="128"/>
      <c r="T16"/>
      <c r="U16"/>
      <c r="V16"/>
      <c r="W16"/>
      <c r="X16"/>
      <c r="Y16"/>
      <c r="Z16"/>
      <c r="AA16"/>
      <c r="AB16"/>
      <c r="AC16"/>
      <c r="AD16"/>
      <c r="AE16"/>
      <c r="AF16"/>
      <c r="AG16"/>
      <c r="AH16"/>
    </row>
    <row r="17" spans="1:34" ht="14.25">
      <c r="A17" s="128"/>
      <c r="D17" s="128"/>
      <c r="T17"/>
      <c r="U17"/>
      <c r="V17"/>
      <c r="W17"/>
      <c r="X17"/>
      <c r="Y17"/>
      <c r="Z17"/>
      <c r="AA17"/>
      <c r="AB17"/>
      <c r="AC17"/>
      <c r="AD17"/>
      <c r="AE17"/>
      <c r="AF17"/>
      <c r="AG17"/>
      <c r="AH17"/>
    </row>
    <row r="18" spans="1:34" ht="14.25">
      <c r="A18" s="129"/>
      <c r="D18" s="128"/>
      <c r="E18" s="127"/>
      <c r="F18" s="127"/>
      <c r="T18"/>
      <c r="U18"/>
      <c r="V18"/>
      <c r="W18"/>
      <c r="X18"/>
      <c r="Y18"/>
      <c r="Z18"/>
      <c r="AA18"/>
      <c r="AB18"/>
      <c r="AC18"/>
      <c r="AD18"/>
      <c r="AE18"/>
      <c r="AF18"/>
      <c r="AG18"/>
      <c r="AH18"/>
    </row>
    <row r="19" spans="20:34" ht="14.2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G12"/>
  <sheetViews>
    <sheetView zoomScalePageLayoutView="0" workbookViewId="0" topLeftCell="A1">
      <selection activeCell="A1" sqref="A1"/>
    </sheetView>
  </sheetViews>
  <sheetFormatPr defaultColWidth="11.421875" defaultRowHeight="15"/>
  <cols>
    <col min="1" max="1" width="48.421875" style="114" customWidth="1"/>
    <col min="2" max="3" width="22.7109375" style="114" customWidth="1"/>
    <col min="4" max="33" width="11.421875" style="114" customWidth="1"/>
  </cols>
  <sheetData>
    <row r="1" spans="1:6" ht="14.25">
      <c r="A1" s="114" t="str">
        <f>Indice!C1</f>
        <v>NEGOFIN S.A.E.C.A.</v>
      </c>
      <c r="F1" s="133" t="s">
        <v>131</v>
      </c>
    </row>
    <row r="4" spans="1:33" ht="14.25">
      <c r="A4" s="293" t="s">
        <v>328</v>
      </c>
      <c r="B4" s="293"/>
      <c r="C4" s="293"/>
      <c r="D4" s="293"/>
      <c r="T4"/>
      <c r="U4"/>
      <c r="V4"/>
      <c r="W4"/>
      <c r="X4"/>
      <c r="Y4"/>
      <c r="Z4"/>
      <c r="AA4"/>
      <c r="AB4"/>
      <c r="AC4"/>
      <c r="AD4"/>
      <c r="AE4"/>
      <c r="AF4"/>
      <c r="AG4"/>
    </row>
    <row r="6" spans="2:3" ht="14.25">
      <c r="B6" s="963" t="s">
        <v>309</v>
      </c>
      <c r="C6" s="963"/>
    </row>
    <row r="7" spans="1:3" ht="14.25">
      <c r="A7" s="282" t="s">
        <v>66</v>
      </c>
      <c r="B7" s="325">
        <f>_xlfn.IFERROR(IF(Indice!B6="","2XX2",YEAR(Indice!B6)),"2XX2")</f>
        <v>2022</v>
      </c>
      <c r="C7" s="325">
        <f>_xlfn.IFERROR(YEAR(Indice!B6-365),"2XX1")</f>
        <v>2021</v>
      </c>
    </row>
    <row r="8" spans="1:3" ht="14.25">
      <c r="A8" s="114" t="s">
        <v>136</v>
      </c>
      <c r="B8" s="429">
        <v>3587.265</v>
      </c>
      <c r="C8" s="429">
        <v>0</v>
      </c>
    </row>
    <row r="9" spans="1:3" ht="14.25">
      <c r="A9" s="114" t="s">
        <v>137</v>
      </c>
      <c r="B9" s="429">
        <v>448697.032</v>
      </c>
      <c r="C9" s="471">
        <v>282694.195</v>
      </c>
    </row>
    <row r="10" spans="1:3" ht="14.25">
      <c r="A10" s="114" t="s">
        <v>138</v>
      </c>
      <c r="B10" s="429">
        <v>0</v>
      </c>
      <c r="C10" s="429">
        <v>0</v>
      </c>
    </row>
    <row r="11" spans="1:3" ht="14.25">
      <c r="A11" s="114" t="s">
        <v>139</v>
      </c>
      <c r="B11" s="429"/>
      <c r="C11" s="429"/>
    </row>
    <row r="12" spans="1:3" ht="14.25">
      <c r="A12" s="114" t="s">
        <v>3</v>
      </c>
      <c r="B12" s="430">
        <f>SUM($B$8:B11)</f>
        <v>452284.297</v>
      </c>
      <c r="C12" s="430">
        <f>SUM($C$8:C11)</f>
        <v>282694.195</v>
      </c>
    </row>
  </sheetData>
  <sheetProtection/>
  <mergeCells count="1">
    <mergeCell ref="B6:C6"/>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P15"/>
  <sheetViews>
    <sheetView zoomScale="88" zoomScaleNormal="88" zoomScalePageLayoutView="0" workbookViewId="0" topLeftCell="A1">
      <selection activeCell="B11" sqref="B11"/>
    </sheetView>
  </sheetViews>
  <sheetFormatPr defaultColWidth="11.421875" defaultRowHeight="15"/>
  <cols>
    <col min="1" max="1" width="51.57421875" style="114" customWidth="1"/>
    <col min="2" max="3" width="22.7109375" style="114" customWidth="1"/>
    <col min="4" max="16" width="11.421875" style="114" customWidth="1"/>
  </cols>
  <sheetData>
    <row r="1" spans="1:7" ht="14.25">
      <c r="A1" s="114" t="str">
        <f>Indice!C1</f>
        <v>NEGOFIN S.A.E.C.A.</v>
      </c>
      <c r="G1" s="133" t="s">
        <v>131</v>
      </c>
    </row>
    <row r="5" spans="1:4" ht="14.25">
      <c r="A5" s="293" t="s">
        <v>344</v>
      </c>
      <c r="B5" s="293"/>
      <c r="C5" s="293"/>
      <c r="D5" s="293"/>
    </row>
    <row r="6" spans="1:4" s="20" customFormat="1" ht="14.25">
      <c r="A6" s="134"/>
      <c r="B6" s="134"/>
      <c r="C6" s="134"/>
      <c r="D6" s="134"/>
    </row>
    <row r="7" spans="2:3" ht="14.25">
      <c r="B7" s="963" t="s">
        <v>309</v>
      </c>
      <c r="C7" s="963"/>
    </row>
    <row r="8" spans="1:3" ht="14.25">
      <c r="A8" s="283" t="s">
        <v>67</v>
      </c>
      <c r="B8" s="325">
        <f>_xlfn.IFERROR(IF(Indice!B6="","2XX2",YEAR(Indice!B6)),"2XX2")</f>
        <v>2022</v>
      </c>
      <c r="C8" s="325">
        <f>_xlfn.IFERROR(YEAR(Indice!B6-365),"2XX1")</f>
        <v>2021</v>
      </c>
    </row>
    <row r="9" spans="1:3" ht="14.25">
      <c r="A9" s="114" t="s">
        <v>140</v>
      </c>
      <c r="B9" s="429">
        <v>1007139.169</v>
      </c>
      <c r="C9" s="429">
        <v>13777274.294</v>
      </c>
    </row>
    <row r="10" spans="1:3" ht="14.25">
      <c r="A10" s="7" t="s">
        <v>142</v>
      </c>
      <c r="B10" s="421">
        <v>20371.643</v>
      </c>
      <c r="C10" s="421">
        <v>1285.867</v>
      </c>
    </row>
    <row r="11" spans="1:16" s="730" customFormat="1" ht="14.25">
      <c r="A11" s="17" t="s">
        <v>20</v>
      </c>
      <c r="B11" s="460">
        <v>32199.901</v>
      </c>
      <c r="C11" s="432">
        <v>2089.455</v>
      </c>
      <c r="D11" s="114"/>
      <c r="E11" s="114"/>
      <c r="F11" s="114"/>
      <c r="G11" s="114"/>
      <c r="H11" s="114"/>
      <c r="I11" s="114"/>
      <c r="J11" s="114"/>
      <c r="K11" s="114"/>
      <c r="L11" s="114"/>
      <c r="M11" s="114"/>
      <c r="N11" s="114"/>
      <c r="O11" s="114"/>
      <c r="P11" s="114"/>
    </row>
    <row r="12" spans="1:16" s="730" customFormat="1" ht="14.25">
      <c r="A12" s="17" t="s">
        <v>1131</v>
      </c>
      <c r="B12" s="432">
        <v>188920.11</v>
      </c>
      <c r="C12" s="432">
        <v>188920.11</v>
      </c>
      <c r="D12" s="114"/>
      <c r="E12" s="114"/>
      <c r="F12" s="114"/>
      <c r="G12" s="114"/>
      <c r="H12" s="114"/>
      <c r="I12" s="114"/>
      <c r="J12" s="114"/>
      <c r="K12" s="114"/>
      <c r="L12" s="114"/>
      <c r="M12" s="114"/>
      <c r="N12" s="114"/>
      <c r="O12" s="114"/>
      <c r="P12" s="114"/>
    </row>
    <row r="13" spans="1:16" s="730" customFormat="1" ht="14.25">
      <c r="A13" s="17" t="s">
        <v>1214</v>
      </c>
      <c r="B13" s="432">
        <v>127393.297</v>
      </c>
      <c r="C13" s="432">
        <v>66503.035</v>
      </c>
      <c r="D13" s="114"/>
      <c r="E13" s="114"/>
      <c r="F13" s="114"/>
      <c r="G13" s="114"/>
      <c r="H13" s="114"/>
      <c r="I13" s="114"/>
      <c r="J13" s="114"/>
      <c r="K13" s="114"/>
      <c r="L13" s="114"/>
      <c r="M13" s="114"/>
      <c r="N13" s="114"/>
      <c r="O13" s="114"/>
      <c r="P13" s="114"/>
    </row>
    <row r="14" spans="1:3" ht="14.25">
      <c r="A14" s="114" t="s">
        <v>141</v>
      </c>
      <c r="B14" s="429">
        <v>0</v>
      </c>
      <c r="C14" s="429">
        <v>0</v>
      </c>
    </row>
    <row r="15" spans="1:3" ht="14.25">
      <c r="A15" s="114" t="s">
        <v>3</v>
      </c>
      <c r="B15" s="430">
        <f>SUM($B$9:B14)</f>
        <v>1376024.1199999999</v>
      </c>
      <c r="C15" s="430">
        <f>SUM($C$9:C14)</f>
        <v>14036072.761</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M103"/>
  <sheetViews>
    <sheetView showGridLines="0" zoomScale="98" zoomScaleNormal="98" zoomScalePageLayoutView="0" workbookViewId="0" topLeftCell="A1">
      <selection activeCell="B70" sqref="B70"/>
    </sheetView>
  </sheetViews>
  <sheetFormatPr defaultColWidth="11.421875" defaultRowHeight="15"/>
  <cols>
    <col min="1" max="1" width="48.00390625" style="114" bestFit="1" customWidth="1"/>
    <col min="2" max="3" width="22.7109375" style="45" customWidth="1"/>
    <col min="4" max="13" width="11.421875" style="114" customWidth="1"/>
  </cols>
  <sheetData>
    <row r="1" spans="1:4" ht="14.25">
      <c r="A1" s="114" t="str">
        <f>Indice!C1</f>
        <v>NEGOFIN S.A.E.C.A.</v>
      </c>
      <c r="D1" s="133" t="s">
        <v>131</v>
      </c>
    </row>
    <row r="4" spans="1:4" ht="14.25">
      <c r="A4" s="967" t="s">
        <v>330</v>
      </c>
      <c r="B4" s="967"/>
      <c r="C4" s="967"/>
      <c r="D4" s="967"/>
    </row>
    <row r="6" spans="2:3" ht="14.25">
      <c r="B6" s="963" t="s">
        <v>309</v>
      </c>
      <c r="C6" s="963"/>
    </row>
    <row r="7" spans="1:3" ht="14.25">
      <c r="A7" s="972" t="s">
        <v>68</v>
      </c>
      <c r="B7" s="714">
        <v>2022</v>
      </c>
      <c r="C7" s="729">
        <v>2021</v>
      </c>
    </row>
    <row r="8" spans="1:3" ht="14.25">
      <c r="A8" s="972"/>
      <c r="B8" s="377"/>
      <c r="C8" s="377"/>
    </row>
    <row r="9" spans="1:13" s="280" customFormat="1" ht="14.25">
      <c r="A9" s="731" t="s">
        <v>1129</v>
      </c>
      <c r="B9" s="460">
        <v>3958</v>
      </c>
      <c r="C9" s="460">
        <v>13458</v>
      </c>
      <c r="D9" s="114"/>
      <c r="E9" s="114"/>
      <c r="F9" s="114"/>
      <c r="G9" s="114"/>
      <c r="H9" s="114"/>
      <c r="I9" s="114"/>
      <c r="J9" s="114"/>
      <c r="K9" s="114"/>
      <c r="L9" s="114"/>
      <c r="M9" s="114"/>
    </row>
    <row r="10" spans="1:13" s="582" customFormat="1" ht="14.25">
      <c r="A10" s="731" t="s">
        <v>1130</v>
      </c>
      <c r="B10" s="460">
        <v>0</v>
      </c>
      <c r="C10" s="460">
        <v>0</v>
      </c>
      <c r="D10" s="114"/>
      <c r="E10" s="114"/>
      <c r="F10" s="114"/>
      <c r="G10" s="114"/>
      <c r="H10" s="114"/>
      <c r="I10" s="114"/>
      <c r="J10" s="114"/>
      <c r="K10" s="114"/>
      <c r="L10" s="114"/>
      <c r="M10" s="114"/>
    </row>
    <row r="11" spans="1:13" s="413" customFormat="1" ht="14.25">
      <c r="A11" s="731" t="s">
        <v>956</v>
      </c>
      <c r="B11" s="460">
        <v>0</v>
      </c>
      <c r="C11" s="460">
        <v>0</v>
      </c>
      <c r="D11" s="114"/>
      <c r="E11" s="114"/>
      <c r="F11" s="114"/>
      <c r="G11" s="114"/>
      <c r="H11" s="114"/>
      <c r="I11" s="114"/>
      <c r="J11" s="114"/>
      <c r="K11" s="114"/>
      <c r="L11" s="114"/>
      <c r="M11" s="114"/>
    </row>
    <row r="12" spans="1:13" s="413" customFormat="1" ht="14.25">
      <c r="A12" s="731" t="s">
        <v>957</v>
      </c>
      <c r="B12" s="460">
        <v>0</v>
      </c>
      <c r="C12" s="460">
        <v>1100</v>
      </c>
      <c r="D12" s="114"/>
      <c r="E12" s="114"/>
      <c r="F12" s="114"/>
      <c r="G12" s="114"/>
      <c r="H12" s="114"/>
      <c r="I12" s="114"/>
      <c r="J12" s="114"/>
      <c r="K12" s="114"/>
      <c r="L12" s="114"/>
      <c r="M12" s="114"/>
    </row>
    <row r="13" spans="1:13" s="413" customFormat="1" ht="14.25">
      <c r="A13" s="731" t="s">
        <v>1225</v>
      </c>
      <c r="B13" s="460">
        <v>371030.303</v>
      </c>
      <c r="C13" s="460">
        <v>207038.366</v>
      </c>
      <c r="D13" s="114"/>
      <c r="E13" s="114"/>
      <c r="F13" s="114"/>
      <c r="G13" s="114"/>
      <c r="H13" s="114"/>
      <c r="I13" s="114"/>
      <c r="J13" s="114"/>
      <c r="K13" s="114"/>
      <c r="L13" s="114"/>
      <c r="M13" s="114"/>
    </row>
    <row r="14" spans="1:13" s="413" customFormat="1" ht="14.25">
      <c r="A14" s="731" t="s">
        <v>1223</v>
      </c>
      <c r="B14" s="460">
        <v>26863.793</v>
      </c>
      <c r="C14" s="567">
        <v>26865</v>
      </c>
      <c r="D14" s="114"/>
      <c r="E14" s="114"/>
      <c r="F14" s="114"/>
      <c r="G14" s="114"/>
      <c r="H14" s="114"/>
      <c r="I14" s="114"/>
      <c r="J14" s="114"/>
      <c r="K14" s="114"/>
      <c r="L14" s="114"/>
      <c r="M14" s="114"/>
    </row>
    <row r="15" spans="1:13" s="674" customFormat="1" ht="14.25">
      <c r="A15" s="731" t="s">
        <v>974</v>
      </c>
      <c r="B15" s="460">
        <v>49957.802</v>
      </c>
      <c r="C15" s="460">
        <v>54896</v>
      </c>
      <c r="D15" s="114"/>
      <c r="E15" s="114"/>
      <c r="F15" s="114"/>
      <c r="G15" s="114"/>
      <c r="H15" s="114"/>
      <c r="I15" s="114"/>
      <c r="J15" s="114"/>
      <c r="K15" s="114"/>
      <c r="L15" s="114"/>
      <c r="M15" s="114"/>
    </row>
    <row r="16" spans="1:13" s="645" customFormat="1" ht="14.25">
      <c r="A16" s="731" t="s">
        <v>1224</v>
      </c>
      <c r="B16" s="460">
        <v>119953.826</v>
      </c>
      <c r="C16" s="460">
        <v>119952</v>
      </c>
      <c r="D16" s="114"/>
      <c r="E16" s="114"/>
      <c r="F16" s="114"/>
      <c r="G16" s="114"/>
      <c r="H16" s="114"/>
      <c r="I16" s="114"/>
      <c r="J16" s="114"/>
      <c r="K16" s="114"/>
      <c r="L16" s="114"/>
      <c r="M16" s="114"/>
    </row>
    <row r="17" spans="1:13" s="413" customFormat="1" ht="14.25">
      <c r="A17" s="731" t="s">
        <v>1226</v>
      </c>
      <c r="B17" s="460">
        <v>383980.796</v>
      </c>
      <c r="C17" s="460">
        <v>284131.934</v>
      </c>
      <c r="D17" s="114"/>
      <c r="E17" s="114"/>
      <c r="F17" s="114"/>
      <c r="G17" s="114"/>
      <c r="H17" s="114"/>
      <c r="I17" s="114"/>
      <c r="J17" s="114"/>
      <c r="K17" s="114"/>
      <c r="L17" s="114"/>
      <c r="M17" s="114"/>
    </row>
    <row r="18" spans="1:13" s="674" customFormat="1" ht="14.25">
      <c r="A18" s="731" t="s">
        <v>1227</v>
      </c>
      <c r="B18" s="460">
        <v>22246.4</v>
      </c>
      <c r="C18" s="460">
        <v>22246.4</v>
      </c>
      <c r="D18" s="114"/>
      <c r="E18" s="114"/>
      <c r="F18" s="114"/>
      <c r="G18" s="114"/>
      <c r="H18" s="114"/>
      <c r="I18" s="114"/>
      <c r="J18" s="114"/>
      <c r="K18" s="114"/>
      <c r="L18" s="114"/>
      <c r="M18" s="114"/>
    </row>
    <row r="19" spans="1:13" s="413" customFormat="1" ht="14.25">
      <c r="A19" s="731" t="s">
        <v>1228</v>
      </c>
      <c r="B19" s="460">
        <v>15295.018</v>
      </c>
      <c r="C19" s="460">
        <v>13499.518</v>
      </c>
      <c r="D19" s="114"/>
      <c r="E19" s="114"/>
      <c r="F19" s="114"/>
      <c r="G19" s="114"/>
      <c r="H19" s="114"/>
      <c r="I19" s="114"/>
      <c r="J19" s="114"/>
      <c r="K19" s="114"/>
      <c r="L19" s="114"/>
      <c r="M19" s="114"/>
    </row>
    <row r="20" spans="1:13" s="674" customFormat="1" ht="14.25">
      <c r="A20" s="731" t="s">
        <v>1229</v>
      </c>
      <c r="B20" s="460">
        <v>0</v>
      </c>
      <c r="C20" s="460">
        <v>0</v>
      </c>
      <c r="D20" s="114"/>
      <c r="E20" s="114"/>
      <c r="F20" s="114"/>
      <c r="G20" s="114"/>
      <c r="H20" s="114"/>
      <c r="I20" s="114"/>
      <c r="J20" s="114"/>
      <c r="K20" s="114"/>
      <c r="L20" s="114"/>
      <c r="M20" s="114"/>
    </row>
    <row r="21" spans="1:13" s="639" customFormat="1" ht="14.25">
      <c r="A21" s="731" t="s">
        <v>1230</v>
      </c>
      <c r="B21" s="460">
        <v>212459.379</v>
      </c>
      <c r="C21" s="460">
        <v>89232.424</v>
      </c>
      <c r="D21" s="114"/>
      <c r="E21" s="114"/>
      <c r="F21" s="114"/>
      <c r="G21" s="114"/>
      <c r="H21" s="114"/>
      <c r="I21" s="114"/>
      <c r="J21" s="114"/>
      <c r="K21" s="114"/>
      <c r="L21" s="114"/>
      <c r="M21" s="114"/>
    </row>
    <row r="22" spans="1:13" s="413" customFormat="1" ht="14.25">
      <c r="A22" s="731" t="s">
        <v>1231</v>
      </c>
      <c r="B22" s="460">
        <v>4963.5</v>
      </c>
      <c r="C22" s="460">
        <v>4606.5</v>
      </c>
      <c r="D22" s="114"/>
      <c r="E22" s="114"/>
      <c r="F22" s="114"/>
      <c r="G22" s="114"/>
      <c r="H22" s="114"/>
      <c r="I22" s="114"/>
      <c r="J22" s="114"/>
      <c r="K22" s="114"/>
      <c r="L22" s="114"/>
      <c r="M22" s="114"/>
    </row>
    <row r="23" spans="1:13" s="674" customFormat="1" ht="14.25">
      <c r="A23" s="731" t="s">
        <v>1295</v>
      </c>
      <c r="B23" s="460">
        <v>0</v>
      </c>
      <c r="C23" s="460">
        <v>0</v>
      </c>
      <c r="D23" s="114"/>
      <c r="E23" s="114"/>
      <c r="F23" s="114"/>
      <c r="G23" s="114"/>
      <c r="H23" s="114"/>
      <c r="I23" s="114"/>
      <c r="J23" s="114"/>
      <c r="K23" s="114"/>
      <c r="L23" s="114"/>
      <c r="M23" s="114"/>
    </row>
    <row r="24" spans="1:13" s="413" customFormat="1" ht="14.25">
      <c r="A24" s="731" t="s">
        <v>975</v>
      </c>
      <c r="B24" s="460">
        <v>39027.531</v>
      </c>
      <c r="C24" s="567">
        <v>32344.202</v>
      </c>
      <c r="D24" s="114"/>
      <c r="E24" s="114"/>
      <c r="F24" s="114"/>
      <c r="G24" s="114"/>
      <c r="H24" s="114"/>
      <c r="I24" s="114"/>
      <c r="J24" s="114"/>
      <c r="K24" s="114"/>
      <c r="L24" s="114"/>
      <c r="M24" s="114"/>
    </row>
    <row r="25" spans="1:13" s="413" customFormat="1" ht="14.25">
      <c r="A25" s="731" t="s">
        <v>1232</v>
      </c>
      <c r="B25" s="460">
        <v>0</v>
      </c>
      <c r="C25" s="460">
        <v>0</v>
      </c>
      <c r="D25" s="114"/>
      <c r="E25" s="114"/>
      <c r="F25" s="114"/>
      <c r="G25" s="114"/>
      <c r="H25" s="114"/>
      <c r="I25" s="114"/>
      <c r="J25" s="114"/>
      <c r="K25" s="114"/>
      <c r="L25" s="114"/>
      <c r="M25" s="114"/>
    </row>
    <row r="26" spans="1:13" s="413" customFormat="1" ht="14.25">
      <c r="A26" s="731" t="s">
        <v>1233</v>
      </c>
      <c r="B26" s="460">
        <v>248961.934</v>
      </c>
      <c r="C26" s="460">
        <v>241446.074</v>
      </c>
      <c r="D26" s="114"/>
      <c r="E26" s="114"/>
      <c r="F26" s="114"/>
      <c r="G26" s="114"/>
      <c r="H26" s="114"/>
      <c r="I26" s="114"/>
      <c r="J26" s="114"/>
      <c r="K26" s="114"/>
      <c r="L26" s="114"/>
      <c r="M26" s="114"/>
    </row>
    <row r="27" spans="1:13" s="645" customFormat="1" ht="14.25">
      <c r="A27" s="731" t="s">
        <v>1234</v>
      </c>
      <c r="B27" s="460">
        <v>3735</v>
      </c>
      <c r="C27" s="460">
        <v>3735</v>
      </c>
      <c r="D27" s="114"/>
      <c r="E27" s="114"/>
      <c r="F27" s="114"/>
      <c r="G27" s="114"/>
      <c r="H27" s="114"/>
      <c r="I27" s="114"/>
      <c r="J27" s="114"/>
      <c r="K27" s="114"/>
      <c r="L27" s="114"/>
      <c r="M27" s="114"/>
    </row>
    <row r="28" spans="1:13" s="413" customFormat="1" ht="14.25">
      <c r="A28" s="731" t="s">
        <v>1235</v>
      </c>
      <c r="B28" s="460">
        <v>15225.888</v>
      </c>
      <c r="C28" s="460">
        <v>9960.138</v>
      </c>
      <c r="D28" s="114"/>
      <c r="E28" s="114"/>
      <c r="F28" s="114"/>
      <c r="G28" s="114"/>
      <c r="H28" s="114"/>
      <c r="I28" s="114"/>
      <c r="J28" s="114"/>
      <c r="K28" s="114"/>
      <c r="L28" s="114"/>
      <c r="M28" s="114"/>
    </row>
    <row r="29" spans="1:13" s="413" customFormat="1" ht="14.25">
      <c r="A29" s="731" t="s">
        <v>1236</v>
      </c>
      <c r="B29" s="460">
        <v>4642</v>
      </c>
      <c r="C29" s="460">
        <v>4642</v>
      </c>
      <c r="D29" s="114"/>
      <c r="E29" s="114"/>
      <c r="F29" s="114"/>
      <c r="G29" s="114"/>
      <c r="H29" s="114"/>
      <c r="I29" s="114"/>
      <c r="J29" s="114"/>
      <c r="K29" s="114"/>
      <c r="L29" s="114"/>
      <c r="M29" s="114"/>
    </row>
    <row r="30" spans="1:13" s="413" customFormat="1" ht="14.25">
      <c r="A30" s="731" t="s">
        <v>1237</v>
      </c>
      <c r="B30" s="460">
        <v>253297.388</v>
      </c>
      <c r="C30" s="567">
        <v>203275.323</v>
      </c>
      <c r="D30" s="114"/>
      <c r="E30" s="114"/>
      <c r="F30" s="114"/>
      <c r="G30" s="114"/>
      <c r="H30" s="114"/>
      <c r="I30" s="114"/>
      <c r="J30" s="114"/>
      <c r="K30" s="114"/>
      <c r="L30" s="114"/>
      <c r="M30" s="114"/>
    </row>
    <row r="31" spans="1:13" s="413" customFormat="1" ht="14.25">
      <c r="A31" s="731" t="s">
        <v>1238</v>
      </c>
      <c r="B31" s="460">
        <v>714</v>
      </c>
      <c r="C31" s="460">
        <v>357</v>
      </c>
      <c r="D31" s="114"/>
      <c r="E31" s="114"/>
      <c r="F31" s="114"/>
      <c r="G31" s="114"/>
      <c r="H31" s="114"/>
      <c r="I31" s="114"/>
      <c r="J31" s="114"/>
      <c r="K31" s="114"/>
      <c r="L31" s="114"/>
      <c r="M31" s="114"/>
    </row>
    <row r="32" spans="1:13" s="645" customFormat="1" ht="14.25">
      <c r="A32" s="731" t="s">
        <v>1239</v>
      </c>
      <c r="B32" s="460">
        <v>13731.828</v>
      </c>
      <c r="C32" s="460">
        <v>8680.278</v>
      </c>
      <c r="D32" s="114"/>
      <c r="E32" s="114"/>
      <c r="F32" s="114"/>
      <c r="G32" s="114"/>
      <c r="H32" s="114"/>
      <c r="I32" s="114"/>
      <c r="J32" s="114"/>
      <c r="K32" s="114"/>
      <c r="L32" s="114"/>
      <c r="M32" s="114"/>
    </row>
    <row r="33" spans="1:13" s="413" customFormat="1" ht="14.25">
      <c r="A33" s="731" t="s">
        <v>1240</v>
      </c>
      <c r="B33" s="460">
        <v>0</v>
      </c>
      <c r="C33" s="460">
        <v>0</v>
      </c>
      <c r="D33" s="114"/>
      <c r="E33" s="114"/>
      <c r="F33" s="114"/>
      <c r="G33" s="114"/>
      <c r="H33" s="114"/>
      <c r="I33" s="114"/>
      <c r="J33" s="114"/>
      <c r="K33" s="114"/>
      <c r="L33" s="114"/>
      <c r="M33" s="114"/>
    </row>
    <row r="34" spans="1:13" s="645" customFormat="1" ht="14.25">
      <c r="A34" s="731" t="s">
        <v>1242</v>
      </c>
      <c r="B34" s="460">
        <v>523986.397</v>
      </c>
      <c r="C34" s="567">
        <v>625578.711</v>
      </c>
      <c r="D34" s="432"/>
      <c r="E34" s="114"/>
      <c r="F34" s="114"/>
      <c r="G34" s="114"/>
      <c r="H34" s="114"/>
      <c r="I34" s="114"/>
      <c r="J34" s="114"/>
      <c r="K34" s="114"/>
      <c r="L34" s="114"/>
      <c r="M34" s="114"/>
    </row>
    <row r="35" spans="1:13" s="413" customFormat="1" ht="14.25">
      <c r="A35" s="731" t="s">
        <v>1243</v>
      </c>
      <c r="B35" s="460">
        <v>9513.284</v>
      </c>
      <c r="C35" s="460">
        <v>0</v>
      </c>
      <c r="D35" s="114"/>
      <c r="E35" s="114"/>
      <c r="F35" s="114"/>
      <c r="G35" s="114"/>
      <c r="H35" s="114"/>
      <c r="I35" s="114"/>
      <c r="J35" s="114"/>
      <c r="K35" s="114"/>
      <c r="L35" s="114"/>
      <c r="M35" s="114"/>
    </row>
    <row r="36" spans="1:13" s="645" customFormat="1" ht="14.25">
      <c r="A36" s="731" t="s">
        <v>1244</v>
      </c>
      <c r="B36" s="460">
        <v>4150</v>
      </c>
      <c r="C36" s="460">
        <v>7371.284</v>
      </c>
      <c r="D36" s="114"/>
      <c r="E36" s="114"/>
      <c r="F36" s="114"/>
      <c r="G36" s="114"/>
      <c r="H36" s="114"/>
      <c r="I36" s="114"/>
      <c r="J36" s="114"/>
      <c r="K36" s="114"/>
      <c r="L36" s="114"/>
      <c r="M36" s="114"/>
    </row>
    <row r="37" spans="1:13" s="413" customFormat="1" ht="14.25">
      <c r="A37" s="731" t="s">
        <v>1241</v>
      </c>
      <c r="B37" s="460">
        <v>0</v>
      </c>
      <c r="C37" s="460">
        <v>4150</v>
      </c>
      <c r="D37" s="114"/>
      <c r="E37" s="114"/>
      <c r="F37" s="114"/>
      <c r="G37" s="114"/>
      <c r="H37" s="114"/>
      <c r="I37" s="114"/>
      <c r="J37" s="114"/>
      <c r="K37" s="114"/>
      <c r="L37" s="114"/>
      <c r="M37" s="114"/>
    </row>
    <row r="38" spans="1:13" s="413" customFormat="1" ht="14.25">
      <c r="A38" s="731" t="s">
        <v>1245</v>
      </c>
      <c r="B38" s="460">
        <v>304534.588</v>
      </c>
      <c r="C38" s="460">
        <v>229581.109</v>
      </c>
      <c r="D38" s="114"/>
      <c r="E38" s="114"/>
      <c r="F38" s="114"/>
      <c r="G38" s="114"/>
      <c r="H38" s="114"/>
      <c r="I38" s="114"/>
      <c r="J38" s="114"/>
      <c r="K38" s="114"/>
      <c r="L38" s="114"/>
      <c r="M38" s="114"/>
    </row>
    <row r="39" spans="1:13" s="413" customFormat="1" ht="14.25">
      <c r="A39" s="731" t="s">
        <v>1246</v>
      </c>
      <c r="B39" s="460">
        <v>15660.351</v>
      </c>
      <c r="C39" s="460">
        <v>7982.851</v>
      </c>
      <c r="D39" s="114"/>
      <c r="E39" s="114"/>
      <c r="F39" s="114"/>
      <c r="G39" s="114"/>
      <c r="H39" s="114"/>
      <c r="I39" s="114"/>
      <c r="J39" s="114"/>
      <c r="K39" s="114"/>
      <c r="L39" s="114"/>
      <c r="M39" s="114"/>
    </row>
    <row r="40" spans="1:13" s="674" customFormat="1" ht="14.25">
      <c r="A40" s="731" t="s">
        <v>1247</v>
      </c>
      <c r="B40" s="460">
        <v>19073.979</v>
      </c>
      <c r="C40" s="460">
        <v>13015.479</v>
      </c>
      <c r="D40" s="114"/>
      <c r="E40" s="114"/>
      <c r="F40" s="114"/>
      <c r="G40" s="114"/>
      <c r="H40" s="114"/>
      <c r="I40" s="114"/>
      <c r="J40" s="114"/>
      <c r="K40" s="114"/>
      <c r="L40" s="114"/>
      <c r="M40" s="114"/>
    </row>
    <row r="41" spans="1:13" s="674" customFormat="1" ht="14.25">
      <c r="A41" s="731" t="s">
        <v>1241</v>
      </c>
      <c r="B41" s="460">
        <v>586</v>
      </c>
      <c r="C41" s="460">
        <v>586</v>
      </c>
      <c r="D41" s="114"/>
      <c r="E41" s="114"/>
      <c r="F41" s="114"/>
      <c r="G41" s="114"/>
      <c r="H41" s="114"/>
      <c r="I41" s="114"/>
      <c r="J41" s="114"/>
      <c r="K41" s="114"/>
      <c r="L41" s="114"/>
      <c r="M41" s="114"/>
    </row>
    <row r="42" spans="1:13" s="645" customFormat="1" ht="14.25">
      <c r="A42" s="731" t="s">
        <v>1248</v>
      </c>
      <c r="B42" s="460">
        <v>79731.356</v>
      </c>
      <c r="C42" s="460">
        <v>71104.288</v>
      </c>
      <c r="D42" s="114"/>
      <c r="E42" s="114"/>
      <c r="F42" s="114"/>
      <c r="G42" s="114"/>
      <c r="H42" s="114"/>
      <c r="I42" s="114"/>
      <c r="J42" s="114"/>
      <c r="K42" s="114"/>
      <c r="L42" s="114"/>
      <c r="M42" s="114"/>
    </row>
    <row r="43" spans="1:3" s="45" customFormat="1" ht="14.25">
      <c r="A43" s="731" t="s">
        <v>1249</v>
      </c>
      <c r="B43" s="460">
        <v>5426.4</v>
      </c>
      <c r="C43" s="460">
        <v>0</v>
      </c>
    </row>
    <row r="44" spans="1:13" s="645" customFormat="1" ht="14.25">
      <c r="A44" s="731" t="s">
        <v>1250</v>
      </c>
      <c r="B44" s="460">
        <v>978.907</v>
      </c>
      <c r="C44" s="460">
        <v>4926.6</v>
      </c>
      <c r="D44" s="114"/>
      <c r="E44" s="114"/>
      <c r="F44" s="114"/>
      <c r="G44" s="114"/>
      <c r="H44" s="114"/>
      <c r="I44" s="114"/>
      <c r="J44" s="114"/>
      <c r="K44" s="114"/>
      <c r="L44" s="114"/>
      <c r="M44" s="114"/>
    </row>
    <row r="45" spans="1:13" s="645" customFormat="1" ht="14.25">
      <c r="A45" s="731" t="s">
        <v>1251</v>
      </c>
      <c r="B45" s="460">
        <v>0</v>
      </c>
      <c r="C45" s="460">
        <v>979</v>
      </c>
      <c r="D45" s="114"/>
      <c r="E45" s="114"/>
      <c r="F45" s="114"/>
      <c r="G45" s="114"/>
      <c r="H45" s="114"/>
      <c r="I45" s="114"/>
      <c r="J45" s="114"/>
      <c r="K45" s="114"/>
      <c r="L45" s="114"/>
      <c r="M45" s="114"/>
    </row>
    <row r="46" spans="1:13" s="413" customFormat="1" ht="14.25">
      <c r="A46" s="731" t="s">
        <v>1252</v>
      </c>
      <c r="B46" s="460">
        <v>242933.53</v>
      </c>
      <c r="C46" s="460">
        <v>194084.807</v>
      </c>
      <c r="D46" s="431"/>
      <c r="E46" s="114"/>
      <c r="F46" s="114"/>
      <c r="G46" s="114"/>
      <c r="H46" s="114"/>
      <c r="I46" s="114"/>
      <c r="J46" s="114"/>
      <c r="K46" s="114"/>
      <c r="L46" s="114"/>
      <c r="M46" s="114"/>
    </row>
    <row r="47" spans="1:13" s="645" customFormat="1" ht="14.25">
      <c r="A47" s="731" t="s">
        <v>1253</v>
      </c>
      <c r="B47" s="460">
        <v>12726.194</v>
      </c>
      <c r="C47" s="460">
        <v>0</v>
      </c>
      <c r="D47" s="431"/>
      <c r="E47" s="460"/>
      <c r="F47" s="114"/>
      <c r="G47" s="114"/>
      <c r="H47" s="114"/>
      <c r="I47" s="114"/>
      <c r="J47" s="114"/>
      <c r="K47" s="114"/>
      <c r="L47" s="114"/>
      <c r="M47" s="114"/>
    </row>
    <row r="48" spans="1:13" s="645" customFormat="1" ht="14.25">
      <c r="A48" s="731" t="s">
        <v>1254</v>
      </c>
      <c r="B48" s="460">
        <v>935.11</v>
      </c>
      <c r="C48" s="460">
        <v>9614.85</v>
      </c>
      <c r="D48" s="114"/>
      <c r="E48" s="114"/>
      <c r="F48" s="114"/>
      <c r="G48" s="114"/>
      <c r="H48" s="114"/>
      <c r="I48" s="114"/>
      <c r="J48" s="114"/>
      <c r="K48" s="114"/>
      <c r="L48" s="114"/>
      <c r="M48" s="114"/>
    </row>
    <row r="49" spans="1:13" s="674" customFormat="1" ht="14.25">
      <c r="A49" s="731" t="s">
        <v>1256</v>
      </c>
      <c r="B49" s="460">
        <v>543</v>
      </c>
      <c r="C49" s="460">
        <v>1297.287</v>
      </c>
      <c r="D49" s="114"/>
      <c r="E49" s="114"/>
      <c r="F49" s="114"/>
      <c r="G49" s="114"/>
      <c r="H49" s="114"/>
      <c r="I49" s="114"/>
      <c r="J49" s="114"/>
      <c r="K49" s="114"/>
      <c r="L49" s="114"/>
      <c r="M49" s="114"/>
    </row>
    <row r="50" spans="1:13" s="413" customFormat="1" ht="14.25">
      <c r="A50" s="731" t="s">
        <v>1255</v>
      </c>
      <c r="B50" s="460">
        <v>0</v>
      </c>
      <c r="C50" s="460">
        <v>1053</v>
      </c>
      <c r="D50" s="431"/>
      <c r="E50" s="114"/>
      <c r="F50" s="114"/>
      <c r="G50" s="114"/>
      <c r="H50" s="114"/>
      <c r="I50" s="114"/>
      <c r="J50" s="114"/>
      <c r="K50" s="114"/>
      <c r="L50" s="114"/>
      <c r="M50" s="114"/>
    </row>
    <row r="51" spans="1:13" s="413" customFormat="1" ht="14.25">
      <c r="A51" s="731" t="s">
        <v>1257</v>
      </c>
      <c r="B51" s="460">
        <v>216986.338</v>
      </c>
      <c r="C51" s="460">
        <v>113652.774</v>
      </c>
      <c r="D51" s="431"/>
      <c r="E51" s="114"/>
      <c r="F51" s="114"/>
      <c r="G51" s="114"/>
      <c r="H51" s="114"/>
      <c r="I51" s="114"/>
      <c r="J51" s="114"/>
      <c r="K51" s="114"/>
      <c r="L51" s="114"/>
      <c r="M51" s="114"/>
    </row>
    <row r="52" spans="1:13" s="645" customFormat="1" ht="14.25">
      <c r="A52" s="731" t="s">
        <v>1258</v>
      </c>
      <c r="B52" s="460">
        <v>17520.693</v>
      </c>
      <c r="C52" s="460">
        <v>0</v>
      </c>
      <c r="D52" s="114"/>
      <c r="E52" s="114"/>
      <c r="F52" s="114"/>
      <c r="G52" s="114"/>
      <c r="H52" s="114"/>
      <c r="I52" s="114"/>
      <c r="J52" s="114"/>
      <c r="K52" s="114"/>
      <c r="L52" s="114"/>
      <c r="M52" s="114"/>
    </row>
    <row r="53" spans="1:13" s="413" customFormat="1" ht="14.25">
      <c r="A53" s="731" t="s">
        <v>1259</v>
      </c>
      <c r="B53" s="460">
        <v>14187.549</v>
      </c>
      <c r="C53" s="460">
        <v>12685.443</v>
      </c>
      <c r="D53" s="114"/>
      <c r="E53" s="114"/>
      <c r="F53" s="114"/>
      <c r="G53" s="114"/>
      <c r="H53" s="114"/>
      <c r="I53" s="114"/>
      <c r="J53" s="114"/>
      <c r="K53" s="114"/>
      <c r="L53" s="114"/>
      <c r="M53" s="114"/>
    </row>
    <row r="54" spans="1:13" s="413" customFormat="1" ht="14.25">
      <c r="A54" s="731" t="s">
        <v>1260</v>
      </c>
      <c r="B54" s="460">
        <v>0</v>
      </c>
      <c r="C54" s="460">
        <v>9749.109</v>
      </c>
      <c r="D54" s="431"/>
      <c r="E54" s="114"/>
      <c r="F54" s="114"/>
      <c r="G54" s="114"/>
      <c r="H54" s="114"/>
      <c r="I54" s="114"/>
      <c r="J54" s="114"/>
      <c r="K54" s="114"/>
      <c r="L54" s="114"/>
      <c r="M54" s="114"/>
    </row>
    <row r="55" spans="1:13" s="582" customFormat="1" ht="14.25">
      <c r="A55" s="731" t="s">
        <v>1261</v>
      </c>
      <c r="B55" s="460">
        <v>0</v>
      </c>
      <c r="C55" s="460">
        <v>0</v>
      </c>
      <c r="D55" s="114"/>
      <c r="E55" s="114"/>
      <c r="F55" s="114"/>
      <c r="G55" s="114"/>
      <c r="H55" s="114"/>
      <c r="I55" s="114"/>
      <c r="J55" s="114"/>
      <c r="K55" s="114"/>
      <c r="L55" s="114"/>
      <c r="M55" s="114"/>
    </row>
    <row r="56" spans="1:13" s="413" customFormat="1" ht="14.25">
      <c r="A56" s="731" t="s">
        <v>1262</v>
      </c>
      <c r="B56" s="460">
        <v>169734.901</v>
      </c>
      <c r="C56" s="460">
        <v>93063.262</v>
      </c>
      <c r="D56" s="114"/>
      <c r="E56" s="114"/>
      <c r="F56" s="114"/>
      <c r="G56" s="114"/>
      <c r="H56" s="114"/>
      <c r="I56" s="114"/>
      <c r="J56" s="114"/>
      <c r="K56" s="114"/>
      <c r="L56" s="114"/>
      <c r="M56" s="114"/>
    </row>
    <row r="57" spans="1:13" s="639" customFormat="1" ht="14.25">
      <c r="A57" s="731" t="s">
        <v>1263</v>
      </c>
      <c r="B57" s="460">
        <v>8139.5</v>
      </c>
      <c r="C57" s="460">
        <v>7782.5</v>
      </c>
      <c r="D57" s="114"/>
      <c r="E57" s="114"/>
      <c r="F57" s="114"/>
      <c r="G57" s="114"/>
      <c r="H57" s="114"/>
      <c r="I57" s="114"/>
      <c r="J57" s="114"/>
      <c r="K57" s="114"/>
      <c r="L57" s="114"/>
      <c r="M57" s="114"/>
    </row>
    <row r="58" spans="1:13" s="645" customFormat="1" ht="14.25">
      <c r="A58" s="731" t="s">
        <v>1264</v>
      </c>
      <c r="B58" s="460">
        <v>8701.481</v>
      </c>
      <c r="C58" s="460">
        <v>6773.681</v>
      </c>
      <c r="D58" s="114"/>
      <c r="E58" s="114"/>
      <c r="F58" s="114"/>
      <c r="G58" s="114"/>
      <c r="H58" s="114"/>
      <c r="I58" s="114"/>
      <c r="J58" s="114"/>
      <c r="K58" s="114"/>
      <c r="L58" s="114"/>
      <c r="M58" s="114"/>
    </row>
    <row r="59" spans="1:13" s="645" customFormat="1" ht="14.25">
      <c r="A59" s="731" t="s">
        <v>1265</v>
      </c>
      <c r="B59" s="460">
        <v>0</v>
      </c>
      <c r="C59" s="460">
        <v>0</v>
      </c>
      <c r="D59" s="114"/>
      <c r="E59" s="114"/>
      <c r="F59" s="114"/>
      <c r="G59" s="114"/>
      <c r="H59" s="114"/>
      <c r="I59" s="114"/>
      <c r="J59" s="114"/>
      <c r="K59" s="114"/>
      <c r="L59" s="114"/>
      <c r="M59" s="114"/>
    </row>
    <row r="60" spans="1:13" s="645" customFormat="1" ht="14.25">
      <c r="A60" s="731" t="s">
        <v>1266</v>
      </c>
      <c r="B60" s="460">
        <v>0</v>
      </c>
      <c r="C60" s="460">
        <v>0</v>
      </c>
      <c r="D60" s="114"/>
      <c r="E60" s="114"/>
      <c r="F60" s="114"/>
      <c r="G60" s="114"/>
      <c r="H60" s="114"/>
      <c r="I60" s="114"/>
      <c r="J60" s="114"/>
      <c r="K60" s="114"/>
      <c r="L60" s="114"/>
      <c r="M60" s="114"/>
    </row>
    <row r="61" spans="1:13" s="674" customFormat="1" ht="14.25">
      <c r="A61" s="731" t="s">
        <v>1267</v>
      </c>
      <c r="B61" s="460">
        <v>27043.077</v>
      </c>
      <c r="C61" s="460">
        <v>117216.558</v>
      </c>
      <c r="D61" s="114"/>
      <c r="E61" s="114"/>
      <c r="F61" s="114"/>
      <c r="G61" s="114"/>
      <c r="H61" s="114"/>
      <c r="I61" s="114"/>
      <c r="J61" s="114"/>
      <c r="K61" s="114"/>
      <c r="L61" s="114"/>
      <c r="M61" s="114"/>
    </row>
    <row r="62" spans="1:13" s="674" customFormat="1" ht="14.25">
      <c r="A62" s="731" t="s">
        <v>1268</v>
      </c>
      <c r="B62" s="460">
        <v>535.5</v>
      </c>
      <c r="C62" s="460">
        <v>535.5</v>
      </c>
      <c r="D62" s="114"/>
      <c r="E62" s="114"/>
      <c r="F62" s="114"/>
      <c r="G62" s="114"/>
      <c r="H62" s="114"/>
      <c r="I62" s="114"/>
      <c r="J62" s="114"/>
      <c r="K62" s="114"/>
      <c r="L62" s="114"/>
      <c r="M62" s="114"/>
    </row>
    <row r="63" spans="1:13" s="674" customFormat="1" ht="14.25">
      <c r="A63" s="731" t="s">
        <v>976</v>
      </c>
      <c r="B63" s="460">
        <v>10242.75</v>
      </c>
      <c r="C63" s="460">
        <v>10242.75</v>
      </c>
      <c r="D63" s="114"/>
      <c r="E63" s="114"/>
      <c r="F63" s="114"/>
      <c r="G63" s="114"/>
      <c r="H63" s="114"/>
      <c r="I63" s="114"/>
      <c r="J63" s="114"/>
      <c r="K63" s="114"/>
      <c r="L63" s="114"/>
      <c r="M63" s="114"/>
    </row>
    <row r="64" spans="1:13" s="674" customFormat="1" ht="14.25">
      <c r="A64" s="731" t="s">
        <v>1269</v>
      </c>
      <c r="B64" s="460">
        <v>0</v>
      </c>
      <c r="C64" s="460">
        <v>0</v>
      </c>
      <c r="D64" s="114"/>
      <c r="E64" s="114"/>
      <c r="F64" s="114"/>
      <c r="G64" s="114"/>
      <c r="H64" s="114"/>
      <c r="I64" s="114"/>
      <c r="J64" s="114"/>
      <c r="K64" s="114"/>
      <c r="L64" s="114"/>
      <c r="M64" s="114"/>
    </row>
    <row r="65" spans="1:13" s="674" customFormat="1" ht="14.25">
      <c r="A65" s="731" t="s">
        <v>1270</v>
      </c>
      <c r="B65" s="460">
        <v>8116.394</v>
      </c>
      <c r="C65" s="460">
        <v>1626.246</v>
      </c>
      <c r="D65" s="114"/>
      <c r="E65" s="431"/>
      <c r="F65" s="114"/>
      <c r="G65" s="114"/>
      <c r="H65" s="114"/>
      <c r="I65" s="114"/>
      <c r="J65" s="114"/>
      <c r="K65" s="114"/>
      <c r="L65" s="114"/>
      <c r="M65" s="114"/>
    </row>
    <row r="66" spans="1:13" s="674" customFormat="1" ht="14.25">
      <c r="A66" s="731" t="s">
        <v>1271</v>
      </c>
      <c r="B66" s="460">
        <v>160</v>
      </c>
      <c r="C66" s="460">
        <v>0</v>
      </c>
      <c r="D66" s="114"/>
      <c r="E66" s="114"/>
      <c r="F66" s="114"/>
      <c r="G66" s="114"/>
      <c r="H66" s="114"/>
      <c r="I66" s="114"/>
      <c r="J66" s="114"/>
      <c r="K66" s="114"/>
      <c r="L66" s="114"/>
      <c r="M66" s="114"/>
    </row>
    <row r="67" spans="1:13" s="674" customFormat="1" ht="14.25">
      <c r="A67" s="731" t="s">
        <v>1272</v>
      </c>
      <c r="B67" s="460">
        <v>909.013</v>
      </c>
      <c r="C67" s="460">
        <v>0</v>
      </c>
      <c r="D67" s="114"/>
      <c r="E67" s="114"/>
      <c r="F67" s="114"/>
      <c r="G67" s="114"/>
      <c r="H67" s="114"/>
      <c r="I67" s="114"/>
      <c r="J67" s="114"/>
      <c r="K67" s="114"/>
      <c r="L67" s="114"/>
      <c r="M67" s="114"/>
    </row>
    <row r="68" spans="1:13" s="674" customFormat="1" ht="14.25">
      <c r="A68" s="731" t="s">
        <v>1273</v>
      </c>
      <c r="B68" s="460">
        <v>2302.701</v>
      </c>
      <c r="C68" s="460">
        <v>886.788</v>
      </c>
      <c r="D68" s="114"/>
      <c r="E68" s="114"/>
      <c r="F68" s="114"/>
      <c r="G68" s="114"/>
      <c r="H68" s="114"/>
      <c r="I68" s="114"/>
      <c r="J68" s="114"/>
      <c r="K68" s="114"/>
      <c r="L68" s="114"/>
      <c r="M68" s="114"/>
    </row>
    <row r="69" spans="1:13" s="674" customFormat="1" ht="14.25">
      <c r="A69" s="731" t="s">
        <v>1274</v>
      </c>
      <c r="B69" s="460">
        <v>0</v>
      </c>
      <c r="C69" s="460">
        <v>720.701</v>
      </c>
      <c r="D69" s="114"/>
      <c r="E69" s="114"/>
      <c r="F69" s="114"/>
      <c r="G69" s="114"/>
      <c r="H69" s="114"/>
      <c r="I69" s="114"/>
      <c r="J69" s="114"/>
      <c r="K69" s="114"/>
      <c r="L69" s="114"/>
      <c r="M69" s="114"/>
    </row>
    <row r="70" spans="1:13" s="674" customFormat="1" ht="14.25">
      <c r="A70" s="731" t="s">
        <v>1275</v>
      </c>
      <c r="B70" s="460">
        <v>18000.42</v>
      </c>
      <c r="C70" s="460">
        <v>2855.53</v>
      </c>
      <c r="D70" s="114"/>
      <c r="E70" s="429"/>
      <c r="F70" s="114"/>
      <c r="G70" s="114"/>
      <c r="H70" s="114"/>
      <c r="I70" s="114"/>
      <c r="J70" s="114"/>
      <c r="K70" s="114"/>
      <c r="L70" s="114"/>
      <c r="M70" s="114"/>
    </row>
    <row r="71" spans="1:13" s="674" customFormat="1" ht="14.25">
      <c r="A71" s="731" t="s">
        <v>1276</v>
      </c>
      <c r="B71" s="460">
        <v>1624.75</v>
      </c>
      <c r="C71" s="460">
        <v>0</v>
      </c>
      <c r="D71" s="114"/>
      <c r="E71" s="431"/>
      <c r="F71" s="114"/>
      <c r="G71" s="114"/>
      <c r="H71" s="114"/>
      <c r="I71" s="114"/>
      <c r="J71" s="114"/>
      <c r="K71" s="114"/>
      <c r="L71" s="114"/>
      <c r="M71" s="114"/>
    </row>
    <row r="72" spans="1:13" s="674" customFormat="1" ht="14.25">
      <c r="A72" s="731" t="s">
        <v>1277</v>
      </c>
      <c r="B72" s="460">
        <v>3477.562</v>
      </c>
      <c r="C72" s="460">
        <v>0</v>
      </c>
      <c r="D72" s="114"/>
      <c r="E72" s="114"/>
      <c r="F72" s="114"/>
      <c r="G72" s="114"/>
      <c r="H72" s="114"/>
      <c r="I72" s="114"/>
      <c r="J72" s="114"/>
      <c r="K72" s="114"/>
      <c r="L72" s="114"/>
      <c r="M72" s="114"/>
    </row>
    <row r="73" spans="1:13" s="645" customFormat="1" ht="14.25">
      <c r="A73" s="731" t="s">
        <v>1278</v>
      </c>
      <c r="B73" s="460">
        <v>0</v>
      </c>
      <c r="C73" s="460">
        <v>0</v>
      </c>
      <c r="D73" s="114"/>
      <c r="E73" s="114"/>
      <c r="F73" s="114"/>
      <c r="G73" s="114"/>
      <c r="H73" s="114"/>
      <c r="I73" s="114"/>
      <c r="J73" s="114"/>
      <c r="K73" s="114"/>
      <c r="L73" s="114"/>
      <c r="M73" s="114"/>
    </row>
    <row r="74" spans="1:13" s="645" customFormat="1" ht="14.25">
      <c r="A74" s="731" t="s">
        <v>1279</v>
      </c>
      <c r="B74" s="460">
        <v>0</v>
      </c>
      <c r="C74" s="460">
        <v>0</v>
      </c>
      <c r="D74" s="114"/>
      <c r="E74" s="114"/>
      <c r="F74" s="114"/>
      <c r="G74" s="114"/>
      <c r="H74" s="114"/>
      <c r="I74" s="114"/>
      <c r="J74" s="114"/>
      <c r="K74" s="114"/>
      <c r="L74" s="114"/>
      <c r="M74" s="114"/>
    </row>
    <row r="75" spans="1:13" s="674" customFormat="1" ht="14.25">
      <c r="A75" s="731" t="s">
        <v>1280</v>
      </c>
      <c r="B75" s="460">
        <v>0</v>
      </c>
      <c r="C75" s="460">
        <v>0</v>
      </c>
      <c r="D75" s="114"/>
      <c r="E75" s="114"/>
      <c r="F75" s="114"/>
      <c r="G75" s="114"/>
      <c r="H75" s="114"/>
      <c r="I75" s="114"/>
      <c r="J75" s="114"/>
      <c r="K75" s="114"/>
      <c r="L75" s="114"/>
      <c r="M75" s="114"/>
    </row>
    <row r="76" spans="1:13" s="674" customFormat="1" ht="14.25">
      <c r="A76" s="731" t="s">
        <v>1281</v>
      </c>
      <c r="B76" s="460">
        <v>0</v>
      </c>
      <c r="C76" s="460">
        <v>0</v>
      </c>
      <c r="D76" s="114"/>
      <c r="E76" s="114"/>
      <c r="F76" s="114"/>
      <c r="G76" s="114"/>
      <c r="H76" s="114"/>
      <c r="I76" s="114"/>
      <c r="J76" s="114"/>
      <c r="K76" s="114"/>
      <c r="L76" s="114"/>
      <c r="M76" s="114"/>
    </row>
    <row r="77" spans="1:13" s="674" customFormat="1" ht="14.25">
      <c r="A77" s="731" t="s">
        <v>1282</v>
      </c>
      <c r="B77" s="460">
        <v>0</v>
      </c>
      <c r="C77" s="460">
        <v>0</v>
      </c>
      <c r="D77" s="114"/>
      <c r="E77" s="114"/>
      <c r="F77" s="114"/>
      <c r="G77" s="114"/>
      <c r="H77" s="114"/>
      <c r="I77" s="114"/>
      <c r="J77" s="114"/>
      <c r="K77" s="114"/>
      <c r="L77" s="114"/>
      <c r="M77" s="114"/>
    </row>
    <row r="78" spans="1:13" s="674" customFormat="1" ht="14.25">
      <c r="A78" s="731" t="s">
        <v>1283</v>
      </c>
      <c r="B78" s="460">
        <v>0</v>
      </c>
      <c r="C78" s="460">
        <v>0</v>
      </c>
      <c r="D78" s="114"/>
      <c r="E78" s="114"/>
      <c r="F78" s="114"/>
      <c r="G78" s="114"/>
      <c r="H78" s="114"/>
      <c r="I78" s="114"/>
      <c r="J78" s="114"/>
      <c r="K78" s="114"/>
      <c r="L78" s="114"/>
      <c r="M78" s="114"/>
    </row>
    <row r="79" spans="1:13" s="674" customFormat="1" ht="14.25">
      <c r="A79" s="731" t="s">
        <v>1284</v>
      </c>
      <c r="B79" s="460">
        <v>0</v>
      </c>
      <c r="C79" s="460">
        <v>0</v>
      </c>
      <c r="D79" s="114"/>
      <c r="E79" s="114"/>
      <c r="F79" s="114"/>
      <c r="G79" s="114"/>
      <c r="H79" s="114"/>
      <c r="I79" s="114"/>
      <c r="J79" s="114"/>
      <c r="K79" s="114"/>
      <c r="L79" s="114"/>
      <c r="M79" s="114"/>
    </row>
    <row r="80" spans="1:13" s="674" customFormat="1" ht="14.25">
      <c r="A80" s="731" t="s">
        <v>1285</v>
      </c>
      <c r="B80" s="460">
        <v>2946.25</v>
      </c>
      <c r="C80" s="460">
        <v>2410.716</v>
      </c>
      <c r="D80" s="114"/>
      <c r="E80" s="114"/>
      <c r="F80" s="114"/>
      <c r="G80" s="114"/>
      <c r="H80" s="114"/>
      <c r="I80" s="114"/>
      <c r="J80" s="114"/>
      <c r="K80" s="114"/>
      <c r="L80" s="114"/>
      <c r="M80" s="114"/>
    </row>
    <row r="81" spans="1:13" s="674" customFormat="1" ht="14.25">
      <c r="A81" s="731" t="s">
        <v>1286</v>
      </c>
      <c r="B81" s="460">
        <v>6104.88</v>
      </c>
      <c r="C81" s="460">
        <v>0</v>
      </c>
      <c r="D81" s="114"/>
      <c r="E81" s="114"/>
      <c r="F81" s="114"/>
      <c r="G81" s="114"/>
      <c r="H81" s="114"/>
      <c r="I81" s="114"/>
      <c r="J81" s="114"/>
      <c r="K81" s="114"/>
      <c r="L81" s="114"/>
      <c r="M81" s="114"/>
    </row>
    <row r="82" spans="1:13" s="674" customFormat="1" ht="14.25">
      <c r="A82" s="731" t="s">
        <v>1287</v>
      </c>
      <c r="B82" s="460">
        <v>9937.5</v>
      </c>
      <c r="C82" s="460">
        <v>3994.686</v>
      </c>
      <c r="D82" s="114"/>
      <c r="E82" s="114"/>
      <c r="F82" s="114"/>
      <c r="G82" s="114"/>
      <c r="H82" s="114"/>
      <c r="I82" s="114"/>
      <c r="J82" s="114"/>
      <c r="K82" s="114"/>
      <c r="L82" s="114"/>
      <c r="M82" s="114"/>
    </row>
    <row r="83" spans="1:13" s="674" customFormat="1" ht="14.25">
      <c r="A83" s="731" t="s">
        <v>1288</v>
      </c>
      <c r="B83" s="460">
        <v>0</v>
      </c>
      <c r="C83" s="460">
        <v>3739.239</v>
      </c>
      <c r="D83" s="114"/>
      <c r="E83" s="114"/>
      <c r="F83" s="114"/>
      <c r="G83" s="114"/>
      <c r="H83" s="114"/>
      <c r="I83" s="114"/>
      <c r="J83" s="114"/>
      <c r="K83" s="114"/>
      <c r="L83" s="114"/>
      <c r="M83" s="114"/>
    </row>
    <row r="84" spans="1:13" s="674" customFormat="1" ht="14.25">
      <c r="A84" s="731" t="s">
        <v>1289</v>
      </c>
      <c r="B84" s="460">
        <v>0</v>
      </c>
      <c r="C84" s="460">
        <v>0</v>
      </c>
      <c r="D84" s="114"/>
      <c r="E84" s="114"/>
      <c r="F84" s="114"/>
      <c r="G84" s="114"/>
      <c r="H84" s="114"/>
      <c r="I84" s="114"/>
      <c r="J84" s="114"/>
      <c r="K84" s="114"/>
      <c r="L84" s="114"/>
      <c r="M84" s="114"/>
    </row>
    <row r="85" spans="1:13" s="674" customFormat="1" ht="14.25">
      <c r="A85" s="731" t="s">
        <v>1290</v>
      </c>
      <c r="B85" s="460">
        <v>14377.7</v>
      </c>
      <c r="C85" s="460">
        <v>0</v>
      </c>
      <c r="D85" s="114"/>
      <c r="E85" s="114"/>
      <c r="F85" s="114"/>
      <c r="G85" s="114"/>
      <c r="H85" s="114"/>
      <c r="I85" s="114"/>
      <c r="J85" s="114"/>
      <c r="K85" s="114"/>
      <c r="L85" s="114"/>
      <c r="M85" s="114"/>
    </row>
    <row r="86" spans="1:13" s="674" customFormat="1" ht="14.25">
      <c r="A86" s="731" t="s">
        <v>1291</v>
      </c>
      <c r="B86" s="460">
        <v>357</v>
      </c>
      <c r="C86" s="460">
        <v>0</v>
      </c>
      <c r="D86" s="114"/>
      <c r="E86" s="114"/>
      <c r="F86" s="114"/>
      <c r="G86" s="114"/>
      <c r="H86" s="114"/>
      <c r="I86" s="114"/>
      <c r="J86" s="114"/>
      <c r="K86" s="114"/>
      <c r="L86" s="114"/>
      <c r="M86" s="114"/>
    </row>
    <row r="87" spans="1:13" s="674" customFormat="1" ht="14.25">
      <c r="A87" s="731" t="s">
        <v>1292</v>
      </c>
      <c r="B87" s="460">
        <v>0</v>
      </c>
      <c r="C87" s="460">
        <v>0</v>
      </c>
      <c r="D87" s="114"/>
      <c r="E87" s="114"/>
      <c r="F87" s="114"/>
      <c r="G87" s="114"/>
      <c r="H87" s="114"/>
      <c r="I87" s="114"/>
      <c r="J87" s="114"/>
      <c r="K87" s="114"/>
      <c r="L87" s="114"/>
      <c r="M87" s="114"/>
    </row>
    <row r="88" spans="1:13" s="674" customFormat="1" ht="14.25">
      <c r="A88" s="731" t="s">
        <v>1293</v>
      </c>
      <c r="B88" s="460">
        <v>0</v>
      </c>
      <c r="C88" s="460">
        <v>0</v>
      </c>
      <c r="D88" s="114"/>
      <c r="E88" s="114"/>
      <c r="F88" s="114"/>
      <c r="G88" s="114"/>
      <c r="H88" s="114"/>
      <c r="I88" s="114"/>
      <c r="J88" s="114"/>
      <c r="K88" s="114"/>
      <c r="L88" s="114"/>
      <c r="M88" s="114"/>
    </row>
    <row r="89" spans="1:13" s="674" customFormat="1" ht="14.25">
      <c r="A89" s="731" t="s">
        <v>1294</v>
      </c>
      <c r="B89" s="460">
        <v>0</v>
      </c>
      <c r="C89" s="460">
        <v>0</v>
      </c>
      <c r="D89" s="114"/>
      <c r="E89" s="114"/>
      <c r="F89" s="114"/>
      <c r="G89" s="114"/>
      <c r="H89" s="114"/>
      <c r="I89" s="114"/>
      <c r="J89" s="114"/>
      <c r="K89" s="114"/>
      <c r="L89" s="114"/>
      <c r="M89" s="114"/>
    </row>
    <row r="90" spans="1:13" s="674" customFormat="1" ht="14.25">
      <c r="A90" s="731" t="s">
        <v>1297</v>
      </c>
      <c r="B90" s="460">
        <v>0</v>
      </c>
      <c r="C90" s="460">
        <v>297</v>
      </c>
      <c r="D90" s="114"/>
      <c r="E90" s="114"/>
      <c r="F90" s="114"/>
      <c r="G90" s="114"/>
      <c r="H90" s="114"/>
      <c r="I90" s="114"/>
      <c r="J90" s="114"/>
      <c r="K90" s="114"/>
      <c r="L90" s="114"/>
      <c r="M90" s="114"/>
    </row>
    <row r="91" spans="1:3" ht="14.25">
      <c r="A91" s="45" t="s">
        <v>331</v>
      </c>
      <c r="B91" s="460"/>
      <c r="C91" s="460"/>
    </row>
    <row r="92" spans="1:3" ht="14.25">
      <c r="A92" s="114" t="s">
        <v>3</v>
      </c>
      <c r="B92" s="648">
        <f>SUM($B$9:B91)</f>
        <v>3552229.4409999996</v>
      </c>
      <c r="C92" s="648">
        <f>SUM($C$9:C91)</f>
        <v>2901023.906000001</v>
      </c>
    </row>
    <row r="94" spans="2:3" ht="14.25">
      <c r="B94" s="460"/>
      <c r="C94" s="460"/>
    </row>
    <row r="95" spans="2:3" ht="14.25">
      <c r="B95" s="651"/>
      <c r="C95" s="460"/>
    </row>
    <row r="96" ht="14.25">
      <c r="C96" s="651"/>
    </row>
    <row r="99" spans="2:3" ht="14.25">
      <c r="B99" s="460"/>
      <c r="C99" s="460"/>
    </row>
    <row r="100" spans="2:3" ht="14.25">
      <c r="B100" s="460"/>
      <c r="C100" s="460"/>
    </row>
    <row r="101" spans="2:3" ht="14.25">
      <c r="B101" s="651"/>
      <c r="C101" s="460"/>
    </row>
    <row r="102" ht="14.25">
      <c r="C102" s="460"/>
    </row>
    <row r="103" ht="14.25">
      <c r="C103" s="651"/>
    </row>
  </sheetData>
  <sheetProtection/>
  <mergeCells count="3">
    <mergeCell ref="A4:D4"/>
    <mergeCell ref="A7:A8"/>
    <mergeCell ref="B6:C6"/>
  </mergeCells>
  <hyperlinks>
    <hyperlink ref="D1" location="BG!A1" display="BG"/>
  </hyperlink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18" sqref="A18"/>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4.25">
      <c r="A1" t="str">
        <f>Indice!C1</f>
        <v>NEGOFIN S.A.E.C.A.</v>
      </c>
      <c r="D1" s="132" t="s">
        <v>131</v>
      </c>
    </row>
    <row r="3" spans="1:3" ht="14.25">
      <c r="A3" s="293" t="s">
        <v>332</v>
      </c>
      <c r="B3" s="293"/>
      <c r="C3" s="293"/>
    </row>
    <row r="4" spans="1:2" ht="14.25">
      <c r="A4" s="973" t="s">
        <v>309</v>
      </c>
      <c r="B4" s="973"/>
    </row>
    <row r="5" spans="1:7" ht="14.25">
      <c r="A5" s="7"/>
      <c r="E5" s="7"/>
      <c r="F5" s="281"/>
      <c r="G5" s="281"/>
    </row>
    <row r="6" spans="1:7" ht="14.25">
      <c r="A6" s="16" t="s">
        <v>64</v>
      </c>
      <c r="B6" s="359">
        <f>_xlfn.IFERROR(IF(Indice!B6="","2XX2",YEAR(Indice!B6)),"2XX2")</f>
        <v>2022</v>
      </c>
      <c r="C6" s="359">
        <f>_xlfn.IFERROR(YEAR(Indice!B6-365),"2XX1")</f>
        <v>2021</v>
      </c>
      <c r="E6" s="16" t="s">
        <v>834</v>
      </c>
      <c r="F6" s="359">
        <f>_xlfn.IFERROR(IF(Indice!B6="","2XX2",YEAR(Indice!B6)),"2XX2")</f>
        <v>2022</v>
      </c>
      <c r="G6" s="359">
        <f>_xlfn.IFERROR(YEAR(Indice!B6-365),"2XX1")</f>
        <v>2021</v>
      </c>
    </row>
    <row r="7" spans="1:7" ht="14.25">
      <c r="A7" s="17" t="s">
        <v>144</v>
      </c>
      <c r="B7" s="432">
        <v>0</v>
      </c>
      <c r="C7" s="432">
        <v>0</v>
      </c>
      <c r="E7" s="7" t="s">
        <v>142</v>
      </c>
      <c r="F7" s="421">
        <v>0</v>
      </c>
      <c r="G7" s="421">
        <v>0</v>
      </c>
    </row>
    <row r="8" spans="1:7" ht="14.25">
      <c r="A8" s="7" t="s">
        <v>844</v>
      </c>
      <c r="B8" s="432">
        <v>0</v>
      </c>
      <c r="C8" s="432">
        <v>0</v>
      </c>
      <c r="E8" s="17" t="s">
        <v>20</v>
      </c>
      <c r="F8" s="421">
        <v>0</v>
      </c>
      <c r="G8" s="421">
        <v>0</v>
      </c>
    </row>
    <row r="9" spans="1:7" ht="14.25">
      <c r="A9" s="7" t="s">
        <v>977</v>
      </c>
      <c r="B9" s="432">
        <v>11873.467</v>
      </c>
      <c r="C9" s="432">
        <v>506284.213</v>
      </c>
      <c r="E9" s="17" t="s">
        <v>21</v>
      </c>
      <c r="F9" s="421">
        <v>0</v>
      </c>
      <c r="G9" s="421">
        <v>0</v>
      </c>
    </row>
    <row r="10" spans="1:7" ht="14.25">
      <c r="A10" s="7" t="s">
        <v>978</v>
      </c>
      <c r="B10" s="432">
        <v>80671.986</v>
      </c>
      <c r="C10" s="432">
        <v>56741.788</v>
      </c>
      <c r="E10" s="17" t="s">
        <v>145</v>
      </c>
      <c r="F10" s="421">
        <v>0</v>
      </c>
      <c r="G10" s="421">
        <v>0</v>
      </c>
    </row>
    <row r="11" spans="1:7" ht="14.25">
      <c r="A11" s="7" t="s">
        <v>979</v>
      </c>
      <c r="B11" s="432">
        <v>260616.177</v>
      </c>
      <c r="C11" s="432">
        <v>218277.534</v>
      </c>
      <c r="E11" s="7" t="s">
        <v>844</v>
      </c>
      <c r="F11" s="421">
        <v>0</v>
      </c>
      <c r="G11" s="421">
        <v>0</v>
      </c>
    </row>
    <row r="12" spans="1:7" ht="14.25">
      <c r="A12" s="7" t="s">
        <v>980</v>
      </c>
      <c r="B12" s="432">
        <v>52267.107</v>
      </c>
      <c r="C12" s="432">
        <v>33614.327</v>
      </c>
      <c r="E12" s="7" t="s">
        <v>143</v>
      </c>
      <c r="F12" s="421">
        <v>0</v>
      </c>
      <c r="G12" s="421">
        <v>0</v>
      </c>
    </row>
    <row r="13" spans="1:7" ht="14.25">
      <c r="A13" s="7" t="s">
        <v>1296</v>
      </c>
      <c r="B13" s="421">
        <v>0</v>
      </c>
      <c r="C13" s="432">
        <v>0</v>
      </c>
      <c r="E13" s="296" t="s">
        <v>65</v>
      </c>
      <c r="F13" s="421">
        <v>0</v>
      </c>
      <c r="G13" s="421">
        <v>0</v>
      </c>
    </row>
    <row r="14" spans="1:7" s="20" customFormat="1" ht="15" thickBot="1">
      <c r="A14" s="7" t="s">
        <v>981</v>
      </c>
      <c r="B14" s="432">
        <v>0</v>
      </c>
      <c r="C14" s="432">
        <v>0</v>
      </c>
      <c r="E14" s="19" t="s">
        <v>18</v>
      </c>
      <c r="F14" s="434">
        <f>SUM(F8:F13)</f>
        <v>0</v>
      </c>
      <c r="G14" s="435">
        <f>SUM(G8:G13)</f>
        <v>0</v>
      </c>
    </row>
    <row r="15" spans="1:3" s="20" customFormat="1" ht="15" thickTop="1">
      <c r="A15" s="7" t="s">
        <v>986</v>
      </c>
      <c r="B15" s="432">
        <v>0</v>
      </c>
      <c r="C15" s="432">
        <v>0</v>
      </c>
    </row>
    <row r="16" spans="1:7" ht="14.25">
      <c r="A16" s="7" t="s">
        <v>1166</v>
      </c>
      <c r="B16" s="432">
        <v>0</v>
      </c>
      <c r="C16" s="432">
        <v>0</v>
      </c>
      <c r="E16" s="19"/>
      <c r="F16" s="7"/>
      <c r="G16" s="13"/>
    </row>
    <row r="17" spans="1:7" s="674" customFormat="1" ht="14.25">
      <c r="A17" s="7" t="s">
        <v>988</v>
      </c>
      <c r="B17" s="432">
        <v>0</v>
      </c>
      <c r="C17" s="432">
        <v>0</v>
      </c>
      <c r="E17" s="19"/>
      <c r="F17" s="7"/>
      <c r="G17" s="13"/>
    </row>
    <row r="18" spans="1:3" ht="14.25">
      <c r="A18" s="7" t="s">
        <v>987</v>
      </c>
      <c r="B18" s="432">
        <v>109580.43</v>
      </c>
      <c r="C18" s="432">
        <v>0</v>
      </c>
    </row>
    <row r="19" spans="1:3" s="413" customFormat="1" ht="14.25">
      <c r="A19" s="7" t="s">
        <v>1179</v>
      </c>
      <c r="B19" s="432">
        <v>221</v>
      </c>
      <c r="C19" s="432">
        <v>530</v>
      </c>
    </row>
    <row r="20" spans="1:3" s="413" customFormat="1" ht="14.25">
      <c r="A20" s="7" t="s">
        <v>143</v>
      </c>
      <c r="B20" s="432">
        <v>0</v>
      </c>
      <c r="C20" s="433">
        <v>0</v>
      </c>
    </row>
    <row r="21" spans="1:3" s="413" customFormat="1" ht="14.25">
      <c r="A21" s="296" t="s">
        <v>65</v>
      </c>
      <c r="B21" s="432"/>
      <c r="C21" s="432"/>
    </row>
    <row r="22" spans="1:3" ht="15" thickBot="1">
      <c r="A22" s="19" t="s">
        <v>18</v>
      </c>
      <c r="B22" s="434">
        <f>SUM(B7:B21)</f>
        <v>515230.167</v>
      </c>
      <c r="C22" s="435">
        <f>SUM(C7:C21)</f>
        <v>815447.862</v>
      </c>
    </row>
    <row r="23" spans="1:3" ht="15" thickTop="1">
      <c r="A23" s="19"/>
      <c r="B23" s="613"/>
      <c r="C23" s="614"/>
    </row>
    <row r="24" spans="1:3" ht="14.25">
      <c r="A24" s="19"/>
      <c r="B24" s="420"/>
      <c r="C24" s="420"/>
    </row>
    <row r="25" ht="14.25">
      <c r="A25" s="611"/>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orientation="portrait" paperSize="5" scale="80" r:id="rId2"/>
  <drawing r:id="rId1"/>
</worksheet>
</file>

<file path=xl/worksheets/sheet25.xml><?xml version="1.0" encoding="utf-8"?>
<worksheet xmlns="http://schemas.openxmlformats.org/spreadsheetml/2006/main" xmlns:r="http://schemas.openxmlformats.org/officeDocument/2006/relationships">
  <dimension ref="A1:L15"/>
  <sheetViews>
    <sheetView showGridLines="0" zoomScalePageLayoutView="0" workbookViewId="0" topLeftCell="A1">
      <selection activeCell="B14" sqref="B14"/>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4.25">
      <c r="A1" t="str">
        <f>Indice!C1</f>
        <v>NEGOFIN S.A.E.C.A.</v>
      </c>
      <c r="D1" s="132" t="s">
        <v>131</v>
      </c>
    </row>
    <row r="4" spans="1:12" ht="14.25">
      <c r="A4" s="974" t="s">
        <v>334</v>
      </c>
      <c r="B4" s="974"/>
      <c r="C4" s="974"/>
      <c r="D4" s="974"/>
      <c r="E4" s="236"/>
      <c r="F4" s="236"/>
      <c r="G4" s="236"/>
      <c r="H4" s="236"/>
      <c r="I4" s="236"/>
      <c r="J4" s="236"/>
      <c r="K4" s="236"/>
      <c r="L4" s="236"/>
    </row>
    <row r="5" spans="5:12" ht="14.25">
      <c r="E5" s="45"/>
      <c r="F5" s="45"/>
      <c r="G5" s="45"/>
      <c r="H5" s="45"/>
      <c r="I5" s="45"/>
      <c r="J5" s="45"/>
      <c r="K5" s="45"/>
      <c r="L5" s="45"/>
    </row>
    <row r="6" spans="1:12" s="280" customFormat="1" ht="14.25">
      <c r="A6" s="280" t="s">
        <v>846</v>
      </c>
      <c r="B6" s="359">
        <f>_xlfn.IFERROR(IF(Indice!B6="","2XX2",YEAR(Indice!B6)),"2XX2")</f>
        <v>2022</v>
      </c>
      <c r="C6" s="359">
        <f>_xlfn.IFERROR(YEAR(Indice!B6-365),"2XX1")</f>
        <v>2021</v>
      </c>
      <c r="E6" s="45"/>
      <c r="F6" s="45"/>
      <c r="G6" s="45"/>
      <c r="H6" s="45"/>
      <c r="I6" s="45"/>
      <c r="J6" s="45"/>
      <c r="K6" s="45"/>
      <c r="L6" s="45"/>
    </row>
    <row r="7" spans="1:12" s="280" customFormat="1" ht="14.25">
      <c r="A7" s="280" t="s">
        <v>847</v>
      </c>
      <c r="B7" s="420">
        <v>150000000</v>
      </c>
      <c r="C7" s="420">
        <v>150000000</v>
      </c>
      <c r="E7" s="45"/>
      <c r="F7" s="45"/>
      <c r="G7" s="45"/>
      <c r="H7" s="45"/>
      <c r="I7" s="45"/>
      <c r="J7" s="45"/>
      <c r="K7" s="45"/>
      <c r="L7" s="45"/>
    </row>
    <row r="8" spans="1:12" s="280" customFormat="1" ht="14.25">
      <c r="A8" s="280" t="s">
        <v>850</v>
      </c>
      <c r="B8" s="420">
        <v>142643000</v>
      </c>
      <c r="C8" s="420">
        <v>134682000</v>
      </c>
      <c r="E8" s="45"/>
      <c r="F8" s="45"/>
      <c r="G8" s="45"/>
      <c r="H8" s="45"/>
      <c r="I8" s="45"/>
      <c r="J8" s="45"/>
      <c r="K8" s="45"/>
      <c r="L8" s="45"/>
    </row>
    <row r="9" spans="1:12" s="413" customFormat="1" ht="14.25">
      <c r="A9" s="413" t="s">
        <v>989</v>
      </c>
      <c r="B9" s="420">
        <v>884126</v>
      </c>
      <c r="C9" s="420">
        <v>884126</v>
      </c>
      <c r="E9" s="45"/>
      <c r="F9" s="45"/>
      <c r="G9" s="45"/>
      <c r="H9" s="45"/>
      <c r="I9" s="45"/>
      <c r="J9" s="45"/>
      <c r="K9" s="45"/>
      <c r="L9" s="45"/>
    </row>
    <row r="10" spans="1:12" s="611" customFormat="1" ht="14.25">
      <c r="A10" s="611" t="s">
        <v>1167</v>
      </c>
      <c r="B10" s="420">
        <v>185546.948</v>
      </c>
      <c r="C10" s="420">
        <v>53611.35</v>
      </c>
      <c r="E10" s="45"/>
      <c r="F10" s="45"/>
      <c r="G10" s="45"/>
      <c r="H10" s="45"/>
      <c r="I10" s="45"/>
      <c r="J10" s="45"/>
      <c r="K10" s="45"/>
      <c r="L10" s="45"/>
    </row>
    <row r="11" spans="1:12" s="280" customFormat="1" ht="14.25">
      <c r="A11" s="45" t="s">
        <v>849</v>
      </c>
      <c r="B11" s="460">
        <f>+B8/B12</f>
        <v>142643</v>
      </c>
      <c r="C11" s="420">
        <v>134682</v>
      </c>
      <c r="E11" s="45"/>
      <c r="F11" s="45"/>
      <c r="G11" s="45"/>
      <c r="H11" s="45"/>
      <c r="I11" s="45"/>
      <c r="J11" s="45"/>
      <c r="K11" s="45"/>
      <c r="L11" s="45"/>
    </row>
    <row r="12" spans="1:12" s="280" customFormat="1" ht="14.25">
      <c r="A12" s="633" t="s">
        <v>848</v>
      </c>
      <c r="B12" s="634">
        <v>1000</v>
      </c>
      <c r="C12" s="468">
        <v>1000</v>
      </c>
      <c r="E12" s="45"/>
      <c r="F12" s="45"/>
      <c r="G12" s="45"/>
      <c r="H12" s="45"/>
      <c r="I12" s="45"/>
      <c r="J12" s="45"/>
      <c r="K12" s="45"/>
      <c r="L12" s="45"/>
    </row>
    <row r="13" spans="1:3" ht="14.25">
      <c r="A13" t="s">
        <v>3</v>
      </c>
      <c r="B13" s="420">
        <f>+B8+B9++B10</f>
        <v>143712672.948</v>
      </c>
      <c r="C13" s="420">
        <f>+C8+C9+C10</f>
        <v>135619737.35</v>
      </c>
    </row>
    <row r="14" ht="14.25">
      <c r="B14" s="627"/>
    </row>
    <row r="15" ht="14.25">
      <c r="B15" s="768"/>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orientation="portrait" paperSize="9" scale="80" r:id="rId2"/>
  <drawing r:id="rId1"/>
</worksheet>
</file>

<file path=xl/worksheets/sheet26.xml><?xml version="1.0" encoding="utf-8"?>
<worksheet xmlns="http://schemas.openxmlformats.org/spreadsheetml/2006/main" xmlns:r="http://schemas.openxmlformats.org/officeDocument/2006/relationships">
  <dimension ref="A1:O29"/>
  <sheetViews>
    <sheetView zoomScale="83" zoomScaleNormal="83" zoomScalePageLayoutView="0" workbookViewId="0" topLeftCell="A1">
      <selection activeCell="M30" sqref="M30"/>
    </sheetView>
  </sheetViews>
  <sheetFormatPr defaultColWidth="11.421875" defaultRowHeight="15"/>
  <cols>
    <col min="1" max="1" width="24.8515625" style="114" customWidth="1"/>
    <col min="2" max="2" width="18.57421875" style="114" customWidth="1"/>
    <col min="3" max="3" width="16.7109375" style="114" customWidth="1"/>
    <col min="4" max="9" width="11.421875" style="114" customWidth="1"/>
    <col min="10" max="10" width="13.7109375" style="114" bestFit="1" customWidth="1"/>
    <col min="11" max="15" width="11.421875" style="114" customWidth="1"/>
  </cols>
  <sheetData>
    <row r="1" spans="1:6" ht="14.25">
      <c r="A1" s="114" t="str">
        <f>Indice!C1</f>
        <v>NEGOFIN S.A.E.C.A.</v>
      </c>
      <c r="F1" s="133" t="s">
        <v>131</v>
      </c>
    </row>
    <row r="3" spans="10:11" ht="14.25">
      <c r="J3" s="20"/>
      <c r="K3" s="20"/>
    </row>
    <row r="4" spans="1:13" ht="14.25">
      <c r="A4" s="967" t="s">
        <v>336</v>
      </c>
      <c r="B4" s="967"/>
      <c r="C4" s="967"/>
      <c r="D4" s="967"/>
      <c r="E4" s="967"/>
      <c r="F4" s="967"/>
      <c r="G4" s="136"/>
      <c r="H4" s="136"/>
      <c r="I4" s="136"/>
      <c r="J4" s="20"/>
      <c r="K4" s="20"/>
      <c r="L4" s="136"/>
      <c r="M4" s="136"/>
    </row>
    <row r="5" spans="10:11" ht="14.25">
      <c r="J5" s="20"/>
      <c r="K5" s="20"/>
    </row>
    <row r="6" spans="2:3" ht="14.25">
      <c r="B6" s="963" t="s">
        <v>309</v>
      </c>
      <c r="C6" s="963"/>
    </row>
    <row r="7" spans="2:3" ht="14.25">
      <c r="B7" s="359">
        <f>_xlfn.IFERROR(IF(Indice!B6="","2XX2",YEAR(Indice!B6)),"2XX2")</f>
        <v>2022</v>
      </c>
      <c r="C7" s="359">
        <f>_xlfn.IFERROR(YEAR(Indice!B6-365),"2XX1")</f>
        <v>2021</v>
      </c>
    </row>
    <row r="8" spans="1:3" ht="14.25">
      <c r="A8" s="317" t="s">
        <v>147</v>
      </c>
      <c r="B8" s="589">
        <v>1329154.82</v>
      </c>
      <c r="C8" s="589">
        <v>1330528</v>
      </c>
    </row>
    <row r="9" spans="1:15" s="280" customFormat="1" ht="14.25">
      <c r="A9" s="117"/>
      <c r="B9" s="114"/>
      <c r="C9" s="114"/>
      <c r="D9" s="114"/>
      <c r="E9" s="114"/>
      <c r="F9" s="114"/>
      <c r="G9" s="114"/>
      <c r="H9" s="114"/>
      <c r="I9" s="114"/>
      <c r="J9" s="114"/>
      <c r="K9" s="114"/>
      <c r="L9" s="114"/>
      <c r="M9" s="114"/>
      <c r="N9" s="114"/>
      <c r="O9" s="114"/>
    </row>
    <row r="10" spans="1:15" s="280" customFormat="1" ht="14.25">
      <c r="A10" s="117"/>
      <c r="B10" s="114"/>
      <c r="C10" s="114"/>
      <c r="D10" s="114"/>
      <c r="E10" s="114"/>
      <c r="F10" s="114"/>
      <c r="G10" s="114"/>
      <c r="H10" s="114"/>
      <c r="I10" s="114"/>
      <c r="J10" s="114"/>
      <c r="K10" s="114"/>
      <c r="L10" s="114"/>
      <c r="M10" s="114"/>
      <c r="N10" s="114"/>
      <c r="O10" s="114"/>
    </row>
    <row r="11" spans="1:15" s="280" customFormat="1" ht="14.25">
      <c r="A11" s="117"/>
      <c r="B11" s="114"/>
      <c r="C11" s="114"/>
      <c r="D11" s="114"/>
      <c r="E11" s="114"/>
      <c r="F11" s="114"/>
      <c r="G11" s="114"/>
      <c r="H11" s="114"/>
      <c r="I11" s="114"/>
      <c r="J11" s="114"/>
      <c r="K11" s="114"/>
      <c r="L11" s="114"/>
      <c r="M11" s="114"/>
      <c r="N11" s="114"/>
      <c r="O11" s="114"/>
    </row>
    <row r="12" spans="1:3" ht="14.25">
      <c r="A12" s="317" t="s">
        <v>148</v>
      </c>
      <c r="B12" s="589">
        <v>19459839.054</v>
      </c>
      <c r="C12" s="589">
        <v>16677338</v>
      </c>
    </row>
    <row r="13" spans="1:15" s="280" customFormat="1" ht="14.25">
      <c r="A13" s="117"/>
      <c r="B13" s="114"/>
      <c r="C13" s="114"/>
      <c r="D13" s="114"/>
      <c r="E13" s="114"/>
      <c r="F13" s="114"/>
      <c r="G13" s="114"/>
      <c r="H13" s="114"/>
      <c r="I13" s="114"/>
      <c r="J13" s="114"/>
      <c r="K13" s="114"/>
      <c r="L13" s="114"/>
      <c r="M13" s="114"/>
      <c r="N13" s="114"/>
      <c r="O13" s="114"/>
    </row>
    <row r="14" spans="1:15" s="280" customFormat="1" ht="14.25">
      <c r="A14" s="117"/>
      <c r="B14" s="114"/>
      <c r="C14" s="114"/>
      <c r="D14" s="114"/>
      <c r="E14" s="114"/>
      <c r="F14" s="114"/>
      <c r="G14" s="114"/>
      <c r="H14" s="114"/>
      <c r="I14" s="114"/>
      <c r="J14" s="114"/>
      <c r="K14" s="114"/>
      <c r="L14" s="114"/>
      <c r="M14" s="114"/>
      <c r="N14" s="114"/>
      <c r="O14" s="114"/>
    </row>
    <row r="15" spans="1:15" s="280" customFormat="1" ht="14.25">
      <c r="A15" s="117"/>
      <c r="B15" s="114"/>
      <c r="C15" s="114"/>
      <c r="D15" s="114"/>
      <c r="E15" s="114"/>
      <c r="F15" s="114"/>
      <c r="G15" s="114"/>
      <c r="H15" s="114"/>
      <c r="I15" s="114"/>
      <c r="J15" s="114"/>
      <c r="K15" s="114"/>
      <c r="L15" s="114"/>
      <c r="M15" s="114"/>
      <c r="N15" s="114"/>
      <c r="O15" s="114"/>
    </row>
    <row r="16" spans="1:3" ht="14.25">
      <c r="A16" s="317" t="s">
        <v>149</v>
      </c>
      <c r="B16" s="589"/>
      <c r="C16" s="589"/>
    </row>
    <row r="17" spans="1:15" s="280" customFormat="1" ht="14.25">
      <c r="A17" s="117"/>
      <c r="B17" s="114"/>
      <c r="C17" s="114">
        <v>5850172.838</v>
      </c>
      <c r="D17" s="114"/>
      <c r="E17" s="114"/>
      <c r="F17" s="114"/>
      <c r="G17" s="114"/>
      <c r="H17" s="114"/>
      <c r="I17" s="114"/>
      <c r="J17" s="114"/>
      <c r="K17" s="114"/>
      <c r="L17" s="114"/>
      <c r="M17" s="114"/>
      <c r="N17" s="114"/>
      <c r="O17" s="114"/>
    </row>
    <row r="18" spans="1:15" s="280" customFormat="1" ht="14.25">
      <c r="A18" s="117"/>
      <c r="B18" s="114"/>
      <c r="C18" s="114"/>
      <c r="D18" s="114"/>
      <c r="E18" s="114"/>
      <c r="F18" s="114"/>
      <c r="G18" s="114"/>
      <c r="H18" s="114"/>
      <c r="I18" s="114"/>
      <c r="J18" s="431"/>
      <c r="K18" s="114"/>
      <c r="L18" s="114"/>
      <c r="M18" s="114"/>
      <c r="N18" s="114"/>
      <c r="O18" s="114"/>
    </row>
    <row r="19" spans="1:15" s="280" customFormat="1" ht="14.25">
      <c r="A19" s="117"/>
      <c r="B19" s="469"/>
      <c r="C19" s="469"/>
      <c r="D19" s="114"/>
      <c r="E19" s="114"/>
      <c r="F19" s="114"/>
      <c r="G19" s="114"/>
      <c r="H19" s="114"/>
      <c r="I19" s="114"/>
      <c r="J19" s="114"/>
      <c r="K19" s="114"/>
      <c r="L19" s="114"/>
      <c r="M19" s="114"/>
      <c r="N19" s="114"/>
      <c r="O19" s="114"/>
    </row>
    <row r="20" spans="1:3" ht="14.25">
      <c r="A20" s="317" t="s">
        <v>150</v>
      </c>
      <c r="B20" s="589">
        <v>4862778.492</v>
      </c>
      <c r="C20" s="589">
        <v>33381225.338</v>
      </c>
    </row>
    <row r="21" ht="14.25">
      <c r="A21" s="316" t="s">
        <v>851</v>
      </c>
    </row>
    <row r="22" ht="14.25">
      <c r="A22" s="114" t="s">
        <v>852</v>
      </c>
    </row>
    <row r="23" spans="1:11" ht="14.25">
      <c r="A23" s="20"/>
      <c r="B23" s="20"/>
      <c r="C23" s="20"/>
      <c r="D23" s="20"/>
      <c r="E23" s="20"/>
      <c r="F23" s="20"/>
      <c r="G23" s="20"/>
      <c r="H23" s="20"/>
      <c r="I23" s="20"/>
      <c r="J23" s="20"/>
      <c r="K23" s="20"/>
    </row>
    <row r="24" spans="1:11" ht="14.25">
      <c r="A24" s="20"/>
      <c r="B24" s="20"/>
      <c r="C24" s="20"/>
      <c r="D24" s="20"/>
      <c r="E24" s="20"/>
      <c r="F24" s="20"/>
      <c r="G24" s="20"/>
      <c r="H24" s="20"/>
      <c r="I24" s="20"/>
      <c r="J24" s="20"/>
      <c r="K24" s="20"/>
    </row>
    <row r="25" spans="1:11" ht="14.25">
      <c r="A25" s="20"/>
      <c r="B25" s="20"/>
      <c r="C25" s="20"/>
      <c r="D25" s="20"/>
      <c r="E25" s="20"/>
      <c r="F25" s="20"/>
      <c r="G25" s="20"/>
      <c r="H25" s="20"/>
      <c r="I25" s="20"/>
      <c r="J25" s="20"/>
      <c r="K25" s="20"/>
    </row>
    <row r="26" spans="1:11" ht="14.25">
      <c r="A26" s="20"/>
      <c r="B26" s="20"/>
      <c r="C26" s="20"/>
      <c r="D26" s="20"/>
      <c r="E26" s="20"/>
      <c r="F26" s="20"/>
      <c r="G26" s="20"/>
      <c r="H26" s="20"/>
      <c r="I26" s="20"/>
      <c r="J26" s="20"/>
      <c r="K26" s="20"/>
    </row>
    <row r="27" spans="1:11" ht="14.25">
      <c r="A27" s="20"/>
      <c r="B27" s="20"/>
      <c r="C27" s="20"/>
      <c r="D27" s="20"/>
      <c r="E27" s="20"/>
      <c r="F27" s="20"/>
      <c r="G27" s="20"/>
      <c r="H27" s="20"/>
      <c r="I27" s="20"/>
      <c r="J27" s="20"/>
      <c r="K27" s="20"/>
    </row>
    <row r="28" spans="1:11" ht="14.25">
      <c r="A28" s="20"/>
      <c r="B28" s="20"/>
      <c r="C28" s="20"/>
      <c r="D28" s="20"/>
      <c r="E28" s="20"/>
      <c r="F28" s="20"/>
      <c r="G28" s="20"/>
      <c r="H28" s="20"/>
      <c r="I28" s="20"/>
      <c r="J28" s="20"/>
      <c r="K28" s="20"/>
    </row>
    <row r="29" spans="1:11" ht="14.25">
      <c r="A29" s="20"/>
      <c r="B29" s="20"/>
      <c r="C29" s="20"/>
      <c r="D29" s="20"/>
      <c r="E29" s="20"/>
      <c r="F29" s="20"/>
      <c r="G29" s="20"/>
      <c r="H29" s="20"/>
      <c r="I29" s="20"/>
      <c r="J29" s="20"/>
      <c r="K29" s="20"/>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F8"/>
  <sheetViews>
    <sheetView zoomScalePageLayoutView="0" workbookViewId="0" topLeftCell="A1">
      <selection activeCell="C18" sqref="C18"/>
    </sheetView>
  </sheetViews>
  <sheetFormatPr defaultColWidth="11.421875" defaultRowHeight="15"/>
  <cols>
    <col min="1" max="1" width="34.421875" style="20" customWidth="1"/>
    <col min="2" max="3" width="19.00390625" style="20" customWidth="1"/>
    <col min="4" max="25" width="11.421875" style="20" customWidth="1"/>
  </cols>
  <sheetData>
    <row r="1" spans="1:6" ht="14.25">
      <c r="A1" s="20" t="str">
        <f>Indice!C1</f>
        <v>NEGOFIN S.A.E.C.A.</v>
      </c>
      <c r="F1" s="137" t="s">
        <v>131</v>
      </c>
    </row>
    <row r="4" spans="1:6" ht="14.25">
      <c r="A4" s="293" t="s">
        <v>335</v>
      </c>
      <c r="B4" s="293"/>
      <c r="C4" s="293"/>
      <c r="D4" s="293"/>
      <c r="E4" s="236"/>
      <c r="F4" s="237"/>
    </row>
    <row r="6" spans="2:3" ht="14.25">
      <c r="B6" s="963" t="s">
        <v>309</v>
      </c>
      <c r="C6" s="963"/>
    </row>
    <row r="7" spans="2:3" ht="14.25">
      <c r="B7" s="359">
        <f>_xlfn.IFERROR(IF(Indice!B6="","2XX2",YEAR(Indice!B6)),"2XX2")</f>
        <v>2022</v>
      </c>
      <c r="C7" s="359">
        <f>+_xlfn.IFERROR(YEAR(Indice!B6-365),"2XX1")</f>
        <v>2021</v>
      </c>
    </row>
    <row r="8" ht="14.25">
      <c r="A8" s="138" t="s">
        <v>69</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F18"/>
  <sheetViews>
    <sheetView zoomScalePageLayoutView="0" workbookViewId="0" topLeftCell="A4">
      <selection activeCell="C10" sqref="C10"/>
    </sheetView>
  </sheetViews>
  <sheetFormatPr defaultColWidth="11.421875" defaultRowHeight="15"/>
  <cols>
    <col min="1" max="1" width="40.7109375" style="20" customWidth="1"/>
    <col min="2" max="2" width="19.00390625" style="20" customWidth="1"/>
    <col min="3" max="3" width="18.421875" style="20" customWidth="1"/>
    <col min="4" max="4" width="11.421875" style="20" customWidth="1"/>
    <col min="5" max="5" width="14.140625" style="20" bestFit="1" customWidth="1"/>
    <col min="6" max="6" width="14.8515625" style="20" bestFit="1" customWidth="1"/>
    <col min="7" max="32" width="11.421875" style="20" customWidth="1"/>
  </cols>
  <sheetData>
    <row r="1" spans="1:6" ht="14.25">
      <c r="A1" s="20" t="str">
        <f>Indice!C1</f>
        <v>NEGOFIN S.A.E.C.A.</v>
      </c>
      <c r="F1" s="137" t="s">
        <v>131</v>
      </c>
    </row>
    <row r="4" spans="1:6" ht="14.25">
      <c r="A4" s="293" t="s">
        <v>337</v>
      </c>
      <c r="B4" s="293"/>
      <c r="C4" s="293"/>
      <c r="D4" s="293"/>
      <c r="E4" s="293"/>
      <c r="F4" s="293"/>
    </row>
    <row r="6" spans="2:3" ht="14.25">
      <c r="B6" s="963" t="s">
        <v>309</v>
      </c>
      <c r="C6" s="963"/>
    </row>
    <row r="7" spans="1:3" ht="14.25">
      <c r="A7" s="138"/>
      <c r="B7" s="359">
        <f>_xlfn.IFERROR(IF(Indice!B6="","2XX2",YEAR(Indice!B6)),"2XX2")</f>
        <v>2022</v>
      </c>
      <c r="C7" s="359">
        <f>+_xlfn.IFERROR(YEAR(Indice!B6-365),"2XX1")</f>
        <v>2021</v>
      </c>
    </row>
    <row r="8" spans="1:6" ht="14.25">
      <c r="A8" s="20" t="s">
        <v>151</v>
      </c>
      <c r="B8" s="471">
        <v>0</v>
      </c>
      <c r="C8" s="471">
        <v>0</v>
      </c>
      <c r="F8" s="145"/>
    </row>
    <row r="9" spans="1:6" ht="14.25">
      <c r="A9" s="20" t="s">
        <v>153</v>
      </c>
      <c r="B9" s="471">
        <v>52827201.958</v>
      </c>
      <c r="C9" s="460">
        <v>45427640.032</v>
      </c>
      <c r="E9" s="624"/>
      <c r="F9" s="624"/>
    </row>
    <row r="10" spans="1:6" ht="14.25">
      <c r="A10" s="20" t="s">
        <v>313</v>
      </c>
      <c r="B10" s="472">
        <f>SUM($B$8:B9)</f>
        <v>52827201.958</v>
      </c>
      <c r="C10" s="472">
        <f>SUM($C$8:C9)</f>
        <v>45427640.032</v>
      </c>
      <c r="F10" s="145"/>
    </row>
    <row r="11" ht="14.25">
      <c r="F11" s="145"/>
    </row>
    <row r="12" ht="14.25">
      <c r="F12" s="145"/>
    </row>
    <row r="13" ht="14.25">
      <c r="F13" s="145"/>
    </row>
    <row r="14" spans="2:3" ht="14.25">
      <c r="B14" s="470"/>
      <c r="C14" s="470"/>
    </row>
    <row r="15" ht="14.25">
      <c r="C15" s="470"/>
    </row>
    <row r="18" spans="2:3" ht="14.25">
      <c r="B18" s="470"/>
      <c r="C18" s="470"/>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F8"/>
  <sheetViews>
    <sheetView zoomScalePageLayoutView="0" workbookViewId="0" topLeftCell="A1">
      <selection activeCell="C18" sqref="C18"/>
    </sheetView>
  </sheetViews>
  <sheetFormatPr defaultColWidth="11.421875" defaultRowHeight="15"/>
  <cols>
    <col min="1" max="1" width="40.7109375" style="20" customWidth="1"/>
    <col min="2" max="3" width="19.00390625" style="20" customWidth="1"/>
    <col min="4" max="6" width="11.421875" style="20" customWidth="1"/>
    <col min="7" max="34" width="11.421875" style="114" customWidth="1"/>
  </cols>
  <sheetData>
    <row r="1" spans="1:6" ht="14.25">
      <c r="A1" s="20" t="str">
        <f>Indice!C1</f>
        <v>NEGOFIN S.A.E.C.A.</v>
      </c>
      <c r="F1" s="137" t="s">
        <v>131</v>
      </c>
    </row>
    <row r="4" spans="1:6" ht="14.25">
      <c r="A4" s="293" t="s">
        <v>338</v>
      </c>
      <c r="B4" s="293"/>
      <c r="C4" s="293"/>
      <c r="D4" s="293"/>
      <c r="E4" s="236"/>
      <c r="F4" s="237"/>
    </row>
    <row r="6" spans="2:3" ht="14.25">
      <c r="B6" s="963" t="s">
        <v>309</v>
      </c>
      <c r="C6" s="963"/>
    </row>
    <row r="7" spans="1:3" ht="14.25">
      <c r="A7" s="138"/>
      <c r="B7" s="359">
        <f>_xlfn.IFERROR(IF(Indice!B6="","2XX2",YEAR(Indice!B6)),"2XX2")</f>
        <v>2022</v>
      </c>
      <c r="C7" s="359">
        <f>+_xlfn.IFERROR(YEAR(Indice!B6-365),"2XX1")</f>
        <v>2021</v>
      </c>
    </row>
    <row r="8" spans="1:3" ht="14.25">
      <c r="A8" s="20" t="s">
        <v>82</v>
      </c>
      <c r="B8" s="595">
        <v>0</v>
      </c>
      <c r="C8" s="595">
        <v>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X40"/>
  <sheetViews>
    <sheetView showGridLines="0" zoomScale="77" zoomScaleNormal="77" zoomScalePageLayoutView="0" workbookViewId="0" topLeftCell="A1">
      <selection activeCell="W31" sqref="W31"/>
    </sheetView>
  </sheetViews>
  <sheetFormatPr defaultColWidth="11.421875" defaultRowHeight="15"/>
  <cols>
    <col min="1" max="1" width="40.7109375" style="2" customWidth="1"/>
    <col min="2" max="2" width="0.85546875" style="2" customWidth="1"/>
    <col min="3" max="3" width="19.57421875" style="60" customWidth="1"/>
    <col min="4" max="4" width="2.57421875" style="60" hidden="1" customWidth="1"/>
    <col min="5" max="5" width="0.9921875" style="80" customWidth="1"/>
    <col min="6" max="6" width="18.140625" style="60" customWidth="1"/>
    <col min="7" max="7" width="1.28515625" style="60" customWidth="1"/>
    <col min="8" max="8" width="18.140625" style="60" customWidth="1"/>
    <col min="9" max="9" width="0.85546875" style="80" customWidth="1"/>
    <col min="10" max="10" width="18.8515625" style="60" customWidth="1"/>
    <col min="11" max="11" width="0.9921875" style="80" customWidth="1"/>
    <col min="12" max="12" width="20.00390625" style="60" customWidth="1"/>
    <col min="13" max="13" width="0.71875" style="80" customWidth="1"/>
    <col min="14" max="14" width="18.421875" style="60" customWidth="1"/>
    <col min="15" max="15" width="0.71875" style="80" customWidth="1"/>
    <col min="16" max="16" width="20.421875" style="60" customWidth="1"/>
    <col min="17" max="17" width="1.1484375" style="80" customWidth="1"/>
    <col min="18" max="18" width="19.7109375" style="60" customWidth="1"/>
    <col min="19" max="19" width="1.1484375" style="51" customWidth="1"/>
    <col min="20" max="20" width="13.57421875" style="51" customWidth="1"/>
    <col min="21" max="21" width="17.421875" style="2" bestFit="1" customWidth="1"/>
    <col min="22" max="22" width="1.1484375" style="2" customWidth="1"/>
    <col min="23" max="23" width="16.421875" style="2" customWidth="1"/>
    <col min="24" max="16384" width="11.421875" style="2" customWidth="1"/>
  </cols>
  <sheetData>
    <row r="1" spans="1:10" ht="14.25">
      <c r="A1" s="2" t="str">
        <f>Indice!C1</f>
        <v>NEGOFIN S.A.E.C.A.</v>
      </c>
      <c r="J1" s="310" t="s">
        <v>384</v>
      </c>
    </row>
    <row r="3" spans="16:21" ht="13.5">
      <c r="P3" s="348"/>
      <c r="U3" s="50"/>
    </row>
    <row r="4" spans="2:21" ht="13.5">
      <c r="B4" s="348"/>
      <c r="C4" s="348"/>
      <c r="D4" s="348"/>
      <c r="E4" s="348"/>
      <c r="F4" s="348" t="s">
        <v>871</v>
      </c>
      <c r="G4" s="348"/>
      <c r="H4" s="348"/>
      <c r="I4" s="348"/>
      <c r="J4" s="348"/>
      <c r="K4" s="348"/>
      <c r="L4" s="348"/>
      <c r="M4" s="348"/>
      <c r="N4" s="348"/>
      <c r="O4" s="348"/>
      <c r="P4" s="348"/>
      <c r="Q4" s="348"/>
      <c r="R4" s="348"/>
      <c r="U4" s="50"/>
    </row>
    <row r="5" spans="1:21" ht="13.5">
      <c r="A5" s="348"/>
      <c r="B5" s="348"/>
      <c r="C5" s="348"/>
      <c r="D5" s="348"/>
      <c r="E5" s="348"/>
      <c r="F5" s="348"/>
      <c r="G5" s="348"/>
      <c r="H5" s="348"/>
      <c r="I5" s="348"/>
      <c r="J5" s="348" t="str">
        <f>_xlfn.IFERROR(IF(Indice!B6="","Al dia... de mes… de año 2XX2…","Al "&amp;DAY(Indice!B6)&amp;" de "&amp;VLOOKUP(MONTH(Indice!B6),Indice!S:T,2,0)&amp;" de "&amp;YEAR(Indice!B6)),"Al dia... de mes… de año 2XX2…")</f>
        <v>Al 31 de Diciembre de 2022</v>
      </c>
      <c r="K5" s="348"/>
      <c r="L5" s="348"/>
      <c r="M5" s="348"/>
      <c r="N5" s="348"/>
      <c r="O5" s="348"/>
      <c r="P5" s="348"/>
      <c r="Q5" s="348"/>
      <c r="R5" s="348"/>
      <c r="U5" s="50"/>
    </row>
    <row r="6" spans="1:21" ht="13.5">
      <c r="A6" s="901" t="s">
        <v>300</v>
      </c>
      <c r="B6" s="901"/>
      <c r="C6" s="901"/>
      <c r="D6" s="901"/>
      <c r="E6" s="901"/>
      <c r="F6" s="901"/>
      <c r="G6" s="901"/>
      <c r="H6" s="901"/>
      <c r="I6" s="901"/>
      <c r="J6" s="901"/>
      <c r="K6" s="901"/>
      <c r="L6" s="901"/>
      <c r="M6" s="901"/>
      <c r="N6" s="901"/>
      <c r="O6" s="901"/>
      <c r="P6" s="901"/>
      <c r="Q6" s="901"/>
      <c r="R6" s="901"/>
      <c r="U6" s="50"/>
    </row>
    <row r="7" spans="1:21" ht="13.5">
      <c r="A7" s="901" t="s">
        <v>272</v>
      </c>
      <c r="B7" s="901"/>
      <c r="C7" s="901"/>
      <c r="D7" s="901"/>
      <c r="E7" s="901"/>
      <c r="F7" s="901"/>
      <c r="G7" s="901"/>
      <c r="H7" s="901"/>
      <c r="I7" s="901"/>
      <c r="J7" s="901"/>
      <c r="K7" s="901"/>
      <c r="L7" s="901"/>
      <c r="M7" s="901"/>
      <c r="N7" s="901"/>
      <c r="O7" s="901"/>
      <c r="P7" s="901"/>
      <c r="Q7" s="901"/>
      <c r="R7" s="901"/>
      <c r="U7" s="50"/>
    </row>
    <row r="8" spans="1:21" ht="13.5">
      <c r="A8" s="209"/>
      <c r="B8" s="209"/>
      <c r="C8" s="209"/>
      <c r="D8" s="209"/>
      <c r="E8" s="209"/>
      <c r="F8" s="209"/>
      <c r="G8" s="485"/>
      <c r="H8" s="485"/>
      <c r="I8" s="209"/>
      <c r="J8" s="209"/>
      <c r="K8" s="209"/>
      <c r="L8" s="209"/>
      <c r="M8" s="209"/>
      <c r="N8" s="209"/>
      <c r="O8" s="209"/>
      <c r="P8" s="209"/>
      <c r="Q8" s="209"/>
      <c r="R8" s="209"/>
      <c r="U8" s="50"/>
    </row>
    <row r="9" spans="1:21" ht="13.5">
      <c r="A9" s="209"/>
      <c r="B9" s="209"/>
      <c r="C9" s="209"/>
      <c r="D9" s="209"/>
      <c r="E9" s="209"/>
      <c r="F9" s="209"/>
      <c r="G9" s="485"/>
      <c r="H9" s="485"/>
      <c r="I9" s="209"/>
      <c r="J9" s="209"/>
      <c r="K9" s="209"/>
      <c r="L9" s="209"/>
      <c r="M9" s="209"/>
      <c r="N9" s="209"/>
      <c r="O9" s="209"/>
      <c r="P9" s="209"/>
      <c r="Q9" s="209"/>
      <c r="R9" s="209"/>
      <c r="U9" s="50"/>
    </row>
    <row r="10" spans="1:21" ht="18" customHeight="1">
      <c r="A10" s="61"/>
      <c r="B10" s="70"/>
      <c r="C10" s="898" t="s">
        <v>281</v>
      </c>
      <c r="D10" s="898"/>
      <c r="E10" s="898"/>
      <c r="F10" s="898"/>
      <c r="G10" s="486"/>
      <c r="H10" s="486"/>
      <c r="I10" s="81"/>
      <c r="J10" s="61"/>
      <c r="K10" s="81"/>
      <c r="L10" s="61"/>
      <c r="M10" s="81"/>
      <c r="N10" s="898" t="s">
        <v>420</v>
      </c>
      <c r="O10" s="898"/>
      <c r="P10" s="898"/>
      <c r="Q10" s="898"/>
      <c r="R10" s="898"/>
      <c r="U10" s="50"/>
    </row>
    <row r="11" spans="1:23" ht="15" customHeight="1">
      <c r="A11" s="897">
        <v>2020</v>
      </c>
      <c r="C11" s="899" t="s">
        <v>77</v>
      </c>
      <c r="D11" s="62" t="s">
        <v>47</v>
      </c>
      <c r="E11" s="82"/>
      <c r="F11" s="899" t="s">
        <v>78</v>
      </c>
      <c r="G11" s="499"/>
      <c r="H11" s="484" t="s">
        <v>1007</v>
      </c>
      <c r="I11" s="82"/>
      <c r="J11" s="899" t="s">
        <v>43</v>
      </c>
      <c r="K11" s="82"/>
      <c r="L11" s="899" t="s">
        <v>79</v>
      </c>
      <c r="M11" s="82"/>
      <c r="N11" s="899" t="s">
        <v>80</v>
      </c>
      <c r="O11" s="82"/>
      <c r="P11" s="899" t="s">
        <v>81</v>
      </c>
      <c r="Q11" s="503"/>
      <c r="R11" s="899" t="s">
        <v>44</v>
      </c>
      <c r="T11" s="899" t="s">
        <v>1009</v>
      </c>
      <c r="U11" s="899" t="s">
        <v>82</v>
      </c>
      <c r="V11" s="82"/>
      <c r="W11" s="899" t="s">
        <v>3</v>
      </c>
    </row>
    <row r="12" spans="1:23" ht="15.75" customHeight="1">
      <c r="A12" s="897"/>
      <c r="C12" s="900"/>
      <c r="D12" s="62" t="s">
        <v>48</v>
      </c>
      <c r="E12" s="82"/>
      <c r="F12" s="900"/>
      <c r="G12" s="500"/>
      <c r="H12" s="498" t="s">
        <v>1008</v>
      </c>
      <c r="I12" s="82"/>
      <c r="J12" s="900"/>
      <c r="K12" s="82"/>
      <c r="L12" s="900"/>
      <c r="M12" s="82"/>
      <c r="N12" s="900"/>
      <c r="O12" s="82"/>
      <c r="P12" s="900"/>
      <c r="Q12" s="503"/>
      <c r="R12" s="900" t="s">
        <v>3</v>
      </c>
      <c r="T12" s="900" t="s">
        <v>3</v>
      </c>
      <c r="U12" s="900"/>
      <c r="V12" s="82"/>
      <c r="W12" s="900"/>
    </row>
    <row r="13" spans="3:23" ht="7.5" customHeight="1">
      <c r="C13" s="488"/>
      <c r="D13" s="488"/>
      <c r="E13" s="489"/>
      <c r="F13" s="488"/>
      <c r="G13" s="501"/>
      <c r="H13" s="488"/>
      <c r="I13" s="489"/>
      <c r="J13" s="488"/>
      <c r="K13" s="489"/>
      <c r="L13" s="488"/>
      <c r="M13" s="489"/>
      <c r="N13" s="488"/>
      <c r="O13" s="489"/>
      <c r="P13" s="488"/>
      <c r="Q13" s="504"/>
      <c r="R13" s="488"/>
      <c r="S13" s="490"/>
      <c r="T13" s="488"/>
      <c r="U13" s="491"/>
      <c r="V13" s="483"/>
      <c r="W13" s="483"/>
    </row>
    <row r="14" spans="1:24" ht="12.75">
      <c r="A14" s="99" t="s">
        <v>1360</v>
      </c>
      <c r="B14" s="21"/>
      <c r="C14" s="492">
        <v>134682000</v>
      </c>
      <c r="D14" s="488">
        <v>0</v>
      </c>
      <c r="E14" s="489">
        <v>0</v>
      </c>
      <c r="F14" s="492">
        <v>53611.35</v>
      </c>
      <c r="G14" s="502">
        <v>0</v>
      </c>
      <c r="H14" s="492">
        <v>884126</v>
      </c>
      <c r="I14" s="489"/>
      <c r="J14" s="492">
        <v>1330527.56</v>
      </c>
      <c r="K14" s="489"/>
      <c r="L14" s="492">
        <v>0</v>
      </c>
      <c r="M14" s="489"/>
      <c r="N14" s="492">
        <v>16677337.802000001</v>
      </c>
      <c r="O14" s="489"/>
      <c r="P14" s="492">
        <v>33381225.338</v>
      </c>
      <c r="Q14" s="504"/>
      <c r="R14" s="492">
        <v>0</v>
      </c>
      <c r="S14" s="490"/>
      <c r="T14" s="492">
        <v>45427640.032</v>
      </c>
      <c r="U14" s="492">
        <v>0</v>
      </c>
      <c r="V14" s="490"/>
      <c r="W14" s="492">
        <f>SUM(C14:U14)</f>
        <v>232436468.08200002</v>
      </c>
      <c r="X14" s="51"/>
    </row>
    <row r="15" spans="1:24" ht="12.75">
      <c r="A15" s="2" t="s">
        <v>421</v>
      </c>
      <c r="C15" s="488"/>
      <c r="D15" s="488"/>
      <c r="E15" s="489"/>
      <c r="F15" s="488"/>
      <c r="G15" s="488"/>
      <c r="H15" s="488"/>
      <c r="I15" s="488"/>
      <c r="J15" s="488"/>
      <c r="K15" s="488">
        <v>0</v>
      </c>
      <c r="L15" s="488"/>
      <c r="M15" s="488"/>
      <c r="N15" s="488"/>
      <c r="O15" s="488"/>
      <c r="P15" s="488"/>
      <c r="Q15" s="501">
        <v>0</v>
      </c>
      <c r="R15" s="488">
        <v>0</v>
      </c>
      <c r="S15" s="488">
        <v>0</v>
      </c>
      <c r="T15" s="488">
        <v>0</v>
      </c>
      <c r="U15" s="488">
        <v>0</v>
      </c>
      <c r="V15" s="490"/>
      <c r="W15" s="492">
        <f aca="true" t="shared" si="0" ref="W15:W24">SUM(C15:U15)</f>
        <v>0</v>
      </c>
      <c r="X15" s="51"/>
    </row>
    <row r="16" spans="1:24" ht="12.75">
      <c r="A16" s="99" t="s">
        <v>76</v>
      </c>
      <c r="C16" s="492">
        <v>0</v>
      </c>
      <c r="D16" s="488"/>
      <c r="E16" s="489"/>
      <c r="F16" s="492">
        <v>0</v>
      </c>
      <c r="G16" s="492">
        <v>0</v>
      </c>
      <c r="H16" s="492">
        <v>0</v>
      </c>
      <c r="I16" s="492">
        <v>0</v>
      </c>
      <c r="J16" s="492">
        <v>0</v>
      </c>
      <c r="K16" s="489"/>
      <c r="L16" s="492"/>
      <c r="M16" s="489"/>
      <c r="N16" s="492">
        <v>0</v>
      </c>
      <c r="O16" s="488"/>
      <c r="P16" s="492"/>
      <c r="Q16" s="502">
        <v>0</v>
      </c>
      <c r="R16" s="492">
        <v>0</v>
      </c>
      <c r="S16" s="492">
        <v>0</v>
      </c>
      <c r="T16" s="492">
        <v>0</v>
      </c>
      <c r="U16" s="492">
        <v>0</v>
      </c>
      <c r="V16" s="490"/>
      <c r="W16" s="492">
        <f t="shared" si="0"/>
        <v>0</v>
      </c>
      <c r="X16" s="51"/>
    </row>
    <row r="17" spans="1:23" ht="26.25">
      <c r="A17" s="110" t="s">
        <v>278</v>
      </c>
      <c r="C17" s="488"/>
      <c r="D17" s="488"/>
      <c r="E17" s="489"/>
      <c r="F17" s="488"/>
      <c r="G17" s="501"/>
      <c r="H17" s="488"/>
      <c r="I17" s="489"/>
      <c r="J17" s="488">
        <v>0</v>
      </c>
      <c r="K17" s="489"/>
      <c r="L17" s="488">
        <v>0</v>
      </c>
      <c r="M17" s="489"/>
      <c r="N17" s="488">
        <v>0</v>
      </c>
      <c r="O17" s="489"/>
      <c r="P17" s="493"/>
      <c r="Q17" s="504"/>
      <c r="R17" s="488">
        <v>0</v>
      </c>
      <c r="S17" s="490"/>
      <c r="T17" s="488">
        <v>0</v>
      </c>
      <c r="U17" s="491"/>
      <c r="V17" s="483"/>
      <c r="W17" s="492">
        <f t="shared" si="0"/>
        <v>0</v>
      </c>
    </row>
    <row r="18" spans="1:23" ht="12.75">
      <c r="A18" s="99" t="s">
        <v>83</v>
      </c>
      <c r="C18" s="492">
        <v>7961000</v>
      </c>
      <c r="D18" s="488"/>
      <c r="E18" s="489"/>
      <c r="F18" s="492">
        <v>0</v>
      </c>
      <c r="G18" s="502"/>
      <c r="H18" s="492"/>
      <c r="I18" s="489"/>
      <c r="J18" s="492"/>
      <c r="K18" s="489"/>
      <c r="L18" s="492"/>
      <c r="M18" s="489"/>
      <c r="N18" s="492"/>
      <c r="O18" s="489"/>
      <c r="P18" s="492"/>
      <c r="Q18" s="489"/>
      <c r="R18" s="492"/>
      <c r="S18" s="490"/>
      <c r="T18" s="492"/>
      <c r="U18" s="492"/>
      <c r="V18" s="490"/>
      <c r="W18" s="492">
        <f t="shared" si="0"/>
        <v>7961000</v>
      </c>
    </row>
    <row r="19" spans="1:23" ht="39">
      <c r="A19" s="110" t="s">
        <v>279</v>
      </c>
      <c r="C19" s="488">
        <v>0</v>
      </c>
      <c r="D19" s="488"/>
      <c r="E19" s="489"/>
      <c r="F19" s="488">
        <v>0</v>
      </c>
      <c r="G19" s="501"/>
      <c r="H19" s="488"/>
      <c r="I19" s="489"/>
      <c r="J19" s="488">
        <v>0</v>
      </c>
      <c r="K19" s="489"/>
      <c r="L19" s="488"/>
      <c r="M19" s="489"/>
      <c r="N19" s="493"/>
      <c r="O19" s="489"/>
      <c r="P19" s="488"/>
      <c r="Q19" s="489"/>
      <c r="R19" s="493"/>
      <c r="S19" s="494"/>
      <c r="T19" s="493"/>
      <c r="U19" s="491"/>
      <c r="V19" s="483"/>
      <c r="W19" s="492">
        <f t="shared" si="0"/>
        <v>0</v>
      </c>
    </row>
    <row r="20" spans="1:23" ht="12.75">
      <c r="A20" s="99" t="s">
        <v>84</v>
      </c>
      <c r="C20" s="492">
        <v>0</v>
      </c>
      <c r="D20" s="488"/>
      <c r="E20" s="489"/>
      <c r="F20" s="492">
        <v>0</v>
      </c>
      <c r="G20" s="502"/>
      <c r="H20" s="492">
        <v>0</v>
      </c>
      <c r="I20" s="489"/>
      <c r="J20" s="492">
        <v>-1372.757</v>
      </c>
      <c r="K20" s="489"/>
      <c r="L20" s="492">
        <v>0</v>
      </c>
      <c r="M20" s="489"/>
      <c r="N20" s="492">
        <v>0</v>
      </c>
      <c r="O20" s="489"/>
      <c r="P20" s="492"/>
      <c r="Q20" s="489"/>
      <c r="R20" s="492"/>
      <c r="S20" s="490"/>
      <c r="T20" s="492"/>
      <c r="U20" s="492"/>
      <c r="V20" s="490"/>
      <c r="W20" s="492">
        <f t="shared" si="0"/>
        <v>-1372.757</v>
      </c>
    </row>
    <row r="21" spans="1:23" ht="12.75">
      <c r="A21" s="99" t="s">
        <v>1010</v>
      </c>
      <c r="C21" s="492">
        <v>0</v>
      </c>
      <c r="D21" s="488"/>
      <c r="E21" s="489"/>
      <c r="F21" s="492">
        <v>0</v>
      </c>
      <c r="G21" s="502"/>
      <c r="H21" s="492">
        <v>0</v>
      </c>
      <c r="I21" s="489"/>
      <c r="J21" s="492">
        <v>0</v>
      </c>
      <c r="K21" s="489"/>
      <c r="L21" s="492">
        <v>0</v>
      </c>
      <c r="M21" s="489"/>
      <c r="N21" s="492">
        <v>2782501.252</v>
      </c>
      <c r="O21" s="489"/>
      <c r="P21" s="492"/>
      <c r="Q21" s="489"/>
      <c r="R21" s="492"/>
      <c r="S21" s="490"/>
      <c r="T21" s="492"/>
      <c r="U21" s="492"/>
      <c r="V21" s="490"/>
      <c r="W21" s="492">
        <f t="shared" si="0"/>
        <v>2782501.252</v>
      </c>
    </row>
    <row r="22" spans="1:23" ht="12.75">
      <c r="A22" s="99" t="s">
        <v>85</v>
      </c>
      <c r="C22" s="492">
        <v>0</v>
      </c>
      <c r="D22" s="488"/>
      <c r="E22" s="489"/>
      <c r="F22" s="492">
        <v>0</v>
      </c>
      <c r="G22" s="502"/>
      <c r="H22" s="492">
        <v>0</v>
      </c>
      <c r="I22" s="489"/>
      <c r="J22" s="492">
        <v>0</v>
      </c>
      <c r="K22" s="489"/>
      <c r="L22" s="492">
        <v>0</v>
      </c>
      <c r="M22" s="489"/>
      <c r="N22" s="492"/>
      <c r="O22" s="489"/>
      <c r="P22" s="492"/>
      <c r="Q22" s="489"/>
      <c r="R22" s="492"/>
      <c r="S22" s="490"/>
      <c r="T22" s="492"/>
      <c r="U22" s="492"/>
      <c r="V22" s="490"/>
      <c r="W22" s="492">
        <f t="shared" si="0"/>
        <v>0</v>
      </c>
    </row>
    <row r="23" spans="1:23" ht="12.75">
      <c r="A23" s="99" t="s">
        <v>86</v>
      </c>
      <c r="C23" s="492">
        <v>0</v>
      </c>
      <c r="D23" s="488"/>
      <c r="E23" s="489"/>
      <c r="F23" s="492">
        <v>131935.598</v>
      </c>
      <c r="G23" s="502"/>
      <c r="H23" s="492">
        <v>0</v>
      </c>
      <c r="I23" s="489"/>
      <c r="J23" s="492">
        <v>0</v>
      </c>
      <c r="K23" s="489"/>
      <c r="L23" s="492">
        <v>0</v>
      </c>
      <c r="M23" s="489"/>
      <c r="N23" s="492"/>
      <c r="O23" s="489"/>
      <c r="P23" s="492">
        <v>-28518446.846</v>
      </c>
      <c r="Q23" s="489"/>
      <c r="R23" s="492">
        <v>0</v>
      </c>
      <c r="S23" s="490"/>
      <c r="T23" s="492">
        <v>7399561.926</v>
      </c>
      <c r="U23" s="492">
        <v>0</v>
      </c>
      <c r="V23" s="490"/>
      <c r="W23" s="492">
        <f>SUM(C23:U23)</f>
        <v>-20986949.322</v>
      </c>
    </row>
    <row r="24" spans="3:23" ht="12.75">
      <c r="C24" s="488"/>
      <c r="D24" s="488"/>
      <c r="E24" s="489"/>
      <c r="F24" s="488"/>
      <c r="G24" s="501"/>
      <c r="H24" s="488"/>
      <c r="I24" s="489"/>
      <c r="J24" s="488"/>
      <c r="K24" s="489"/>
      <c r="L24" s="488"/>
      <c r="M24" s="489"/>
      <c r="N24" s="488"/>
      <c r="O24" s="489"/>
      <c r="P24" s="488"/>
      <c r="Q24" s="489"/>
      <c r="R24" s="488">
        <v>0</v>
      </c>
      <c r="S24" s="490"/>
      <c r="T24" s="488"/>
      <c r="U24" s="491"/>
      <c r="V24" s="483"/>
      <c r="W24" s="492">
        <f t="shared" si="0"/>
        <v>0</v>
      </c>
    </row>
    <row r="25" spans="1:23" ht="12.75">
      <c r="A25" s="99" t="s">
        <v>1361</v>
      </c>
      <c r="B25" s="21"/>
      <c r="C25" s="495">
        <f>+C14+C15+C16-C17-C20+C18</f>
        <v>142643000</v>
      </c>
      <c r="D25" s="495">
        <f>+D14+D15+D16-D17-D20+D18</f>
        <v>0</v>
      </c>
      <c r="E25" s="495">
        <f>+E14+E15+E16-E17-E20+E18</f>
        <v>0</v>
      </c>
      <c r="F25" s="495">
        <f>+F14+F15+F16-F17-F20+F18+F23</f>
        <v>185546.948</v>
      </c>
      <c r="G25" s="495">
        <f>+G14+G15+G16-G17-G20</f>
        <v>0</v>
      </c>
      <c r="H25" s="495">
        <f>+H14+H15+H16-H17-H20</f>
        <v>884126</v>
      </c>
      <c r="I25" s="495">
        <f>+I14+I15+I16-I17-I20</f>
        <v>0</v>
      </c>
      <c r="J25" s="495">
        <f>+J14+J20+J22</f>
        <v>1329154.803</v>
      </c>
      <c r="K25" s="495">
        <f aca="true" t="shared" si="1" ref="K25:S25">+K14+K15+K16-K17-K20</f>
        <v>0</v>
      </c>
      <c r="L25" s="495">
        <f t="shared" si="1"/>
        <v>0</v>
      </c>
      <c r="M25" s="495">
        <f t="shared" si="1"/>
        <v>0</v>
      </c>
      <c r="N25" s="495">
        <f>+N14+N21</f>
        <v>19459839.054</v>
      </c>
      <c r="O25" s="495">
        <f>+O14+O21</f>
        <v>0</v>
      </c>
      <c r="P25" s="495">
        <f>+P14+P23</f>
        <v>4862778.491999999</v>
      </c>
      <c r="Q25" s="495">
        <f t="shared" si="1"/>
        <v>0</v>
      </c>
      <c r="R25" s="495">
        <f>+R14+R23</f>
        <v>0</v>
      </c>
      <c r="S25" s="495">
        <f t="shared" si="1"/>
        <v>0</v>
      </c>
      <c r="T25" s="495">
        <f>+T14+T23</f>
        <v>52827201.958</v>
      </c>
      <c r="U25" s="495">
        <f>+U14+U15+U16-U17-U20</f>
        <v>0</v>
      </c>
      <c r="V25" s="494"/>
      <c r="W25" s="492">
        <f>SUM(W14:W24)</f>
        <v>222191647.25500003</v>
      </c>
    </row>
    <row r="26" spans="1:23" ht="41.25" customHeight="1">
      <c r="A26" s="110" t="s">
        <v>280</v>
      </c>
      <c r="C26" s="488"/>
      <c r="D26" s="488"/>
      <c r="E26" s="489"/>
      <c r="F26" s="488"/>
      <c r="G26" s="501"/>
      <c r="H26" s="488"/>
      <c r="I26" s="489"/>
      <c r="J26" s="488"/>
      <c r="K26" s="489"/>
      <c r="L26" s="488"/>
      <c r="M26" s="489"/>
      <c r="N26" s="488"/>
      <c r="O26" s="489"/>
      <c r="P26" s="493"/>
      <c r="Q26" s="489"/>
      <c r="R26" s="488"/>
      <c r="S26" s="490"/>
      <c r="T26" s="488"/>
      <c r="U26" s="496"/>
      <c r="V26" s="483"/>
      <c r="W26" s="492">
        <f aca="true" t="shared" si="2" ref="W26:W31">SUM(C26:U26)</f>
        <v>0</v>
      </c>
    </row>
    <row r="27" spans="1:23" ht="12.75">
      <c r="A27" s="99" t="s">
        <v>84</v>
      </c>
      <c r="B27" s="59"/>
      <c r="C27" s="492"/>
      <c r="D27" s="488"/>
      <c r="E27" s="489"/>
      <c r="F27" s="492"/>
      <c r="G27" s="502"/>
      <c r="H27" s="492"/>
      <c r="I27" s="489"/>
      <c r="J27" s="492"/>
      <c r="K27" s="489"/>
      <c r="L27" s="492"/>
      <c r="M27" s="489"/>
      <c r="N27" s="492"/>
      <c r="O27" s="489"/>
      <c r="P27" s="492"/>
      <c r="Q27" s="489"/>
      <c r="R27" s="492"/>
      <c r="S27" s="490"/>
      <c r="T27" s="492"/>
      <c r="U27" s="492"/>
      <c r="V27" s="490"/>
      <c r="W27" s="492">
        <f t="shared" si="2"/>
        <v>0</v>
      </c>
    </row>
    <row r="28" spans="1:23" ht="12.75">
      <c r="A28" s="59" t="s">
        <v>87</v>
      </c>
      <c r="B28" s="59"/>
      <c r="C28" s="488"/>
      <c r="D28" s="488"/>
      <c r="E28" s="489"/>
      <c r="F28" s="488"/>
      <c r="G28" s="501"/>
      <c r="H28" s="488"/>
      <c r="I28" s="489"/>
      <c r="J28" s="488"/>
      <c r="K28" s="489"/>
      <c r="L28" s="488"/>
      <c r="M28" s="489"/>
      <c r="N28" s="493"/>
      <c r="O28" s="489"/>
      <c r="P28" s="488"/>
      <c r="Q28" s="489"/>
      <c r="R28" s="488"/>
      <c r="S28" s="490"/>
      <c r="T28" s="488"/>
      <c r="U28" s="483"/>
      <c r="V28" s="488"/>
      <c r="W28" s="492">
        <f t="shared" si="2"/>
        <v>0</v>
      </c>
    </row>
    <row r="29" spans="1:23" ht="12.75">
      <c r="A29" s="99" t="s">
        <v>86</v>
      </c>
      <c r="C29" s="492"/>
      <c r="D29" s="488"/>
      <c r="E29" s="489"/>
      <c r="F29" s="492"/>
      <c r="G29" s="502"/>
      <c r="H29" s="492"/>
      <c r="I29" s="489"/>
      <c r="J29" s="492"/>
      <c r="K29" s="489"/>
      <c r="L29" s="492"/>
      <c r="M29" s="489"/>
      <c r="N29" s="492">
        <v>0</v>
      </c>
      <c r="O29" s="489"/>
      <c r="P29" s="492">
        <v>0</v>
      </c>
      <c r="Q29" s="489"/>
      <c r="R29" s="492">
        <v>0</v>
      </c>
      <c r="S29" s="490"/>
      <c r="T29" s="492">
        <v>0</v>
      </c>
      <c r="U29" s="492"/>
      <c r="V29" s="490"/>
      <c r="W29" s="492">
        <f t="shared" si="2"/>
        <v>0</v>
      </c>
    </row>
    <row r="30" spans="3:23" ht="12.75">
      <c r="C30" s="488"/>
      <c r="D30" s="488"/>
      <c r="E30" s="489"/>
      <c r="F30" s="488"/>
      <c r="G30" s="501"/>
      <c r="H30" s="488"/>
      <c r="I30" s="489"/>
      <c r="J30" s="488"/>
      <c r="K30" s="489"/>
      <c r="L30" s="488"/>
      <c r="M30" s="489"/>
      <c r="N30" s="488"/>
      <c r="O30" s="489"/>
      <c r="P30" s="488"/>
      <c r="Q30" s="489"/>
      <c r="R30" s="488"/>
      <c r="S30" s="490"/>
      <c r="T30" s="488"/>
      <c r="U30" s="491"/>
      <c r="V30" s="483"/>
      <c r="W30" s="492">
        <f t="shared" si="2"/>
        <v>0</v>
      </c>
    </row>
    <row r="31" spans="1:23" ht="12.75">
      <c r="A31" s="99" t="str">
        <f>_xlfn.IFERROR(IF(Indice!B6="","Saldo al .. de  de 20X2 ","Saldo al "&amp;DAY(Indice!B6)&amp;" de "&amp;VLOOKUP(MONTH(Indice!B6),Indice!S:T,2,0)&amp;" de "&amp;YEAR(Indice!B6)),"Saldo al .. de  de 20X2 ")</f>
        <v>Saldo al 31 de Diciembre de 2022</v>
      </c>
      <c r="B31" s="21"/>
      <c r="C31" s="495">
        <f aca="true" t="shared" si="3" ref="C31:H31">C25+C26+C27-C28+C29</f>
        <v>142643000</v>
      </c>
      <c r="D31" s="495">
        <f t="shared" si="3"/>
        <v>0</v>
      </c>
      <c r="E31" s="495">
        <f t="shared" si="3"/>
        <v>0</v>
      </c>
      <c r="F31" s="495">
        <f t="shared" si="3"/>
        <v>185546.948</v>
      </c>
      <c r="G31" s="495">
        <f t="shared" si="3"/>
        <v>0</v>
      </c>
      <c r="H31" s="495">
        <f t="shared" si="3"/>
        <v>884126</v>
      </c>
      <c r="I31" s="497"/>
      <c r="J31" s="495">
        <f>J25+J26+J27+J28+J29</f>
        <v>1329154.803</v>
      </c>
      <c r="K31" s="497"/>
      <c r="L31" s="495">
        <f>L25+L26+L27+L28+L29</f>
        <v>0</v>
      </c>
      <c r="M31" s="497"/>
      <c r="N31" s="495">
        <f>N25+N26+N27+N28+N29</f>
        <v>19459839.054</v>
      </c>
      <c r="O31" s="497"/>
      <c r="P31" s="495">
        <f>P25+P26+P27+P28+P29</f>
        <v>4862778.491999999</v>
      </c>
      <c r="Q31" s="497"/>
      <c r="R31" s="495">
        <f>R25+R26+R27+R28+R29</f>
        <v>0</v>
      </c>
      <c r="S31" s="490"/>
      <c r="T31" s="495">
        <f>T25+T26+T27+T28+T29</f>
        <v>52827201.958</v>
      </c>
      <c r="U31" s="495">
        <f>U25+U26+U27+U28+U29</f>
        <v>0</v>
      </c>
      <c r="V31" s="494"/>
      <c r="W31" s="492">
        <f t="shared" si="2"/>
        <v>222191647.255</v>
      </c>
    </row>
    <row r="32" spans="1:23" ht="12.75">
      <c r="A32" s="21"/>
      <c r="B32" s="21"/>
      <c r="C32" s="56"/>
      <c r="D32" s="55"/>
      <c r="E32" s="83"/>
      <c r="F32" s="56"/>
      <c r="G32" s="56"/>
      <c r="H32" s="56"/>
      <c r="I32" s="83"/>
      <c r="J32" s="56"/>
      <c r="K32" s="83"/>
      <c r="L32" s="56"/>
      <c r="M32" s="83"/>
      <c r="N32" s="56"/>
      <c r="O32" s="83"/>
      <c r="P32" s="56"/>
      <c r="Q32" s="83"/>
      <c r="R32" s="56"/>
      <c r="U32" s="52"/>
      <c r="W32" s="483"/>
    </row>
    <row r="33" spans="1:23" ht="12.75">
      <c r="A33" s="2" t="s">
        <v>409</v>
      </c>
      <c r="C33" s="53"/>
      <c r="D33" s="53"/>
      <c r="E33" s="84"/>
      <c r="F33" s="53"/>
      <c r="G33" s="53"/>
      <c r="H33" s="53"/>
      <c r="I33" s="84"/>
      <c r="J33" s="2"/>
      <c r="K33" s="26"/>
      <c r="M33" s="84"/>
      <c r="N33" s="53"/>
      <c r="O33" s="84"/>
      <c r="P33" s="53"/>
      <c r="Q33" s="84"/>
      <c r="R33" s="53"/>
      <c r="W33" s="483"/>
    </row>
    <row r="34" spans="3:23" ht="12.75">
      <c r="C34" s="53"/>
      <c r="D34" s="53"/>
      <c r="E34" s="84"/>
      <c r="F34" s="53"/>
      <c r="G34" s="53"/>
      <c r="H34" s="53"/>
      <c r="I34" s="84"/>
      <c r="J34" s="2"/>
      <c r="K34" s="26"/>
      <c r="M34" s="84"/>
      <c r="N34" s="53"/>
      <c r="O34" s="84"/>
      <c r="P34" s="53"/>
      <c r="Q34" s="84"/>
      <c r="R34" s="53"/>
      <c r="W34" s="483"/>
    </row>
    <row r="35" spans="3:18" ht="12.75">
      <c r="C35" s="53"/>
      <c r="D35" s="53"/>
      <c r="E35" s="84"/>
      <c r="F35" s="53"/>
      <c r="G35" s="53"/>
      <c r="H35" s="53"/>
      <c r="I35" s="84"/>
      <c r="J35" s="2"/>
      <c r="K35" s="26"/>
      <c r="M35" s="84"/>
      <c r="N35" s="53"/>
      <c r="O35" s="84"/>
      <c r="P35" s="53"/>
      <c r="Q35" s="84"/>
      <c r="R35" s="53"/>
    </row>
    <row r="36" spans="3:18" ht="12.75">
      <c r="C36" s="53"/>
      <c r="D36" s="53"/>
      <c r="E36" s="84"/>
      <c r="F36" s="53"/>
      <c r="G36" s="53"/>
      <c r="H36" s="53"/>
      <c r="I36" s="84"/>
      <c r="J36" s="2"/>
      <c r="K36" s="26"/>
      <c r="M36" s="84"/>
      <c r="N36" s="53"/>
      <c r="O36" s="84"/>
      <c r="P36" s="53"/>
      <c r="Q36" s="84"/>
      <c r="R36" s="53"/>
    </row>
    <row r="37" spans="3:18" ht="12.75">
      <c r="C37" s="53"/>
      <c r="D37" s="53"/>
      <c r="E37" s="84"/>
      <c r="F37" s="53"/>
      <c r="G37" s="53"/>
      <c r="H37" s="53"/>
      <c r="I37" s="84"/>
      <c r="J37" s="2"/>
      <c r="K37" s="26"/>
      <c r="M37" s="84"/>
      <c r="N37" s="53"/>
      <c r="O37" s="84"/>
      <c r="P37" s="53"/>
      <c r="Q37" s="84"/>
      <c r="R37" s="53"/>
    </row>
    <row r="39" spans="3:18" ht="12.75">
      <c r="C39" s="53"/>
      <c r="D39" s="53"/>
      <c r="E39" s="84"/>
      <c r="F39" s="53"/>
      <c r="G39" s="53"/>
      <c r="H39" s="53"/>
      <c r="I39" s="84"/>
      <c r="J39" s="2"/>
      <c r="K39" s="26"/>
      <c r="M39" s="84"/>
      <c r="N39" s="53"/>
      <c r="O39" s="84"/>
      <c r="P39" s="53"/>
      <c r="Q39" s="84"/>
      <c r="R39" s="53"/>
    </row>
    <row r="40" spans="6:12" ht="12.75">
      <c r="F40" s="53"/>
      <c r="G40" s="53"/>
      <c r="H40" s="53"/>
      <c r="J40" s="2"/>
      <c r="K40" s="26"/>
      <c r="L40" s="54"/>
    </row>
  </sheetData>
  <sheetProtection/>
  <mergeCells count="15">
    <mergeCell ref="A6:R6"/>
    <mergeCell ref="A7:R7"/>
    <mergeCell ref="C11:C12"/>
    <mergeCell ref="F11:F12"/>
    <mergeCell ref="J11:J12"/>
    <mergeCell ref="L11:L12"/>
    <mergeCell ref="N11:N12"/>
    <mergeCell ref="P11:P12"/>
    <mergeCell ref="R11:R12"/>
    <mergeCell ref="A11:A12"/>
    <mergeCell ref="C10:F10"/>
    <mergeCell ref="N10:R10"/>
    <mergeCell ref="T11:T12"/>
    <mergeCell ref="U11:U12"/>
    <mergeCell ref="W11:W12"/>
  </mergeCells>
  <hyperlinks>
    <hyperlink ref="J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30.xml><?xml version="1.0" encoding="utf-8"?>
<worksheet xmlns="http://schemas.openxmlformats.org/spreadsheetml/2006/main" xmlns:r="http://schemas.openxmlformats.org/officeDocument/2006/relationships">
  <dimension ref="A1:AG27"/>
  <sheetViews>
    <sheetView showGridLines="0" zoomScalePageLayoutView="0" workbookViewId="0" topLeftCell="A1">
      <selection activeCell="C13" sqref="C13"/>
    </sheetView>
  </sheetViews>
  <sheetFormatPr defaultColWidth="11.421875" defaultRowHeight="15"/>
  <cols>
    <col min="1" max="1" width="45.57421875" style="114" customWidth="1"/>
    <col min="2" max="2" width="18.140625" style="114" customWidth="1"/>
    <col min="3" max="3" width="17.140625" style="114" customWidth="1"/>
    <col min="4" max="33" width="11.421875" style="114" customWidth="1"/>
  </cols>
  <sheetData>
    <row r="1" spans="1:5" ht="14.25">
      <c r="A1" s="114" t="str">
        <f>Indice!C1</f>
        <v>NEGOFIN S.A.E.C.A.</v>
      </c>
      <c r="E1" s="133" t="s">
        <v>146</v>
      </c>
    </row>
    <row r="5" spans="1:33" ht="14.25">
      <c r="A5" s="293" t="s">
        <v>339</v>
      </c>
      <c r="B5" s="293"/>
      <c r="C5" s="293"/>
      <c r="D5" s="293"/>
      <c r="E5" s="293"/>
      <c r="F5" s="293"/>
      <c r="G5" s="20"/>
      <c r="H5" s="20"/>
      <c r="I5" s="20"/>
      <c r="J5" s="20"/>
      <c r="K5" s="20"/>
      <c r="L5" s="20"/>
      <c r="M5" s="20"/>
      <c r="N5" s="20"/>
      <c r="O5" s="20"/>
      <c r="P5" s="20"/>
      <c r="Q5" s="20"/>
      <c r="R5" s="20"/>
      <c r="S5" s="20"/>
      <c r="T5" s="20"/>
      <c r="U5" s="20"/>
      <c r="V5" s="20"/>
      <c r="W5" s="20"/>
      <c r="X5" s="20"/>
      <c r="Y5" s="20"/>
      <c r="Z5" s="20"/>
      <c r="AA5" s="20"/>
      <c r="AB5" s="20"/>
      <c r="AC5" s="20"/>
      <c r="AD5" s="20"/>
      <c r="AE5" s="20"/>
      <c r="AF5" s="20"/>
      <c r="AG5"/>
    </row>
    <row r="8" spans="2:3" ht="14.25">
      <c r="B8" s="963" t="s">
        <v>309</v>
      </c>
      <c r="C8" s="963"/>
    </row>
    <row r="9" spans="2:33" ht="14.25">
      <c r="B9" s="359">
        <f>_xlfn.IFERROR(IF(Indice!B6="","2XX2",YEAR(Indice!B6)),"2XX2")</f>
        <v>2022</v>
      </c>
      <c r="C9" s="359">
        <f>+_xlfn.IFERROR(YEAR(Indice!B6-365),"2XX1")</f>
        <v>2021</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row>
    <row r="10" spans="1:32" s="318" customFormat="1" ht="14.25">
      <c r="A10" s="138" t="s">
        <v>62</v>
      </c>
      <c r="B10" s="243"/>
      <c r="C10" s="243"/>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row>
    <row r="11" spans="1:33" ht="14.25">
      <c r="A11" s="138" t="s">
        <v>856</v>
      </c>
      <c r="B11" s="45"/>
      <c r="C11" s="45"/>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row>
    <row r="12" spans="1:32" s="318" customFormat="1" ht="14.25">
      <c r="A12" s="328" t="s">
        <v>858</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row>
    <row r="13" spans="1:32" s="318" customFormat="1" ht="14.25">
      <c r="A13" s="20" t="s">
        <v>263</v>
      </c>
      <c r="B13" s="471">
        <v>370471278.207</v>
      </c>
      <c r="C13" s="471">
        <v>287732720.022</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row>
    <row r="14" spans="1:32" s="318" customFormat="1" ht="14.25">
      <c r="A14" s="318" t="s">
        <v>264</v>
      </c>
      <c r="B14" s="471">
        <v>0</v>
      </c>
      <c r="C14" s="471">
        <v>0</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row>
    <row r="15" spans="1:32" s="318" customFormat="1" ht="14.25">
      <c r="A15" s="328" t="s">
        <v>859</v>
      </c>
      <c r="B15" s="471">
        <v>0</v>
      </c>
      <c r="C15" s="471">
        <v>0</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row>
    <row r="16" spans="1:32" s="318" customFormat="1" ht="14.25">
      <c r="A16" s="20" t="s">
        <v>263</v>
      </c>
      <c r="B16" s="471">
        <v>0</v>
      </c>
      <c r="C16" s="471">
        <v>0</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row>
    <row r="17" spans="1:32" s="318" customFormat="1" ht="14.25">
      <c r="A17" s="318" t="s">
        <v>264</v>
      </c>
      <c r="B17" s="471">
        <v>0</v>
      </c>
      <c r="C17" s="471">
        <v>0</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row>
    <row r="18" spans="1:32" s="318" customFormat="1" ht="14.25">
      <c r="A18" s="138" t="s">
        <v>857</v>
      </c>
      <c r="B18" s="471"/>
      <c r="C18" s="471"/>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row>
    <row r="19" spans="1:32" s="318" customFormat="1" ht="14.25">
      <c r="A19" s="328" t="s">
        <v>858</v>
      </c>
      <c r="B19" s="471">
        <v>0</v>
      </c>
      <c r="C19" s="471">
        <v>0</v>
      </c>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row>
    <row r="20" spans="1:32" s="318" customFormat="1" ht="14.25">
      <c r="A20" s="20" t="s">
        <v>263</v>
      </c>
      <c r="B20" s="471">
        <v>0</v>
      </c>
      <c r="C20" s="471">
        <v>0</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s="318" customFormat="1" ht="14.25">
      <c r="A21" s="318" t="s">
        <v>264</v>
      </c>
      <c r="B21" s="471">
        <v>0</v>
      </c>
      <c r="C21" s="471">
        <v>0</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row>
    <row r="22" spans="1:32" s="318" customFormat="1" ht="14.25">
      <c r="A22" s="328" t="s">
        <v>859</v>
      </c>
      <c r="B22" s="471">
        <v>0</v>
      </c>
      <c r="C22" s="471">
        <v>0</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row>
    <row r="23" spans="1:32" s="318" customFormat="1" ht="14.25">
      <c r="A23" s="20" t="s">
        <v>263</v>
      </c>
      <c r="B23" s="471">
        <v>0</v>
      </c>
      <c r="C23" s="471">
        <v>0</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32" s="318" customFormat="1" ht="14.25">
      <c r="A24" s="318" t="s">
        <v>264</v>
      </c>
      <c r="B24" s="471">
        <v>0</v>
      </c>
      <c r="C24" s="471">
        <v>0</v>
      </c>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32" s="318" customFormat="1" ht="14.25">
      <c r="A25" s="329" t="s">
        <v>860</v>
      </c>
      <c r="B25" s="471"/>
      <c r="C25" s="471"/>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row>
    <row r="26" spans="1:33" ht="14.25">
      <c r="A26" s="138" t="s">
        <v>3</v>
      </c>
      <c r="B26" s="472">
        <f>SUM($B$11:B24)</f>
        <v>370471278.207</v>
      </c>
      <c r="C26" s="472">
        <f>SUM($C$11:C24)</f>
        <v>287732720.022</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row>
    <row r="27" spans="1:33" ht="14.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E22"/>
  <sheetViews>
    <sheetView showGridLines="0" zoomScalePageLayoutView="0" workbookViewId="0" topLeftCell="A4">
      <selection activeCell="C12" sqref="C12"/>
    </sheetView>
  </sheetViews>
  <sheetFormatPr defaultColWidth="11.421875" defaultRowHeight="15"/>
  <cols>
    <col min="1" max="1" width="38.00390625" style="114" customWidth="1"/>
    <col min="2" max="2" width="18.140625" style="114" customWidth="1"/>
    <col min="3" max="3" width="17.140625" style="114" customWidth="1"/>
    <col min="4" max="6" width="11.421875" style="114" customWidth="1"/>
    <col min="7" max="7" width="12.7109375" style="114" bestFit="1" customWidth="1"/>
    <col min="8" max="31" width="11.421875" style="114" customWidth="1"/>
  </cols>
  <sheetData>
    <row r="1" spans="1:5" ht="14.25">
      <c r="A1" s="114" t="str">
        <f>Indice!C1</f>
        <v>NEGOFIN S.A.E.C.A.</v>
      </c>
      <c r="E1" s="133" t="s">
        <v>146</v>
      </c>
    </row>
    <row r="5" spans="1:31" ht="14.25">
      <c r="A5" s="967" t="s">
        <v>340</v>
      </c>
      <c r="B5" s="967"/>
      <c r="C5" s="967"/>
      <c r="D5" s="967"/>
      <c r="E5" s="967"/>
      <c r="F5" s="967"/>
      <c r="G5" s="20"/>
      <c r="H5" s="20"/>
      <c r="I5" s="20"/>
      <c r="J5" s="20"/>
      <c r="K5" s="20"/>
      <c r="L5" s="20"/>
      <c r="M5" s="20"/>
      <c r="N5" s="20"/>
      <c r="O5" s="20"/>
      <c r="P5" s="20"/>
      <c r="Q5" s="20"/>
      <c r="R5" s="20"/>
      <c r="S5" s="20"/>
      <c r="T5" s="20"/>
      <c r="U5" s="20"/>
      <c r="V5" s="20"/>
      <c r="W5" s="20"/>
      <c r="X5" s="20"/>
      <c r="Y5" s="20"/>
      <c r="Z5" s="20"/>
      <c r="AA5" s="20"/>
      <c r="AB5" s="20"/>
      <c r="AC5" s="20"/>
      <c r="AD5" s="20"/>
      <c r="AE5" s="20"/>
    </row>
    <row r="7" spans="2:3" ht="14.25">
      <c r="B7" s="975"/>
      <c r="C7" s="975"/>
    </row>
    <row r="8" spans="1:31" s="189" customFormat="1" ht="14.25">
      <c r="A8" s="114"/>
      <c r="B8" s="976" t="s">
        <v>259</v>
      </c>
      <c r="C8" s="976"/>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row>
    <row r="9" spans="1:31" ht="14.25">
      <c r="A9" s="138" t="s">
        <v>154</v>
      </c>
      <c r="B9" s="359">
        <f>_xlfn.IFERROR(IF(Indice!B6="","2XX2",YEAR(Indice!B6)),"2XX2")</f>
        <v>2022</v>
      </c>
      <c r="C9" s="359">
        <f>+_xlfn.IFERROR(YEAR(Indice!B6-365),"2XX1")</f>
        <v>2021</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row>
    <row r="10" spans="1:31" s="318" customFormat="1" ht="14.25">
      <c r="A10" s="138" t="s">
        <v>861</v>
      </c>
      <c r="B10" s="478"/>
      <c r="C10" s="478"/>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1:31" ht="14.25">
      <c r="A11" s="20" t="s">
        <v>265</v>
      </c>
      <c r="B11" s="471"/>
      <c r="C11" s="471"/>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row>
    <row r="12" spans="1:31" ht="14.25">
      <c r="A12" s="213" t="s">
        <v>266</v>
      </c>
      <c r="B12" s="460">
        <v>129053093.339</v>
      </c>
      <c r="C12" s="460">
        <v>96302749.445</v>
      </c>
      <c r="D12" s="20"/>
      <c r="E12" s="460"/>
      <c r="F12" s="20"/>
      <c r="G12" s="471"/>
      <c r="H12" s="471"/>
      <c r="I12" s="20"/>
      <c r="J12" s="20"/>
      <c r="K12" s="20"/>
      <c r="L12" s="20"/>
      <c r="M12" s="20"/>
      <c r="N12" s="20"/>
      <c r="O12" s="20"/>
      <c r="P12" s="20"/>
      <c r="Q12" s="20"/>
      <c r="R12" s="20"/>
      <c r="S12" s="20"/>
      <c r="T12" s="20"/>
      <c r="U12" s="20"/>
      <c r="V12" s="20"/>
      <c r="W12" s="20"/>
      <c r="X12" s="20"/>
      <c r="Y12" s="20"/>
      <c r="Z12" s="20"/>
      <c r="AA12" s="20"/>
      <c r="AB12" s="20"/>
      <c r="AC12" s="20"/>
      <c r="AD12" s="20"/>
      <c r="AE12" s="20"/>
    </row>
    <row r="13" spans="1:31" s="189" customFormat="1" ht="14.25">
      <c r="A13" s="213" t="s">
        <v>267</v>
      </c>
      <c r="B13" s="471">
        <v>0</v>
      </c>
      <c r="C13" s="471">
        <v>0</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row>
    <row r="14" spans="1:31" s="189" customFormat="1" ht="14.25">
      <c r="A14" s="213" t="s">
        <v>268</v>
      </c>
      <c r="B14" s="471">
        <v>0</v>
      </c>
      <c r="C14" s="471">
        <v>0</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row>
    <row r="15" spans="1:31" s="318" customFormat="1" ht="14.25">
      <c r="A15" s="138" t="s">
        <v>862</v>
      </c>
      <c r="B15" s="478"/>
      <c r="C15" s="478"/>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row>
    <row r="16" spans="1:31" s="318" customFormat="1" ht="14.25">
      <c r="A16" s="20" t="s">
        <v>265</v>
      </c>
      <c r="B16" s="471">
        <v>0</v>
      </c>
      <c r="C16" s="471">
        <v>0</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row>
    <row r="17" spans="1:31" s="318" customFormat="1" ht="14.25">
      <c r="A17" s="477" t="s">
        <v>266</v>
      </c>
      <c r="B17" s="471">
        <v>0</v>
      </c>
      <c r="C17" s="471">
        <v>0</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1:31" s="318" customFormat="1" ht="14.25">
      <c r="A18" s="213" t="s">
        <v>267</v>
      </c>
      <c r="B18" s="471">
        <v>0</v>
      </c>
      <c r="C18" s="471">
        <v>0</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1:31" s="318" customFormat="1" ht="14.25">
      <c r="A19" s="213" t="s">
        <v>268</v>
      </c>
      <c r="B19" s="471">
        <v>0</v>
      </c>
      <c r="C19" s="471">
        <v>0</v>
      </c>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row>
    <row r="20" spans="1:31" s="318" customFormat="1" ht="14.25">
      <c r="A20" s="329" t="s">
        <v>860</v>
      </c>
      <c r="B20" s="471"/>
      <c r="C20" s="471"/>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14.25">
      <c r="A21" s="20" t="s">
        <v>269</v>
      </c>
      <c r="B21" s="479">
        <f>SUM($B$10:B20)</f>
        <v>129053093.339</v>
      </c>
      <c r="C21" s="479">
        <f>SUM($C$10:C20)</f>
        <v>96302749.445</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1:31" ht="14.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G56"/>
  <sheetViews>
    <sheetView showGridLines="0" zoomScalePageLayoutView="0" workbookViewId="0" topLeftCell="A5">
      <selection activeCell="G41" sqref="G41:G43"/>
    </sheetView>
  </sheetViews>
  <sheetFormatPr defaultColWidth="11.421875" defaultRowHeight="15"/>
  <cols>
    <col min="1" max="1" width="38.00390625" style="114" customWidth="1"/>
    <col min="2" max="2" width="23.00390625" style="114" customWidth="1"/>
    <col min="3" max="3" width="23.00390625" style="45" customWidth="1"/>
    <col min="4" max="7" width="23.00390625" style="114" customWidth="1"/>
    <col min="8" max="33" width="11.421875" style="114" customWidth="1"/>
  </cols>
  <sheetData>
    <row r="1" spans="1:7" ht="14.25">
      <c r="A1" s="114" t="str">
        <f>Indice!C1</f>
        <v>NEGOFIN S.A.E.C.A.</v>
      </c>
      <c r="G1" s="133" t="s">
        <v>146</v>
      </c>
    </row>
    <row r="5" spans="1:33" ht="14.25">
      <c r="A5" s="293" t="s">
        <v>341</v>
      </c>
      <c r="B5" s="293"/>
      <c r="C5" s="236"/>
      <c r="D5" s="293"/>
      <c r="E5" s="293"/>
      <c r="F5" s="293"/>
      <c r="G5" s="293"/>
      <c r="H5" s="293"/>
      <c r="I5" s="20"/>
      <c r="J5" s="20"/>
      <c r="K5" s="20"/>
      <c r="L5" s="20"/>
      <c r="M5" s="20"/>
      <c r="N5" s="20"/>
      <c r="O5" s="20"/>
      <c r="P5" s="20"/>
      <c r="Q5" s="20"/>
      <c r="R5" s="20"/>
      <c r="S5" s="20"/>
      <c r="T5" s="20"/>
      <c r="U5" s="20"/>
      <c r="V5" s="20"/>
      <c r="W5" s="20"/>
      <c r="X5" s="20"/>
      <c r="Y5" s="20"/>
      <c r="Z5" s="20"/>
      <c r="AA5" s="20"/>
      <c r="AB5" s="20"/>
      <c r="AC5" s="20"/>
      <c r="AD5" s="20"/>
      <c r="AE5" s="20"/>
      <c r="AF5" s="20"/>
      <c r="AG5" s="20"/>
    </row>
    <row r="6" spans="1:8" ht="14.25">
      <c r="A6" s="977" t="s">
        <v>193</v>
      </c>
      <c r="B6" s="977"/>
      <c r="C6" s="977"/>
      <c r="D6" s="977"/>
      <c r="E6" s="977"/>
      <c r="F6" s="977"/>
      <c r="G6" s="977"/>
      <c r="H6" s="977"/>
    </row>
    <row r="7" spans="1:33" s="165" customFormat="1" ht="14.25">
      <c r="A7" s="164"/>
      <c r="B7" s="164"/>
      <c r="C7" s="663"/>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row>
    <row r="8" spans="1:33" s="165" customFormat="1" ht="14.25">
      <c r="A8" s="164" t="s">
        <v>194</v>
      </c>
      <c r="B8" s="164"/>
      <c r="C8" s="663"/>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row>
    <row r="9" spans="1:33" s="165" customFormat="1" ht="14.25">
      <c r="A9" s="164"/>
      <c r="B9" s="164"/>
      <c r="C9" s="663"/>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row>
    <row r="10" spans="1:33" s="165" customFormat="1" ht="15" thickBot="1">
      <c r="A10" s="337" t="s">
        <v>259</v>
      </c>
      <c r="B10" s="336"/>
      <c r="C10" s="663"/>
      <c r="D10" s="337"/>
      <c r="E10" s="337"/>
      <c r="F10" s="338"/>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row>
    <row r="11" spans="1:33" s="165" customFormat="1" ht="15" thickBot="1">
      <c r="A11" s="978"/>
      <c r="B11" s="381"/>
      <c r="C11" s="379">
        <v>2022</v>
      </c>
      <c r="D11" s="380"/>
      <c r="E11" s="381"/>
      <c r="F11" s="379">
        <f>+_xlfn.IFERROR(YEAR(Indice!B6-365),"2XX1")</f>
        <v>2021</v>
      </c>
      <c r="G11" s="380"/>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row>
    <row r="12" spans="1:33" s="165" customFormat="1" ht="15" thickBot="1">
      <c r="A12" s="979"/>
      <c r="B12" s="378" t="s">
        <v>195</v>
      </c>
      <c r="C12" s="378" t="s">
        <v>196</v>
      </c>
      <c r="D12" s="378" t="s">
        <v>3</v>
      </c>
      <c r="E12" s="378" t="s">
        <v>195</v>
      </c>
      <c r="F12" s="378" t="s">
        <v>196</v>
      </c>
      <c r="G12" s="378" t="s">
        <v>3</v>
      </c>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row>
    <row r="13" spans="1:33" s="165" customFormat="1" ht="14.25">
      <c r="A13" s="210" t="s">
        <v>197</v>
      </c>
      <c r="B13" s="664">
        <v>278210.076</v>
      </c>
      <c r="C13" s="664">
        <v>5680.482</v>
      </c>
      <c r="D13" s="474">
        <f aca="true" t="shared" si="0" ref="D13:D26">+C13+B13</f>
        <v>283890.558</v>
      </c>
      <c r="E13" s="474">
        <v>156421.533</v>
      </c>
      <c r="F13" s="664">
        <v>16869.548</v>
      </c>
      <c r="G13" s="474">
        <f>+F13+E13</f>
        <v>173291.081</v>
      </c>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row>
    <row r="14" spans="1:33" s="165" customFormat="1" ht="14.25">
      <c r="A14" s="211" t="s">
        <v>198</v>
      </c>
      <c r="B14" s="594">
        <v>0</v>
      </c>
      <c r="C14" s="594">
        <v>248669.206</v>
      </c>
      <c r="D14" s="475">
        <f t="shared" si="0"/>
        <v>248669.206</v>
      </c>
      <c r="E14" s="475">
        <v>0</v>
      </c>
      <c r="F14" s="594">
        <v>229561.495</v>
      </c>
      <c r="G14" s="474">
        <f aca="true" t="shared" si="1" ref="G14:G33">+F14+E14</f>
        <v>229561.495</v>
      </c>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row>
    <row r="15" spans="1:33" s="165" customFormat="1" ht="14.25">
      <c r="A15" s="211" t="s">
        <v>199</v>
      </c>
      <c r="B15" s="475">
        <v>0</v>
      </c>
      <c r="C15" s="594">
        <v>106030.948</v>
      </c>
      <c r="D15" s="475">
        <f t="shared" si="0"/>
        <v>106030.948</v>
      </c>
      <c r="E15" s="475">
        <v>0</v>
      </c>
      <c r="F15" s="594">
        <v>99080.536</v>
      </c>
      <c r="G15" s="474">
        <f t="shared" si="1"/>
        <v>99080.536</v>
      </c>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row>
    <row r="16" spans="1:33" s="165" customFormat="1" ht="14.25">
      <c r="A16" s="593" t="s">
        <v>200</v>
      </c>
      <c r="B16" s="475">
        <v>0</v>
      </c>
      <c r="C16" s="594">
        <v>0</v>
      </c>
      <c r="D16" s="475">
        <f t="shared" si="0"/>
        <v>0</v>
      </c>
      <c r="E16" s="475">
        <v>0</v>
      </c>
      <c r="F16" s="594">
        <v>0</v>
      </c>
      <c r="G16" s="474">
        <f t="shared" si="1"/>
        <v>0</v>
      </c>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row>
    <row r="17" spans="1:33" s="165" customFormat="1" ht="14.25">
      <c r="A17" s="211" t="s">
        <v>201</v>
      </c>
      <c r="B17" s="475">
        <v>0</v>
      </c>
      <c r="C17" s="594">
        <v>12707234.671</v>
      </c>
      <c r="D17" s="475">
        <f t="shared" si="0"/>
        <v>12707234.671</v>
      </c>
      <c r="E17" s="475">
        <v>0</v>
      </c>
      <c r="F17" s="594">
        <v>6124178.364</v>
      </c>
      <c r="G17" s="474">
        <f t="shared" si="1"/>
        <v>6124178.364</v>
      </c>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row>
    <row r="18" spans="1:33" s="165" customFormat="1" ht="14.25">
      <c r="A18" s="211" t="s">
        <v>202</v>
      </c>
      <c r="B18" s="475">
        <v>0</v>
      </c>
      <c r="C18" s="594">
        <v>0</v>
      </c>
      <c r="D18" s="475">
        <f>+C18+B18</f>
        <v>0</v>
      </c>
      <c r="E18" s="475">
        <v>0</v>
      </c>
      <c r="F18" s="594">
        <v>0</v>
      </c>
      <c r="G18" s="474">
        <f t="shared" si="1"/>
        <v>0</v>
      </c>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row>
    <row r="19" spans="1:33" s="165" customFormat="1" ht="14.25">
      <c r="A19" s="211" t="s">
        <v>203</v>
      </c>
      <c r="B19" s="475">
        <v>0</v>
      </c>
      <c r="C19" s="594">
        <v>4306889.495</v>
      </c>
      <c r="D19" s="475">
        <f t="shared" si="0"/>
        <v>4306889.495</v>
      </c>
      <c r="E19" s="475">
        <v>0</v>
      </c>
      <c r="F19" s="594">
        <v>369387.959</v>
      </c>
      <c r="G19" s="474">
        <f t="shared" si="1"/>
        <v>369387.959</v>
      </c>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row>
    <row r="20" spans="1:33" s="165" customFormat="1" ht="14.25">
      <c r="A20" s="211" t="s">
        <v>204</v>
      </c>
      <c r="B20" s="475">
        <v>0</v>
      </c>
      <c r="C20" s="594">
        <v>828091.264</v>
      </c>
      <c r="D20" s="475">
        <f t="shared" si="0"/>
        <v>828091.264</v>
      </c>
      <c r="E20" s="475">
        <v>0</v>
      </c>
      <c r="F20" s="594">
        <v>589209.26</v>
      </c>
      <c r="G20" s="474">
        <f t="shared" si="1"/>
        <v>589209.26</v>
      </c>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row>
    <row r="21" spans="1:33" s="165" customFormat="1" ht="14.25">
      <c r="A21" s="211" t="s">
        <v>205</v>
      </c>
      <c r="B21" s="475">
        <v>0</v>
      </c>
      <c r="C21" s="594">
        <v>3181863.37</v>
      </c>
      <c r="D21" s="475">
        <f t="shared" si="0"/>
        <v>3181863.37</v>
      </c>
      <c r="E21" s="475">
        <v>0</v>
      </c>
      <c r="F21" s="594">
        <v>4769668.488</v>
      </c>
      <c r="G21" s="474">
        <f t="shared" si="1"/>
        <v>4769668.488</v>
      </c>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row>
    <row r="22" spans="1:33" s="165" customFormat="1" ht="14.25">
      <c r="A22" s="211" t="s">
        <v>206</v>
      </c>
      <c r="B22" s="475">
        <v>0</v>
      </c>
      <c r="C22" s="594">
        <v>56412.281</v>
      </c>
      <c r="D22" s="475">
        <f t="shared" si="0"/>
        <v>56412.281</v>
      </c>
      <c r="E22" s="475">
        <v>0</v>
      </c>
      <c r="F22" s="594">
        <v>66191.28</v>
      </c>
      <c r="G22" s="474">
        <f t="shared" si="1"/>
        <v>66191.28</v>
      </c>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row>
    <row r="23" spans="1:33" s="165" customFormat="1" ht="14.25">
      <c r="A23" s="593" t="s">
        <v>207</v>
      </c>
      <c r="B23" s="475">
        <v>0</v>
      </c>
      <c r="C23" s="873">
        <v>16239905.796</v>
      </c>
      <c r="D23" s="475">
        <f t="shared" si="0"/>
        <v>16239905.796</v>
      </c>
      <c r="E23" s="475">
        <v>0</v>
      </c>
      <c r="F23" s="594">
        <v>12669594.024</v>
      </c>
      <c r="G23" s="474">
        <f t="shared" si="1"/>
        <v>12669594.024</v>
      </c>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row>
    <row r="24" spans="1:33" s="165" customFormat="1" ht="22.5">
      <c r="A24" s="211" t="s">
        <v>208</v>
      </c>
      <c r="B24" s="475">
        <v>0</v>
      </c>
      <c r="C24" s="594">
        <v>21352680.3</v>
      </c>
      <c r="D24" s="475">
        <f t="shared" si="0"/>
        <v>21352680.3</v>
      </c>
      <c r="E24" s="475">
        <v>0</v>
      </c>
      <c r="F24" s="594">
        <v>38426447.772</v>
      </c>
      <c r="G24" s="474">
        <f t="shared" si="1"/>
        <v>38426447.772</v>
      </c>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row>
    <row r="25" spans="1:33" s="165" customFormat="1" ht="14.25">
      <c r="A25" s="211" t="s">
        <v>209</v>
      </c>
      <c r="B25" s="475">
        <v>0</v>
      </c>
      <c r="C25" s="594">
        <v>20558700.789</v>
      </c>
      <c r="D25" s="475">
        <f t="shared" si="0"/>
        <v>20558700.789</v>
      </c>
      <c r="E25" s="475">
        <v>0</v>
      </c>
      <c r="F25" s="594">
        <v>15781002.502</v>
      </c>
      <c r="G25" s="474">
        <f t="shared" si="1"/>
        <v>15781002.502</v>
      </c>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row>
    <row r="26" spans="1:33" s="165" customFormat="1" ht="14.25">
      <c r="A26" s="211" t="s">
        <v>210</v>
      </c>
      <c r="B26" s="475">
        <v>0</v>
      </c>
      <c r="C26" s="594">
        <v>3220262.265</v>
      </c>
      <c r="D26" s="475">
        <f t="shared" si="0"/>
        <v>3220262.265</v>
      </c>
      <c r="E26" s="475">
        <v>0</v>
      </c>
      <c r="F26" s="594">
        <v>2764292.626</v>
      </c>
      <c r="G26" s="474">
        <f t="shared" si="1"/>
        <v>2764292.626</v>
      </c>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row>
    <row r="27" spans="1:33" s="165" customFormat="1" ht="14.25">
      <c r="A27" s="211" t="s">
        <v>211</v>
      </c>
      <c r="B27" s="475">
        <v>0</v>
      </c>
      <c r="C27" s="594">
        <v>0</v>
      </c>
      <c r="D27" s="475">
        <f aca="true" t="shared" si="2" ref="D27:D34">+C27+B27</f>
        <v>0</v>
      </c>
      <c r="E27" s="475">
        <v>0</v>
      </c>
      <c r="F27" s="594">
        <v>0</v>
      </c>
      <c r="G27" s="474">
        <f t="shared" si="1"/>
        <v>0</v>
      </c>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row>
    <row r="28" spans="1:33" s="165" customFormat="1" ht="14.25">
      <c r="A28" s="211" t="s">
        <v>212</v>
      </c>
      <c r="B28" s="475">
        <v>0</v>
      </c>
      <c r="C28" s="594">
        <v>1389620.357</v>
      </c>
      <c r="D28" s="475">
        <f t="shared" si="2"/>
        <v>1389620.357</v>
      </c>
      <c r="E28" s="475">
        <v>0</v>
      </c>
      <c r="F28" s="594">
        <v>262767.767</v>
      </c>
      <c r="G28" s="474">
        <f t="shared" si="1"/>
        <v>262767.767</v>
      </c>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row>
    <row r="29" spans="1:33" s="165" customFormat="1" ht="14.25">
      <c r="A29" s="211" t="s">
        <v>213</v>
      </c>
      <c r="B29" s="475">
        <v>0</v>
      </c>
      <c r="C29" s="594">
        <v>50</v>
      </c>
      <c r="D29" s="475">
        <f t="shared" si="2"/>
        <v>50</v>
      </c>
      <c r="E29" s="475">
        <v>0</v>
      </c>
      <c r="F29" s="594">
        <v>454987.644</v>
      </c>
      <c r="G29" s="474">
        <f t="shared" si="1"/>
        <v>454987.644</v>
      </c>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row>
    <row r="30" spans="1:33" s="165" customFormat="1" ht="14.25">
      <c r="A30" s="211" t="s">
        <v>214</v>
      </c>
      <c r="B30" s="475">
        <v>0</v>
      </c>
      <c r="C30" s="594">
        <v>0</v>
      </c>
      <c r="D30" s="475">
        <f t="shared" si="2"/>
        <v>0</v>
      </c>
      <c r="E30" s="475">
        <v>0</v>
      </c>
      <c r="F30" s="594">
        <v>0</v>
      </c>
      <c r="G30" s="474">
        <f t="shared" si="1"/>
        <v>0</v>
      </c>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row>
    <row r="31" spans="1:33" s="165" customFormat="1" ht="14.25">
      <c r="A31" s="211" t="s">
        <v>869</v>
      </c>
      <c r="B31" s="475">
        <v>0</v>
      </c>
      <c r="C31" s="594">
        <v>789108.362</v>
      </c>
      <c r="D31" s="475">
        <f t="shared" si="2"/>
        <v>789108.362</v>
      </c>
      <c r="E31" s="475">
        <v>0</v>
      </c>
      <c r="F31" s="594">
        <v>597871.527</v>
      </c>
      <c r="G31" s="474">
        <f t="shared" si="1"/>
        <v>597871.527</v>
      </c>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row>
    <row r="32" spans="1:33" s="165" customFormat="1" ht="14.25">
      <c r="A32" s="211" t="s">
        <v>215</v>
      </c>
      <c r="B32" s="475">
        <v>0</v>
      </c>
      <c r="C32" s="594">
        <v>38588.068</v>
      </c>
      <c r="D32" s="475">
        <f t="shared" si="2"/>
        <v>38588.068</v>
      </c>
      <c r="E32" s="475">
        <v>0</v>
      </c>
      <c r="F32" s="594">
        <v>38588.068</v>
      </c>
      <c r="G32" s="474">
        <f t="shared" si="1"/>
        <v>38588.068</v>
      </c>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row>
    <row r="33" spans="1:33" s="165" customFormat="1" ht="14.25">
      <c r="A33" s="211" t="s">
        <v>7</v>
      </c>
      <c r="B33" s="475">
        <v>0</v>
      </c>
      <c r="C33" s="594">
        <v>94979784.017</v>
      </c>
      <c r="D33" s="475">
        <f t="shared" si="2"/>
        <v>94979784.017</v>
      </c>
      <c r="E33" s="475">
        <v>0</v>
      </c>
      <c r="F33" s="594">
        <v>52528169.495</v>
      </c>
      <c r="G33" s="474">
        <f t="shared" si="1"/>
        <v>52528169.495</v>
      </c>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row>
    <row r="34" spans="1:33" s="165" customFormat="1" ht="14.25">
      <c r="A34" s="339" t="s">
        <v>65</v>
      </c>
      <c r="B34" s="476"/>
      <c r="C34" s="665"/>
      <c r="D34" s="475">
        <f t="shared" si="2"/>
        <v>0</v>
      </c>
      <c r="E34" s="476"/>
      <c r="F34" s="476"/>
      <c r="G34" s="475">
        <f>+F34+E34</f>
        <v>0</v>
      </c>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row>
    <row r="35" spans="1:33" s="165" customFormat="1" ht="15" thickBot="1">
      <c r="A35" s="212" t="s">
        <v>3</v>
      </c>
      <c r="B35" s="607">
        <f>+SUM($B$13:B34)</f>
        <v>278210.076</v>
      </c>
      <c r="C35" s="666">
        <f>+SUM($C$13:C34)</f>
        <v>180009571.671</v>
      </c>
      <c r="D35" s="607">
        <f>+SUM($D$13:D34)</f>
        <v>180287781.747</v>
      </c>
      <c r="E35" s="607">
        <f>SUM(E13:E34)</f>
        <v>156421.533</v>
      </c>
      <c r="F35" s="607">
        <f>SUM(F13:F34)</f>
        <v>135787868.355</v>
      </c>
      <c r="G35" s="607">
        <f>+SUM($G$13:G34)</f>
        <v>135944289.88799998</v>
      </c>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row>
    <row r="36" spans="1:33" s="165" customFormat="1" ht="14.25">
      <c r="A36" s="164"/>
      <c r="B36" s="164"/>
      <c r="C36" s="635"/>
      <c r="D36" s="164"/>
      <c r="E36" s="164"/>
      <c r="F36" s="346"/>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row>
    <row r="37" spans="1:30" s="165" customFormat="1" ht="14.25">
      <c r="A37" s="164"/>
      <c r="B37" s="336"/>
      <c r="C37" s="420"/>
      <c r="D37" s="346"/>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row>
    <row r="38" spans="1:30" s="165" customFormat="1" ht="14.25">
      <c r="A38" s="164"/>
      <c r="B38" s="336"/>
      <c r="C38" s="659"/>
      <c r="D38" s="466"/>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row>
    <row r="39" spans="1:30" s="165" customFormat="1" ht="14.25">
      <c r="A39" s="164"/>
      <c r="B39" s="336"/>
      <c r="C39" s="660"/>
      <c r="D39" s="659"/>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row>
    <row r="40" spans="1:30" s="165" customFormat="1" ht="14.25">
      <c r="A40" s="164"/>
      <c r="B40" s="336"/>
      <c r="C40" s="661"/>
      <c r="D40" s="659"/>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row>
    <row r="41" spans="1:30" s="165" customFormat="1" ht="14.25">
      <c r="A41" s="164"/>
      <c r="B41" s="336"/>
      <c r="C41" s="336"/>
      <c r="D41" s="659"/>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row>
    <row r="42" spans="1:30" s="135" customFormat="1" ht="14.25">
      <c r="A42" s="120"/>
      <c r="B42" s="257"/>
      <c r="C42" s="659"/>
      <c r="D42" s="662"/>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row>
    <row r="43" spans="1:30" s="135" customFormat="1" ht="14.25">
      <c r="A43" s="120"/>
      <c r="B43" s="257"/>
      <c r="C43" s="659"/>
      <c r="D43" s="257"/>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row>
    <row r="44" spans="3:33" ht="14.25">
      <c r="C44" s="659"/>
      <c r="AE44"/>
      <c r="AF44"/>
      <c r="AG44"/>
    </row>
    <row r="45" spans="3:33" ht="14.25">
      <c r="C45" s="659"/>
      <c r="AE45"/>
      <c r="AF45"/>
      <c r="AG45"/>
    </row>
    <row r="46" spans="3:33" ht="14.25">
      <c r="C46" s="431"/>
      <c r="AE46"/>
      <c r="AF46"/>
      <c r="AG46"/>
    </row>
    <row r="47" spans="3:33" ht="14.25">
      <c r="C47" s="114"/>
      <c r="AE47"/>
      <c r="AF47"/>
      <c r="AG47"/>
    </row>
    <row r="48" spans="3:33" ht="14.25">
      <c r="C48" s="114"/>
      <c r="AE48"/>
      <c r="AF48"/>
      <c r="AG48"/>
    </row>
    <row r="49" spans="3:33" ht="14.25">
      <c r="C49" s="114"/>
      <c r="AE49"/>
      <c r="AF49"/>
      <c r="AG49"/>
    </row>
    <row r="50" spans="3:4" ht="14.25">
      <c r="C50" s="460"/>
      <c r="D50" s="420"/>
    </row>
    <row r="51" spans="3:4" ht="14.25">
      <c r="C51" s="460"/>
      <c r="D51" s="420"/>
    </row>
    <row r="52" spans="3:4" ht="14.25">
      <c r="C52" s="460"/>
      <c r="D52" s="420"/>
    </row>
    <row r="53" spans="3:4" ht="14.25">
      <c r="C53" s="460"/>
      <c r="D53" s="420"/>
    </row>
    <row r="54" spans="3:4" ht="14.25">
      <c r="C54" s="460"/>
      <c r="D54" s="420"/>
    </row>
    <row r="55" spans="3:4" ht="14.25">
      <c r="C55" s="460"/>
      <c r="D55" s="420"/>
    </row>
    <row r="56" spans="3:4" ht="14.25">
      <c r="C56" s="460"/>
      <c r="D56" s="420"/>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X32"/>
  <sheetViews>
    <sheetView showGridLines="0" zoomScalePageLayoutView="0" workbookViewId="0" topLeftCell="A1">
      <selection activeCell="C20" sqref="C20"/>
    </sheetView>
  </sheetViews>
  <sheetFormatPr defaultColWidth="11.421875" defaultRowHeight="15"/>
  <cols>
    <col min="1" max="1" width="38.00390625" style="114" customWidth="1"/>
    <col min="2" max="2" width="14.7109375" style="114" customWidth="1"/>
    <col min="3" max="3" width="15.7109375" style="114" customWidth="1"/>
    <col min="4" max="4" width="4.8515625" style="114" customWidth="1"/>
    <col min="5" max="5" width="16.140625" style="114" bestFit="1" customWidth="1"/>
    <col min="6" max="6" width="13.28125" style="114" customWidth="1"/>
    <col min="7" max="7" width="14.57421875" style="114" customWidth="1"/>
    <col min="8" max="20" width="11.421875" style="114" customWidth="1"/>
  </cols>
  <sheetData>
    <row r="1" spans="1:5" ht="14.25">
      <c r="A1" s="114" t="str">
        <f>Indice!C1</f>
        <v>NEGOFIN S.A.E.C.A.</v>
      </c>
      <c r="E1" s="133" t="s">
        <v>146</v>
      </c>
    </row>
    <row r="4" spans="1:24" ht="14.25">
      <c r="A4" s="980" t="s">
        <v>342</v>
      </c>
      <c r="B4" s="980"/>
      <c r="C4" s="980"/>
      <c r="D4" s="980"/>
      <c r="E4" s="980"/>
      <c r="F4" s="142"/>
      <c r="U4" s="114"/>
      <c r="V4" s="114"/>
      <c r="W4" s="114"/>
      <c r="X4" s="114"/>
    </row>
    <row r="5" spans="1:24" ht="14.25">
      <c r="A5" s="139"/>
      <c r="B5" s="141"/>
      <c r="C5" s="140"/>
      <c r="D5" s="140"/>
      <c r="E5" s="140"/>
      <c r="F5" s="142"/>
      <c r="U5" s="114"/>
      <c r="V5" s="114"/>
      <c r="W5" s="114"/>
      <c r="X5" s="114"/>
    </row>
    <row r="6" spans="1:24" s="189" customFormat="1" ht="14.25">
      <c r="A6" s="340" t="s">
        <v>259</v>
      </c>
      <c r="B6" s="981"/>
      <c r="C6" s="981"/>
      <c r="D6" s="140"/>
      <c r="E6" s="140"/>
      <c r="F6" s="142"/>
      <c r="G6" s="114"/>
      <c r="H6" s="114"/>
      <c r="I6" s="114"/>
      <c r="J6" s="114"/>
      <c r="K6" s="114"/>
      <c r="L6" s="114"/>
      <c r="M6" s="114"/>
      <c r="N6" s="114"/>
      <c r="O6" s="114"/>
      <c r="P6" s="114"/>
      <c r="Q6" s="114"/>
      <c r="R6" s="114"/>
      <c r="S6" s="114"/>
      <c r="T6" s="114"/>
      <c r="U6" s="114"/>
      <c r="V6" s="114"/>
      <c r="W6" s="114"/>
      <c r="X6" s="114"/>
    </row>
    <row r="7" spans="1:24" ht="14.25">
      <c r="A7" s="139"/>
      <c r="D7" s="140"/>
      <c r="E7" s="140"/>
      <c r="F7" s="142"/>
      <c r="J7" s="431"/>
      <c r="U7" s="114"/>
      <c r="V7" s="114"/>
      <c r="W7" s="114"/>
      <c r="X7" s="114"/>
    </row>
    <row r="8" spans="1:24" ht="14.25">
      <c r="A8" s="143" t="s">
        <v>155</v>
      </c>
      <c r="B8" s="359">
        <f>_xlfn.IFERROR(IF(Indice!B6="","2XX2",YEAR(Indice!B6)),"2XX2")</f>
        <v>2022</v>
      </c>
      <c r="C8" s="359">
        <f>+_xlfn.IFERROR(YEAR(Indice!B6-365),"2XX1")</f>
        <v>2021</v>
      </c>
      <c r="D8" s="140"/>
      <c r="E8" s="143" t="s">
        <v>261</v>
      </c>
      <c r="F8" s="359">
        <f>_xlfn.IFERROR(IF(Indice!B6="","2XX2",YEAR(Indice!B6)),"2XX2")</f>
        <v>2022</v>
      </c>
      <c r="G8" s="359">
        <f>+_xlfn.IFERROR(YEAR(Indice!B6-365),"2XX1")</f>
        <v>2021</v>
      </c>
      <c r="J8" s="431"/>
      <c r="U8" s="114"/>
      <c r="V8" s="114"/>
      <c r="W8" s="114"/>
      <c r="X8" s="114"/>
    </row>
    <row r="9" spans="1:24" ht="14.25">
      <c r="A9" s="139" t="s">
        <v>152</v>
      </c>
      <c r="B9" s="139"/>
      <c r="C9" s="139"/>
      <c r="D9" s="140"/>
      <c r="E9" s="139" t="s">
        <v>152</v>
      </c>
      <c r="F9" s="139"/>
      <c r="G9" s="139"/>
      <c r="J9" s="431"/>
      <c r="U9" s="114"/>
      <c r="V9" s="114"/>
      <c r="W9" s="114"/>
      <c r="X9" s="114"/>
    </row>
    <row r="10" spans="1:24" ht="14.25">
      <c r="A10" s="139" t="s">
        <v>999</v>
      </c>
      <c r="B10" s="863">
        <v>142304.726</v>
      </c>
      <c r="C10" s="481">
        <v>184041</v>
      </c>
      <c r="D10" s="140"/>
      <c r="E10" s="625"/>
      <c r="F10" s="481"/>
      <c r="G10" s="481">
        <v>0</v>
      </c>
      <c r="J10" s="431"/>
      <c r="U10" s="114"/>
      <c r="V10" s="114"/>
      <c r="W10" s="114"/>
      <c r="X10" s="114"/>
    </row>
    <row r="11" spans="1:24" ht="14.25">
      <c r="A11" s="139" t="s">
        <v>1000</v>
      </c>
      <c r="B11" s="863">
        <v>262056.736</v>
      </c>
      <c r="C11" s="481">
        <v>235178</v>
      </c>
      <c r="D11" s="140"/>
      <c r="E11" s="139"/>
      <c r="F11" s="481">
        <v>0</v>
      </c>
      <c r="G11" s="481">
        <v>0</v>
      </c>
      <c r="J11" s="431"/>
      <c r="U11" s="114"/>
      <c r="V11" s="114"/>
      <c r="W11" s="114"/>
      <c r="X11" s="114"/>
    </row>
    <row r="12" spans="1:24" ht="14.25">
      <c r="A12" s="139" t="s">
        <v>1001</v>
      </c>
      <c r="B12" s="863">
        <v>279575.996</v>
      </c>
      <c r="C12" s="481">
        <v>148706</v>
      </c>
      <c r="D12" s="140"/>
      <c r="E12" s="139"/>
      <c r="F12" s="481">
        <v>0</v>
      </c>
      <c r="G12" s="481">
        <v>0</v>
      </c>
      <c r="J12" s="431"/>
      <c r="U12" s="114"/>
      <c r="V12" s="114"/>
      <c r="W12" s="114"/>
      <c r="X12" s="114"/>
    </row>
    <row r="13" spans="1:24" ht="14.25">
      <c r="A13" s="139" t="s">
        <v>1002</v>
      </c>
      <c r="B13" s="863">
        <v>1997.047</v>
      </c>
      <c r="C13" s="481">
        <v>6610</v>
      </c>
      <c r="D13" s="140"/>
      <c r="E13" s="139"/>
      <c r="F13" s="481">
        <v>0</v>
      </c>
      <c r="G13" s="481">
        <v>0</v>
      </c>
      <c r="J13" s="431"/>
      <c r="U13" s="114"/>
      <c r="V13" s="114"/>
      <c r="W13" s="114"/>
      <c r="X13" s="114"/>
    </row>
    <row r="14" spans="1:24" ht="14.25">
      <c r="A14" s="139" t="s">
        <v>1003</v>
      </c>
      <c r="B14" s="864">
        <v>49264.714</v>
      </c>
      <c r="C14" s="481">
        <v>27192</v>
      </c>
      <c r="D14" s="140"/>
      <c r="E14" s="139"/>
      <c r="F14" s="481">
        <v>0</v>
      </c>
      <c r="G14" s="481">
        <v>0</v>
      </c>
      <c r="J14" s="431"/>
      <c r="U14" s="114"/>
      <c r="V14" s="114"/>
      <c r="W14" s="114"/>
      <c r="X14" s="114"/>
    </row>
    <row r="15" spans="1:24" ht="14.25">
      <c r="A15" s="139" t="s">
        <v>1004</v>
      </c>
      <c r="B15" s="864">
        <v>4352486.48</v>
      </c>
      <c r="C15" s="481">
        <v>3011517</v>
      </c>
      <c r="D15" s="140"/>
      <c r="E15" s="139"/>
      <c r="F15" s="481">
        <v>0</v>
      </c>
      <c r="G15" s="481">
        <v>0</v>
      </c>
      <c r="J15" s="431"/>
      <c r="U15" s="114"/>
      <c r="V15" s="114"/>
      <c r="W15" s="114"/>
      <c r="X15" s="114"/>
    </row>
    <row r="16" spans="1:24" s="583" customFormat="1" ht="14.25">
      <c r="A16" s="139" t="s">
        <v>1134</v>
      </c>
      <c r="B16" s="864">
        <v>0</v>
      </c>
      <c r="C16" s="481">
        <v>12596</v>
      </c>
      <c r="D16" s="140"/>
      <c r="E16" s="139"/>
      <c r="F16" s="481"/>
      <c r="G16" s="481"/>
      <c r="H16" s="114"/>
      <c r="I16" s="114"/>
      <c r="J16" s="431"/>
      <c r="K16" s="114"/>
      <c r="L16" s="114"/>
      <c r="M16" s="114"/>
      <c r="N16" s="114"/>
      <c r="O16" s="114"/>
      <c r="P16" s="114"/>
      <c r="Q16" s="114"/>
      <c r="R16" s="114"/>
      <c r="S16" s="114"/>
      <c r="T16" s="114"/>
      <c r="U16" s="114"/>
      <c r="V16" s="114"/>
      <c r="W16" s="114"/>
      <c r="X16" s="114"/>
    </row>
    <row r="17" spans="1:24" s="615" customFormat="1" ht="14.25">
      <c r="A17" s="625" t="s">
        <v>1168</v>
      </c>
      <c r="B17" s="864">
        <v>4803.85</v>
      </c>
      <c r="C17" s="481">
        <v>46224</v>
      </c>
      <c r="D17" s="140"/>
      <c r="E17" s="139"/>
      <c r="F17" s="481"/>
      <c r="G17" s="481"/>
      <c r="H17" s="114"/>
      <c r="I17" s="114"/>
      <c r="J17" s="114"/>
      <c r="K17" s="114"/>
      <c r="L17" s="114"/>
      <c r="M17" s="114"/>
      <c r="N17" s="114"/>
      <c r="O17" s="114"/>
      <c r="P17" s="114"/>
      <c r="Q17" s="114"/>
      <c r="R17" s="114"/>
      <c r="S17" s="114"/>
      <c r="T17" s="114"/>
      <c r="U17" s="114"/>
      <c r="V17" s="114"/>
      <c r="W17" s="114"/>
      <c r="X17" s="114"/>
    </row>
    <row r="18" spans="1:24" s="727" customFormat="1" ht="14.25">
      <c r="A18" s="625" t="s">
        <v>1353</v>
      </c>
      <c r="B18" s="864">
        <v>8600</v>
      </c>
      <c r="C18" s="481">
        <v>0</v>
      </c>
      <c r="D18" s="140"/>
      <c r="E18" s="625"/>
      <c r="F18" s="481"/>
      <c r="G18" s="481"/>
      <c r="H18" s="114"/>
      <c r="I18" s="114"/>
      <c r="J18" s="114"/>
      <c r="K18" s="114"/>
      <c r="L18" s="114"/>
      <c r="M18" s="114"/>
      <c r="N18" s="114"/>
      <c r="O18" s="114"/>
      <c r="P18" s="114"/>
      <c r="Q18" s="114"/>
      <c r="R18" s="114"/>
      <c r="S18" s="114"/>
      <c r="T18" s="114"/>
      <c r="U18" s="114"/>
      <c r="V18" s="114"/>
      <c r="W18" s="114"/>
      <c r="X18" s="114"/>
    </row>
    <row r="19" spans="1:24" s="749" customFormat="1" ht="14.25">
      <c r="A19" s="625" t="s">
        <v>1367</v>
      </c>
      <c r="B19" s="864">
        <v>4450.959</v>
      </c>
      <c r="C19" s="481">
        <v>0</v>
      </c>
      <c r="D19" s="140"/>
      <c r="E19" s="625"/>
      <c r="F19" s="481"/>
      <c r="G19" s="481"/>
      <c r="H19" s="114"/>
      <c r="I19" s="114"/>
      <c r="J19" s="114"/>
      <c r="K19" s="114"/>
      <c r="L19" s="114"/>
      <c r="M19" s="114"/>
      <c r="N19" s="114"/>
      <c r="O19" s="114"/>
      <c r="P19" s="114"/>
      <c r="Q19" s="114"/>
      <c r="R19" s="114"/>
      <c r="S19" s="114"/>
      <c r="T19" s="114"/>
      <c r="U19" s="114"/>
      <c r="V19" s="114"/>
      <c r="W19" s="114"/>
      <c r="X19" s="114"/>
    </row>
    <row r="20" spans="1:24" s="727" customFormat="1" ht="14.25">
      <c r="A20" s="625" t="s">
        <v>1354</v>
      </c>
      <c r="B20" s="864">
        <v>0</v>
      </c>
      <c r="C20" s="481">
        <v>0</v>
      </c>
      <c r="D20" s="140"/>
      <c r="E20" s="625"/>
      <c r="F20" s="481"/>
      <c r="G20" s="481"/>
      <c r="H20" s="114"/>
      <c r="I20" s="114"/>
      <c r="J20" s="114"/>
      <c r="K20" s="114"/>
      <c r="L20" s="114"/>
      <c r="M20" s="114"/>
      <c r="N20" s="114"/>
      <c r="O20" s="114"/>
      <c r="P20" s="114"/>
      <c r="Q20" s="114"/>
      <c r="R20" s="114"/>
      <c r="S20" s="114"/>
      <c r="T20" s="114"/>
      <c r="U20" s="114"/>
      <c r="V20" s="114"/>
      <c r="W20" s="114"/>
      <c r="X20" s="114"/>
    </row>
    <row r="21" spans="1:24" ht="14.25">
      <c r="A21" s="143" t="s">
        <v>3</v>
      </c>
      <c r="B21" s="865">
        <f>SUM($B$9:B20)</f>
        <v>5105540.508</v>
      </c>
      <c r="C21" s="480">
        <f>SUM($C$9:C20)</f>
        <v>3672064</v>
      </c>
      <c r="D21" s="341"/>
      <c r="E21" s="382" t="s">
        <v>3</v>
      </c>
      <c r="F21" s="480">
        <f>SUM($F$9:F15)</f>
        <v>0</v>
      </c>
      <c r="G21" s="480">
        <f>SUM($G$9:G15)</f>
        <v>0</v>
      </c>
      <c r="U21" s="114"/>
      <c r="V21" s="114"/>
      <c r="W21" s="114"/>
      <c r="X21" s="114"/>
    </row>
    <row r="22" spans="2:24" s="189" customFormat="1" ht="14.25">
      <c r="B22" s="45"/>
      <c r="D22" s="140"/>
      <c r="E22" s="140"/>
      <c r="F22" s="142"/>
      <c r="G22" s="114"/>
      <c r="H22" s="114"/>
      <c r="I22" s="114"/>
      <c r="J22" s="114"/>
      <c r="K22" s="114"/>
      <c r="L22" s="114"/>
      <c r="M22" s="114"/>
      <c r="N22" s="114"/>
      <c r="O22" s="114"/>
      <c r="P22" s="114"/>
      <c r="Q22" s="114"/>
      <c r="R22" s="114"/>
      <c r="S22" s="114"/>
      <c r="T22" s="114"/>
      <c r="U22" s="114"/>
      <c r="V22" s="114"/>
      <c r="W22" s="114"/>
      <c r="X22" s="114"/>
    </row>
    <row r="23" spans="2:24" s="189" customFormat="1" ht="14.25">
      <c r="B23" s="482"/>
      <c r="C23" s="482"/>
      <c r="D23" s="140"/>
      <c r="E23" s="140"/>
      <c r="F23" s="142"/>
      <c r="G23" s="114"/>
      <c r="H23" s="114"/>
      <c r="I23" s="114"/>
      <c r="J23" s="114"/>
      <c r="K23" s="114"/>
      <c r="L23" s="114"/>
      <c r="M23" s="114"/>
      <c r="N23" s="114"/>
      <c r="O23" s="114"/>
      <c r="P23" s="114"/>
      <c r="Q23" s="114"/>
      <c r="R23" s="114"/>
      <c r="S23" s="114"/>
      <c r="T23" s="114"/>
      <c r="U23" s="114"/>
      <c r="V23" s="114"/>
      <c r="W23" s="114"/>
      <c r="X23" s="114"/>
    </row>
    <row r="24" spans="2:24" s="189" customFormat="1" ht="14.25">
      <c r="B24" s="416"/>
      <c r="C24" s="416"/>
      <c r="D24" s="140"/>
      <c r="E24" s="140"/>
      <c r="F24" s="142"/>
      <c r="G24" s="114"/>
      <c r="H24" s="114"/>
      <c r="I24" s="114"/>
      <c r="J24" s="114"/>
      <c r="K24" s="114"/>
      <c r="L24" s="114"/>
      <c r="M24" s="114"/>
      <c r="N24" s="114"/>
      <c r="O24" s="114"/>
      <c r="P24" s="114"/>
      <c r="Q24" s="114"/>
      <c r="R24" s="114"/>
      <c r="S24" s="114"/>
      <c r="T24" s="114"/>
      <c r="U24" s="114"/>
      <c r="V24" s="114"/>
      <c r="W24" s="114"/>
      <c r="X24" s="114"/>
    </row>
    <row r="25" spans="4:24" s="189" customFormat="1" ht="14.25">
      <c r="D25" s="140"/>
      <c r="E25" s="140"/>
      <c r="F25" s="142"/>
      <c r="G25" s="114"/>
      <c r="H25" s="114"/>
      <c r="I25" s="114"/>
      <c r="J25" s="114"/>
      <c r="K25" s="114"/>
      <c r="L25" s="114"/>
      <c r="M25" s="114"/>
      <c r="N25" s="114"/>
      <c r="O25" s="114"/>
      <c r="P25" s="114"/>
      <c r="Q25" s="114"/>
      <c r="R25" s="114"/>
      <c r="S25" s="114"/>
      <c r="T25" s="114"/>
      <c r="U25" s="114"/>
      <c r="V25" s="114"/>
      <c r="W25" s="114"/>
      <c r="X25" s="114"/>
    </row>
    <row r="26" spans="4:24" s="189" customFormat="1" ht="14.25">
      <c r="D26" s="140"/>
      <c r="E26" s="140"/>
      <c r="F26" s="142"/>
      <c r="G26" s="114"/>
      <c r="H26" s="114"/>
      <c r="I26" s="114"/>
      <c r="J26" s="114"/>
      <c r="K26" s="114"/>
      <c r="L26" s="114"/>
      <c r="M26" s="114"/>
      <c r="N26" s="114"/>
      <c r="O26" s="114"/>
      <c r="P26" s="114"/>
      <c r="Q26" s="114"/>
      <c r="R26" s="114"/>
      <c r="S26" s="114"/>
      <c r="T26" s="114"/>
      <c r="U26" s="114"/>
      <c r="V26" s="114"/>
      <c r="W26" s="114"/>
      <c r="X26" s="114"/>
    </row>
    <row r="27" spans="4:24" s="189" customFormat="1" ht="14.25">
      <c r="D27" s="140"/>
      <c r="E27" s="140"/>
      <c r="F27" s="142"/>
      <c r="G27" s="114"/>
      <c r="H27" s="114"/>
      <c r="I27" s="114"/>
      <c r="J27" s="114"/>
      <c r="K27" s="114"/>
      <c r="L27" s="114"/>
      <c r="M27" s="114"/>
      <c r="N27" s="114"/>
      <c r="O27" s="114"/>
      <c r="P27" s="114"/>
      <c r="Q27" s="114"/>
      <c r="R27" s="114"/>
      <c r="S27" s="114"/>
      <c r="T27" s="114"/>
      <c r="U27" s="114"/>
      <c r="V27" s="114"/>
      <c r="W27" s="114"/>
      <c r="X27" s="114"/>
    </row>
    <row r="28" spans="4:24" s="189" customFormat="1" ht="14.25">
      <c r="D28" s="140"/>
      <c r="E28" s="140"/>
      <c r="F28" s="142"/>
      <c r="G28" s="114"/>
      <c r="H28" s="114"/>
      <c r="I28" s="114"/>
      <c r="J28" s="114"/>
      <c r="K28" s="114"/>
      <c r="L28" s="114"/>
      <c r="M28" s="114"/>
      <c r="N28" s="114"/>
      <c r="O28" s="114"/>
      <c r="P28" s="114"/>
      <c r="Q28" s="114"/>
      <c r="R28" s="114"/>
      <c r="S28" s="114"/>
      <c r="T28" s="114"/>
      <c r="U28" s="114"/>
      <c r="V28" s="114"/>
      <c r="W28" s="114"/>
      <c r="X28" s="114"/>
    </row>
    <row r="29" spans="4:24" s="189" customFormat="1" ht="14.25">
      <c r="D29" s="140"/>
      <c r="E29" s="140"/>
      <c r="F29" s="142"/>
      <c r="G29" s="114"/>
      <c r="H29" s="114"/>
      <c r="I29" s="114"/>
      <c r="J29" s="114"/>
      <c r="K29" s="114"/>
      <c r="L29" s="114"/>
      <c r="M29" s="114"/>
      <c r="N29" s="114"/>
      <c r="O29" s="114"/>
      <c r="P29" s="114"/>
      <c r="Q29" s="114"/>
      <c r="R29" s="114"/>
      <c r="S29" s="114"/>
      <c r="T29" s="114"/>
      <c r="U29" s="114"/>
      <c r="V29" s="114"/>
      <c r="W29" s="114"/>
      <c r="X29" s="114"/>
    </row>
    <row r="30" spans="3:24" s="189" customFormat="1" ht="14.25">
      <c r="C30" s="640"/>
      <c r="D30" s="140"/>
      <c r="E30" s="140"/>
      <c r="F30" s="142"/>
      <c r="G30" s="114"/>
      <c r="H30" s="114"/>
      <c r="I30" s="114"/>
      <c r="J30" s="114"/>
      <c r="K30" s="114"/>
      <c r="L30" s="114"/>
      <c r="M30" s="114"/>
      <c r="N30" s="114"/>
      <c r="O30" s="114"/>
      <c r="P30" s="114"/>
      <c r="Q30" s="114"/>
      <c r="R30" s="114"/>
      <c r="S30" s="114"/>
      <c r="T30" s="114"/>
      <c r="U30" s="114"/>
      <c r="V30" s="114"/>
      <c r="W30" s="114"/>
      <c r="X30" s="114"/>
    </row>
    <row r="32" ht="14.25">
      <c r="C32" s="431"/>
    </row>
  </sheetData>
  <sheetProtection/>
  <mergeCells count="2">
    <mergeCell ref="A4:E4"/>
    <mergeCell ref="B6:C6"/>
  </mergeCells>
  <hyperlinks>
    <hyperlink ref="E1" location="ER!A1" display="ER"/>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AE23"/>
  <sheetViews>
    <sheetView showGridLines="0" zoomScalePageLayoutView="0" workbookViewId="0" topLeftCell="A1">
      <selection activeCell="H21" sqref="H21"/>
    </sheetView>
  </sheetViews>
  <sheetFormatPr defaultColWidth="11.421875" defaultRowHeight="15"/>
  <cols>
    <col min="1" max="1" width="35.8515625" style="114" customWidth="1"/>
    <col min="2" max="2" width="18.421875" style="114" customWidth="1"/>
    <col min="3" max="3" width="16.7109375" style="114" customWidth="1"/>
    <col min="4" max="4" width="11.421875" style="114" customWidth="1"/>
    <col min="5" max="5" width="30.421875" style="114" bestFit="1" customWidth="1"/>
    <col min="6" max="6" width="17.28125" style="114" customWidth="1"/>
    <col min="7" max="7" width="16.00390625" style="114" customWidth="1"/>
    <col min="8" max="15" width="11.421875" style="114" customWidth="1"/>
  </cols>
  <sheetData>
    <row r="1" spans="1:5" ht="14.25">
      <c r="A1" s="114" t="str">
        <f>Indice!C1</f>
        <v>NEGOFIN S.A.E.C.A.</v>
      </c>
      <c r="E1" s="133" t="s">
        <v>146</v>
      </c>
    </row>
    <row r="5" spans="1:30" ht="14.25">
      <c r="A5" s="293" t="s">
        <v>343</v>
      </c>
      <c r="B5" s="293"/>
      <c r="C5" s="293"/>
      <c r="D5" s="293"/>
      <c r="E5" s="293"/>
      <c r="F5" s="293"/>
      <c r="G5" s="293"/>
      <c r="H5" s="20"/>
      <c r="I5" s="20"/>
      <c r="J5" s="20"/>
      <c r="K5" s="20"/>
      <c r="L5" s="20"/>
      <c r="M5" s="20"/>
      <c r="N5" s="20"/>
      <c r="O5" s="20"/>
      <c r="P5" s="20"/>
      <c r="Q5" s="20"/>
      <c r="R5" s="20"/>
      <c r="S5" s="20"/>
      <c r="T5" s="20"/>
      <c r="U5" s="20"/>
      <c r="V5" s="20"/>
      <c r="W5" s="20"/>
      <c r="X5" s="20"/>
      <c r="Y5" s="20"/>
      <c r="Z5" s="20"/>
      <c r="AA5" s="20"/>
      <c r="AB5" s="20"/>
      <c r="AC5" s="20"/>
      <c r="AD5" s="20"/>
    </row>
    <row r="6" ht="14.25">
      <c r="A6" s="319" t="s">
        <v>259</v>
      </c>
    </row>
    <row r="7" ht="14.25">
      <c r="C7" s="319"/>
    </row>
    <row r="8" spans="1:31" ht="14.25">
      <c r="A8" s="138" t="s">
        <v>157</v>
      </c>
      <c r="B8" s="359">
        <f>_xlfn.IFERROR(IF(Indice!B6="","2XX2",YEAR(Indice!B6)),"2XX2")</f>
        <v>2022</v>
      </c>
      <c r="C8" s="359">
        <f>+_xlfn.IFERROR(YEAR(Indice!B6-365),"2XX1")</f>
        <v>2021</v>
      </c>
      <c r="D8" s="20"/>
      <c r="E8" s="138" t="s">
        <v>159</v>
      </c>
      <c r="F8" s="359">
        <f>_xlfn.IFERROR(IF(Indice!B6="","2XX2",YEAR(Indice!B6)),"2XX2")</f>
        <v>2022</v>
      </c>
      <c r="G8" s="359">
        <f>+_xlfn.IFERROR(YEAR(Indice!B6-365),"2XX1")</f>
        <v>2021</v>
      </c>
      <c r="H8" s="20"/>
      <c r="I8" s="20"/>
      <c r="J8" s="20"/>
      <c r="K8" s="20"/>
      <c r="L8" s="20"/>
      <c r="M8" s="20"/>
      <c r="N8" s="20"/>
      <c r="O8" s="20"/>
      <c r="P8" s="20"/>
      <c r="Q8" s="20"/>
      <c r="R8" s="20"/>
      <c r="S8" s="20"/>
      <c r="T8" s="20"/>
      <c r="U8" s="20"/>
      <c r="V8" s="20"/>
      <c r="W8" s="20"/>
      <c r="X8" s="20"/>
      <c r="Y8" s="20"/>
      <c r="Z8" s="20"/>
      <c r="AA8" s="20"/>
      <c r="AB8" s="20"/>
      <c r="AC8" s="20"/>
      <c r="AD8" s="20"/>
      <c r="AE8" s="20"/>
    </row>
    <row r="9" spans="1:31" ht="14.25">
      <c r="A9" s="20" t="s">
        <v>863</v>
      </c>
      <c r="B9" s="20"/>
      <c r="C9" s="20"/>
      <c r="D9" s="20"/>
      <c r="E9" s="20" t="s">
        <v>863</v>
      </c>
      <c r="F9" s="20"/>
      <c r="G9" s="20"/>
      <c r="H9" s="20"/>
      <c r="I9" s="20"/>
      <c r="J9" s="20"/>
      <c r="K9" s="20"/>
      <c r="L9" s="20"/>
      <c r="M9" s="20"/>
      <c r="N9" s="20"/>
      <c r="O9" s="20"/>
      <c r="P9" s="20"/>
      <c r="Q9" s="20"/>
      <c r="R9" s="20"/>
      <c r="S9" s="20"/>
      <c r="T9" s="20"/>
      <c r="U9" s="20"/>
      <c r="V9" s="20"/>
      <c r="W9" s="20"/>
      <c r="X9" s="20"/>
      <c r="Y9" s="20"/>
      <c r="Z9" s="20"/>
      <c r="AA9" s="20"/>
      <c r="AB9" s="20"/>
      <c r="AC9" s="20"/>
      <c r="AD9" s="20"/>
      <c r="AE9" s="20"/>
    </row>
    <row r="10" spans="1:31" s="189" customFormat="1" ht="14.25">
      <c r="A10" s="189" t="s">
        <v>998</v>
      </c>
      <c r="B10" s="460">
        <v>14149199.933</v>
      </c>
      <c r="C10" s="471">
        <v>12638305.201</v>
      </c>
      <c r="D10" s="20"/>
      <c r="E10" s="20" t="s">
        <v>995</v>
      </c>
      <c r="F10" s="471">
        <v>4921239.924</v>
      </c>
      <c r="G10" s="879">
        <v>7064326.317</v>
      </c>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1:31" s="413" customFormat="1" ht="14.25">
      <c r="A11" s="413" t="s">
        <v>1005</v>
      </c>
      <c r="B11" s="460">
        <v>10619368.475</v>
      </c>
      <c r="C11" s="471">
        <v>8749538.195</v>
      </c>
      <c r="D11" s="20"/>
      <c r="E11" s="20" t="s">
        <v>996</v>
      </c>
      <c r="F11" s="471">
        <v>17969990.09</v>
      </c>
      <c r="G11" s="879">
        <v>14055978.103</v>
      </c>
      <c r="H11" s="20"/>
      <c r="I11" s="20"/>
      <c r="J11" s="20"/>
      <c r="K11" s="20"/>
      <c r="L11" s="20"/>
      <c r="M11" s="20"/>
      <c r="N11" s="20"/>
      <c r="O11" s="20"/>
      <c r="P11" s="20"/>
      <c r="Q11" s="20"/>
      <c r="R11" s="20"/>
      <c r="S11" s="20"/>
      <c r="T11" s="20"/>
      <c r="U11" s="20"/>
      <c r="V11" s="20"/>
      <c r="W11" s="20"/>
      <c r="X11" s="20"/>
      <c r="Y11" s="20"/>
      <c r="Z11" s="20"/>
      <c r="AA11" s="20"/>
      <c r="AB11" s="20"/>
      <c r="AC11" s="20"/>
      <c r="AD11" s="20"/>
      <c r="AE11" s="20"/>
    </row>
    <row r="12" spans="1:31" s="189" customFormat="1" ht="14.25">
      <c r="A12" s="413" t="s">
        <v>1006</v>
      </c>
      <c r="B12" s="460">
        <v>67783.331</v>
      </c>
      <c r="C12" s="471">
        <v>70152.445</v>
      </c>
      <c r="D12" s="20"/>
      <c r="E12" s="114" t="s">
        <v>997</v>
      </c>
      <c r="F12" s="471">
        <v>314173.005</v>
      </c>
      <c r="G12" s="879">
        <v>242630.733</v>
      </c>
      <c r="H12" s="20"/>
      <c r="I12" s="20"/>
      <c r="J12" s="20"/>
      <c r="K12" s="20"/>
      <c r="L12" s="20"/>
      <c r="M12" s="20"/>
      <c r="N12" s="20"/>
      <c r="O12" s="20"/>
      <c r="P12" s="20"/>
      <c r="Q12" s="20"/>
      <c r="R12" s="20"/>
      <c r="S12" s="20"/>
      <c r="T12" s="20"/>
      <c r="U12" s="20"/>
      <c r="V12" s="20"/>
      <c r="W12" s="20"/>
      <c r="X12" s="20"/>
      <c r="Y12" s="20"/>
      <c r="Z12" s="20"/>
      <c r="AA12" s="20"/>
      <c r="AB12" s="20"/>
      <c r="AC12" s="20"/>
      <c r="AD12" s="20"/>
      <c r="AE12" s="20"/>
    </row>
    <row r="13" spans="1:31" ht="14.25">
      <c r="A13" s="20" t="s">
        <v>992</v>
      </c>
      <c r="B13" s="460">
        <v>357664.586</v>
      </c>
      <c r="C13" s="471">
        <v>323966.176</v>
      </c>
      <c r="D13" s="20"/>
      <c r="E13" s="114" t="s">
        <v>1135</v>
      </c>
      <c r="F13" s="471">
        <v>664054.7</v>
      </c>
      <c r="G13" s="879">
        <v>445734.554</v>
      </c>
      <c r="H13" s="20"/>
      <c r="I13" s="20"/>
      <c r="J13" s="20"/>
      <c r="K13" s="20"/>
      <c r="L13" s="20"/>
      <c r="M13" s="20"/>
      <c r="N13" s="20"/>
      <c r="O13" s="20"/>
      <c r="P13" s="20"/>
      <c r="Q13" s="20"/>
      <c r="R13" s="20"/>
      <c r="S13" s="20"/>
      <c r="T13" s="20"/>
      <c r="U13" s="20"/>
      <c r="V13" s="20"/>
      <c r="W13" s="20"/>
      <c r="X13" s="20"/>
      <c r="Y13" s="20"/>
      <c r="Z13" s="20"/>
      <c r="AA13" s="20"/>
      <c r="AB13" s="20"/>
      <c r="AC13" s="20"/>
      <c r="AD13" s="20"/>
      <c r="AE13" s="20"/>
    </row>
    <row r="14" spans="1:31" s="749" customFormat="1" ht="14.25">
      <c r="A14" s="20" t="s">
        <v>1366</v>
      </c>
      <c r="B14" s="460">
        <v>21818.182</v>
      </c>
      <c r="C14" s="471">
        <v>0</v>
      </c>
      <c r="D14" s="20"/>
      <c r="E14" s="114"/>
      <c r="F14" s="471"/>
      <c r="G14" s="471"/>
      <c r="H14" s="20"/>
      <c r="I14" s="20"/>
      <c r="J14" s="20"/>
      <c r="K14" s="20"/>
      <c r="L14" s="20"/>
      <c r="M14" s="20"/>
      <c r="N14" s="20"/>
      <c r="O14" s="20"/>
      <c r="P14" s="20"/>
      <c r="Q14" s="20"/>
      <c r="R14" s="20"/>
      <c r="S14" s="20"/>
      <c r="T14" s="20"/>
      <c r="U14" s="20"/>
      <c r="V14" s="20"/>
      <c r="W14" s="20"/>
      <c r="X14" s="20"/>
      <c r="Y14" s="20"/>
      <c r="Z14" s="20"/>
      <c r="AA14" s="20"/>
      <c r="AB14" s="20"/>
      <c r="AC14" s="20"/>
      <c r="AD14" s="20"/>
      <c r="AE14" s="20"/>
    </row>
    <row r="15" spans="1:31" s="583" customFormat="1" ht="14.25">
      <c r="A15" s="20" t="s">
        <v>1133</v>
      </c>
      <c r="B15" s="460">
        <v>21818.184</v>
      </c>
      <c r="C15" s="471">
        <v>21818.183</v>
      </c>
      <c r="D15" s="20"/>
      <c r="E15" s="114"/>
      <c r="F15" s="114"/>
      <c r="G15" s="114"/>
      <c r="H15" s="20"/>
      <c r="I15" s="20"/>
      <c r="J15" s="20"/>
      <c r="K15" s="20"/>
      <c r="L15" s="20"/>
      <c r="M15" s="20"/>
      <c r="N15" s="20"/>
      <c r="O15" s="20"/>
      <c r="P15" s="20"/>
      <c r="Q15" s="20"/>
      <c r="R15" s="20"/>
      <c r="S15" s="20"/>
      <c r="T15" s="20"/>
      <c r="U15" s="20"/>
      <c r="V15" s="20"/>
      <c r="W15" s="20"/>
      <c r="X15" s="20"/>
      <c r="Y15" s="20"/>
      <c r="Z15" s="20"/>
      <c r="AA15" s="20"/>
      <c r="AB15" s="20"/>
      <c r="AC15" s="20"/>
      <c r="AD15" s="20"/>
      <c r="AE15" s="20"/>
    </row>
    <row r="16" spans="1:31" ht="14.25">
      <c r="A16" s="20" t="s">
        <v>993</v>
      </c>
      <c r="B16" s="460">
        <v>753.173</v>
      </c>
      <c r="C16" s="471">
        <v>9009.723</v>
      </c>
      <c r="D16" s="20"/>
      <c r="E16" s="20"/>
      <c r="F16" s="471"/>
      <c r="G16" s="471"/>
      <c r="H16" s="20"/>
      <c r="I16" s="20"/>
      <c r="J16" s="20"/>
      <c r="K16" s="20"/>
      <c r="L16" s="20"/>
      <c r="M16" s="20"/>
      <c r="N16" s="20"/>
      <c r="O16" s="20"/>
      <c r="P16" s="20"/>
      <c r="Q16" s="20"/>
      <c r="R16" s="20"/>
      <c r="S16" s="20"/>
      <c r="T16" s="20"/>
      <c r="U16" s="20"/>
      <c r="V16" s="20"/>
      <c r="W16" s="20"/>
      <c r="X16" s="20"/>
      <c r="Y16" s="20"/>
      <c r="Z16" s="20"/>
      <c r="AA16" s="20"/>
      <c r="AB16" s="20"/>
      <c r="AC16" s="20"/>
      <c r="AD16" s="20"/>
      <c r="AE16" s="20"/>
    </row>
    <row r="17" spans="1:31" s="645" customFormat="1" ht="14.25">
      <c r="A17" s="20" t="s">
        <v>1218</v>
      </c>
      <c r="B17" s="460">
        <v>2483.518</v>
      </c>
      <c r="C17" s="471">
        <v>0</v>
      </c>
      <c r="D17" s="20"/>
      <c r="E17" s="20"/>
      <c r="F17" s="471"/>
      <c r="G17" s="471"/>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1:31" ht="14.25">
      <c r="A18" s="114" t="s">
        <v>994</v>
      </c>
      <c r="B18" s="460">
        <v>4240.131</v>
      </c>
      <c r="C18" s="471">
        <v>43049.484</v>
      </c>
      <c r="D18" s="20"/>
      <c r="E18" s="138" t="s">
        <v>270</v>
      </c>
      <c r="F18" s="480">
        <f>SUM(F10:F16)</f>
        <v>23869457.718999997</v>
      </c>
      <c r="G18" s="480">
        <f>SUM($G9:G16)</f>
        <v>21808669.707000002</v>
      </c>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1:31" ht="14.25">
      <c r="A19" s="138" t="s">
        <v>158</v>
      </c>
      <c r="B19" s="480">
        <f>SUM($B10:B18)</f>
        <v>25245129.513</v>
      </c>
      <c r="C19" s="480">
        <f>SUM(C10:C18)</f>
        <v>21855839.406999998</v>
      </c>
      <c r="D19" s="20"/>
      <c r="H19" s="20"/>
      <c r="I19" s="20"/>
      <c r="J19" s="20"/>
      <c r="K19" s="20"/>
      <c r="L19" s="20"/>
      <c r="M19" s="20"/>
      <c r="N19" s="20"/>
      <c r="O19" s="20"/>
      <c r="P19" s="20"/>
      <c r="Q19" s="20"/>
      <c r="R19" s="20"/>
      <c r="S19" s="20"/>
      <c r="T19" s="20"/>
      <c r="U19" s="20"/>
      <c r="V19" s="20"/>
      <c r="W19" s="20"/>
      <c r="X19" s="20"/>
      <c r="Y19" s="20"/>
      <c r="Z19" s="20"/>
      <c r="AA19" s="20"/>
      <c r="AB19" s="20"/>
      <c r="AC19" s="20"/>
      <c r="AD19" s="20"/>
      <c r="AE19" s="20"/>
    </row>
    <row r="20" spans="1:3" ht="14.25">
      <c r="A20" s="20"/>
      <c r="B20" s="145"/>
      <c r="C20" s="145"/>
    </row>
    <row r="21" spans="2:31" ht="14.25">
      <c r="B21" s="482"/>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4:31" ht="14.25">
      <c r="D22" s="20"/>
      <c r="E22" s="20"/>
      <c r="F22" s="20"/>
      <c r="G22" s="470"/>
      <c r="H22" s="20"/>
      <c r="I22" s="20"/>
      <c r="J22" s="20"/>
      <c r="K22" s="20"/>
      <c r="L22" s="20"/>
      <c r="M22" s="20"/>
      <c r="N22" s="20"/>
      <c r="O22" s="20"/>
      <c r="P22" s="20"/>
      <c r="Q22" s="20"/>
      <c r="R22" s="20"/>
      <c r="S22" s="20"/>
      <c r="T22" s="20"/>
      <c r="U22" s="20"/>
      <c r="V22" s="20"/>
      <c r="W22" s="20"/>
      <c r="X22" s="20"/>
      <c r="Y22" s="20"/>
      <c r="Z22" s="20"/>
      <c r="AA22" s="20"/>
      <c r="AB22" s="20"/>
      <c r="AC22" s="20"/>
      <c r="AD22" s="20"/>
      <c r="AE22" s="20"/>
    </row>
    <row r="23" ht="14.25">
      <c r="B23" s="431"/>
    </row>
  </sheetData>
  <sheetProtection/>
  <hyperlinks>
    <hyperlink ref="E1" location="ER!A1" display="ER"/>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AB18"/>
  <sheetViews>
    <sheetView zoomScalePageLayoutView="0" workbookViewId="0" topLeftCell="A1">
      <selection activeCell="A13" sqref="A13"/>
    </sheetView>
  </sheetViews>
  <sheetFormatPr defaultColWidth="11.421875" defaultRowHeight="15"/>
  <cols>
    <col min="1" max="1" width="79.7109375" style="114" bestFit="1" customWidth="1"/>
    <col min="2" max="2" width="16.57421875" style="114" customWidth="1"/>
    <col min="3" max="3" width="18.421875" style="114" customWidth="1"/>
    <col min="4" max="25" width="11.421875" style="114" customWidth="1"/>
  </cols>
  <sheetData>
    <row r="1" spans="1:5" ht="14.25">
      <c r="A1" s="114" t="str">
        <f>Indice!C1</f>
        <v>NEGOFIN S.A.E.C.A.</v>
      </c>
      <c r="E1" s="133" t="s">
        <v>146</v>
      </c>
    </row>
    <row r="4" spans="1:28" s="318" customFormat="1" ht="15.75" customHeight="1">
      <c r="A4" s="322" t="s">
        <v>216</v>
      </c>
      <c r="B4" s="383"/>
      <c r="C4" s="383"/>
      <c r="D4" s="383"/>
      <c r="E4" s="383"/>
      <c r="F4" s="139"/>
      <c r="G4" s="142"/>
      <c r="H4" s="140"/>
      <c r="I4" s="114"/>
      <c r="J4" s="114"/>
      <c r="K4" s="114"/>
      <c r="L4" s="114"/>
      <c r="M4" s="114"/>
      <c r="N4" s="114"/>
      <c r="O4" s="114"/>
      <c r="P4" s="114"/>
      <c r="Q4" s="114"/>
      <c r="R4" s="114"/>
      <c r="S4" s="114"/>
      <c r="T4" s="114"/>
      <c r="U4" s="114"/>
      <c r="V4" s="114"/>
      <c r="W4" s="114"/>
      <c r="X4" s="114"/>
      <c r="Y4" s="114"/>
      <c r="Z4" s="114"/>
      <c r="AA4" s="114"/>
      <c r="AB4" s="114"/>
    </row>
    <row r="5" spans="1:28" s="189" customFormat="1" ht="15.75" customHeight="1">
      <c r="A5" s="384" t="s">
        <v>259</v>
      </c>
      <c r="B5" s="384"/>
      <c r="C5" s="214"/>
      <c r="D5" s="214"/>
      <c r="E5" s="214"/>
      <c r="F5" s="139"/>
      <c r="G5" s="142"/>
      <c r="H5" s="140"/>
      <c r="I5" s="114"/>
      <c r="J5" s="114"/>
      <c r="K5" s="114"/>
      <c r="L5" s="114"/>
      <c r="M5" s="114"/>
      <c r="N5" s="114"/>
      <c r="O5" s="114"/>
      <c r="P5" s="114"/>
      <c r="Q5" s="114"/>
      <c r="R5" s="114"/>
      <c r="S5" s="114"/>
      <c r="T5" s="114"/>
      <c r="U5" s="114"/>
      <c r="V5" s="114"/>
      <c r="W5" s="114"/>
      <c r="X5" s="114"/>
      <c r="Y5" s="114"/>
      <c r="Z5" s="114"/>
      <c r="AA5" s="114"/>
      <c r="AB5" s="114"/>
    </row>
    <row r="6" spans="1:28" ht="14.25">
      <c r="A6" s="139" t="s">
        <v>1116</v>
      </c>
      <c r="B6" s="981"/>
      <c r="C6" s="981"/>
      <c r="D6" s="140"/>
      <c r="E6" s="140"/>
      <c r="F6" s="139"/>
      <c r="G6" s="142"/>
      <c r="H6" s="140"/>
      <c r="Z6" s="114"/>
      <c r="AA6" s="114"/>
      <c r="AB6" s="114"/>
    </row>
    <row r="7" spans="1:28" ht="14.25">
      <c r="A7" s="139"/>
      <c r="D7" s="140"/>
      <c r="E7" s="140"/>
      <c r="F7" s="139"/>
      <c r="G7" s="142"/>
      <c r="H7" s="140"/>
      <c r="Z7" s="114"/>
      <c r="AA7" s="114"/>
      <c r="AB7" s="114"/>
    </row>
    <row r="8" spans="1:28" ht="14.25">
      <c r="A8" s="143" t="s">
        <v>160</v>
      </c>
      <c r="B8" s="359">
        <f>_xlfn.IFERROR(IF(Indice!B6="","2XX2",YEAR(Indice!B6)),"2XX2")</f>
        <v>2022</v>
      </c>
      <c r="C8" s="359">
        <f>+_xlfn.IFERROR(YEAR(Indice!B6-365),"2XX1")</f>
        <v>2021</v>
      </c>
      <c r="D8" s="140"/>
      <c r="E8" s="140"/>
      <c r="F8" s="139"/>
      <c r="G8" s="142"/>
      <c r="H8" s="140"/>
      <c r="Z8" s="114"/>
      <c r="AA8" s="114"/>
      <c r="AB8" s="114"/>
    </row>
    <row r="9" spans="1:28" ht="14.25">
      <c r="A9" s="139" t="s">
        <v>152</v>
      </c>
      <c r="B9" s="139"/>
      <c r="C9" s="139"/>
      <c r="D9" s="140"/>
      <c r="E9" s="140"/>
      <c r="F9" s="139"/>
      <c r="G9" s="142"/>
      <c r="H9" s="140"/>
      <c r="Z9" s="114"/>
      <c r="AA9" s="114"/>
      <c r="AB9" s="114"/>
    </row>
    <row r="10" spans="1:28" ht="14.25">
      <c r="A10" s="139"/>
      <c r="B10" s="139"/>
      <c r="C10" s="139"/>
      <c r="D10" s="140"/>
      <c r="E10" s="140"/>
      <c r="F10" s="139"/>
      <c r="G10" s="142"/>
      <c r="H10" s="140"/>
      <c r="Z10" s="114"/>
      <c r="AA10" s="114"/>
      <c r="AB10" s="114"/>
    </row>
    <row r="11" spans="1:28" ht="14.25">
      <c r="A11" s="139"/>
      <c r="B11" s="139"/>
      <c r="C11" s="139"/>
      <c r="D11" s="140"/>
      <c r="E11" s="140"/>
      <c r="F11" s="139"/>
      <c r="G11" s="142"/>
      <c r="H11" s="140"/>
      <c r="Z11" s="114"/>
      <c r="AA11" s="114"/>
      <c r="AB11" s="114"/>
    </row>
    <row r="12" spans="1:28" ht="14.25">
      <c r="A12" s="139"/>
      <c r="B12" s="139"/>
      <c r="C12" s="139"/>
      <c r="D12" s="140"/>
      <c r="E12" s="140"/>
      <c r="F12" s="139"/>
      <c r="G12" s="142"/>
      <c r="H12" s="140"/>
      <c r="Z12" s="114"/>
      <c r="AA12" s="114"/>
      <c r="AB12" s="114"/>
    </row>
    <row r="13" spans="1:28" ht="14.25">
      <c r="A13" s="139"/>
      <c r="B13" s="139"/>
      <c r="C13" s="139"/>
      <c r="D13" s="140"/>
      <c r="E13" s="140"/>
      <c r="F13" s="139"/>
      <c r="G13" s="142"/>
      <c r="H13" s="140"/>
      <c r="Z13" s="114"/>
      <c r="AA13" s="114"/>
      <c r="AB13" s="114"/>
    </row>
    <row r="14" spans="1:28" ht="14.25">
      <c r="A14" s="139"/>
      <c r="B14" s="141"/>
      <c r="C14" s="139"/>
      <c r="D14" s="140"/>
      <c r="E14" s="140"/>
      <c r="F14" s="139"/>
      <c r="G14" s="142"/>
      <c r="H14" s="140"/>
      <c r="Z14" s="114"/>
      <c r="AA14" s="114"/>
      <c r="AB14" s="114"/>
    </row>
    <row r="15" spans="1:28" ht="14.25">
      <c r="A15" s="139"/>
      <c r="B15" s="141"/>
      <c r="C15" s="139"/>
      <c r="D15" s="140"/>
      <c r="E15" s="140"/>
      <c r="F15" s="139"/>
      <c r="G15" s="142"/>
      <c r="H15" s="140"/>
      <c r="Z15" s="114"/>
      <c r="AA15" s="114"/>
      <c r="AB15" s="114"/>
    </row>
    <row r="16" spans="1:28" ht="14.25">
      <c r="A16" s="143" t="s">
        <v>3</v>
      </c>
      <c r="B16" s="144">
        <f>SUM($B9:B15)</f>
        <v>0</v>
      </c>
      <c r="C16" s="144">
        <f>SUM($C9:C15)</f>
        <v>0</v>
      </c>
      <c r="D16" s="140"/>
      <c r="E16" s="140"/>
      <c r="F16" s="139"/>
      <c r="G16" s="142"/>
      <c r="H16" s="140"/>
      <c r="Z16" s="114"/>
      <c r="AA16" s="114"/>
      <c r="AB16" s="114"/>
    </row>
    <row r="17" spans="1:28" ht="14.25">
      <c r="A17" s="139"/>
      <c r="B17" s="141"/>
      <c r="C17" s="140"/>
      <c r="D17" s="140"/>
      <c r="E17" s="140"/>
      <c r="F17" s="139"/>
      <c r="G17" s="142"/>
      <c r="H17" s="140"/>
      <c r="Z17" s="114"/>
      <c r="AA17" s="114"/>
      <c r="AB17" s="114"/>
    </row>
    <row r="18" ht="14.25">
      <c r="A18" s="625"/>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V17"/>
  <sheetViews>
    <sheetView zoomScalePageLayoutView="0" workbookViewId="0" topLeftCell="A1">
      <selection activeCell="H18" sqref="H18"/>
    </sheetView>
  </sheetViews>
  <sheetFormatPr defaultColWidth="11.421875" defaultRowHeight="15"/>
  <cols>
    <col min="1" max="1" width="38.00390625" style="114" customWidth="1"/>
    <col min="2" max="2" width="18.421875" style="114" customWidth="1"/>
    <col min="3" max="3" width="17.7109375" style="114" customWidth="1"/>
    <col min="4" max="22" width="11.421875" style="114" customWidth="1"/>
  </cols>
  <sheetData>
    <row r="1" spans="1:5" ht="14.25">
      <c r="A1" s="114" t="str">
        <f>Indice!C1</f>
        <v>NEGOFIN S.A.E.C.A.</v>
      </c>
      <c r="E1" s="133" t="s">
        <v>146</v>
      </c>
    </row>
    <row r="4" spans="1:8" ht="14.25">
      <c r="A4" s="322" t="s">
        <v>345</v>
      </c>
      <c r="B4" s="322"/>
      <c r="C4" s="322"/>
      <c r="D4" s="322"/>
      <c r="E4" s="322"/>
      <c r="F4" s="139"/>
      <c r="G4" s="142"/>
      <c r="H4" s="140"/>
    </row>
    <row r="5" spans="1:8" ht="14.25">
      <c r="A5" s="982" t="s">
        <v>259</v>
      </c>
      <c r="B5" s="982"/>
      <c r="C5" s="140"/>
      <c r="D5" s="140"/>
      <c r="E5" s="140"/>
      <c r="F5" s="139"/>
      <c r="G5" s="142"/>
      <c r="H5" s="140"/>
    </row>
    <row r="6" spans="1:22" s="189" customFormat="1" ht="14.25">
      <c r="A6" s="139" t="s">
        <v>1116</v>
      </c>
      <c r="B6" s="981"/>
      <c r="C6" s="981"/>
      <c r="D6" s="140"/>
      <c r="E6" s="140"/>
      <c r="F6" s="139"/>
      <c r="G6" s="142"/>
      <c r="H6" s="140"/>
      <c r="I6" s="114"/>
      <c r="J6" s="114"/>
      <c r="K6" s="114"/>
      <c r="L6" s="114"/>
      <c r="M6" s="114"/>
      <c r="N6" s="114"/>
      <c r="O6" s="114"/>
      <c r="P6" s="114"/>
      <c r="Q6" s="114"/>
      <c r="R6" s="114"/>
      <c r="S6" s="114"/>
      <c r="T6" s="114"/>
      <c r="U6" s="114"/>
      <c r="V6" s="114"/>
    </row>
    <row r="7" spans="1:8" ht="14.25">
      <c r="A7" s="139"/>
      <c r="D7" s="140"/>
      <c r="E7" s="140"/>
      <c r="F7" s="139"/>
      <c r="G7" s="142"/>
      <c r="H7" s="140"/>
    </row>
    <row r="8" spans="1:8" ht="14.25">
      <c r="A8" s="143" t="s">
        <v>161</v>
      </c>
      <c r="B8" s="359">
        <f>_xlfn.IFERROR(IF(Indice!B6="","2XX2",YEAR(Indice!B6)),"2XX2")</f>
        <v>2022</v>
      </c>
      <c r="C8" s="359">
        <f>+_xlfn.IFERROR(YEAR(Indice!B6-365),"2XX1")</f>
        <v>2021</v>
      </c>
      <c r="D8" s="140"/>
      <c r="E8" s="140"/>
      <c r="F8" s="139"/>
      <c r="G8" s="142"/>
      <c r="H8" s="140"/>
    </row>
    <row r="9" spans="1:8" ht="14.25">
      <c r="A9" s="139" t="s">
        <v>152</v>
      </c>
      <c r="B9" s="139"/>
      <c r="C9" s="139"/>
      <c r="D9" s="140"/>
      <c r="E9" s="140"/>
      <c r="F9" s="139"/>
      <c r="G9" s="142"/>
      <c r="H9" s="140"/>
    </row>
    <row r="10" spans="1:8" ht="14.25">
      <c r="A10" s="139"/>
      <c r="B10" s="139"/>
      <c r="C10" s="139"/>
      <c r="D10" s="140"/>
      <c r="E10" s="140"/>
      <c r="F10" s="139"/>
      <c r="G10" s="142"/>
      <c r="H10" s="140"/>
    </row>
    <row r="11" spans="1:8" ht="14.25">
      <c r="A11" s="139"/>
      <c r="B11" s="139"/>
      <c r="C11" s="139"/>
      <c r="D11" s="140"/>
      <c r="E11" s="140"/>
      <c r="F11" s="139"/>
      <c r="G11" s="142"/>
      <c r="H11" s="140"/>
    </row>
    <row r="12" spans="1:8" ht="14.25">
      <c r="A12" s="139"/>
      <c r="B12" s="139"/>
      <c r="C12" s="139"/>
      <c r="D12" s="140"/>
      <c r="E12" s="140"/>
      <c r="F12" s="139"/>
      <c r="G12" s="142"/>
      <c r="H12" s="140"/>
    </row>
    <row r="13" spans="1:8" ht="14.25">
      <c r="A13" s="139"/>
      <c r="B13" s="139"/>
      <c r="C13" s="139"/>
      <c r="D13" s="140"/>
      <c r="E13" s="140"/>
      <c r="F13" s="139"/>
      <c r="G13" s="142"/>
      <c r="H13" s="140"/>
    </row>
    <row r="14" spans="1:8" ht="14.25">
      <c r="A14" s="139"/>
      <c r="B14" s="141"/>
      <c r="C14" s="139"/>
      <c r="D14" s="140"/>
      <c r="E14" s="140"/>
      <c r="F14" s="139"/>
      <c r="G14" s="142"/>
      <c r="H14" s="140"/>
    </row>
    <row r="15" spans="1:8" ht="14.25">
      <c r="A15" s="139"/>
      <c r="B15" s="141"/>
      <c r="C15" s="139"/>
      <c r="D15" s="140"/>
      <c r="E15" s="140"/>
      <c r="F15" s="139"/>
      <c r="G15" s="142"/>
      <c r="H15" s="140"/>
    </row>
    <row r="16" spans="1:8" ht="14.25">
      <c r="A16" s="143" t="s">
        <v>3</v>
      </c>
      <c r="B16" s="144">
        <f>SUM($B9:B15)</f>
        <v>0</v>
      </c>
      <c r="C16" s="144">
        <f>SUM($C9:C15)</f>
        <v>0</v>
      </c>
      <c r="D16" s="140"/>
      <c r="E16" s="140"/>
      <c r="F16" s="139"/>
      <c r="G16" s="142"/>
      <c r="H16" s="140"/>
    </row>
    <row r="17" spans="1:8" ht="14.25">
      <c r="A17" s="139"/>
      <c r="B17" s="141"/>
      <c r="C17" s="140"/>
      <c r="D17" s="140"/>
      <c r="E17" s="140"/>
      <c r="F17" s="139"/>
      <c r="G17" s="142"/>
      <c r="H17" s="140"/>
    </row>
  </sheetData>
  <sheetProtection/>
  <mergeCells count="2">
    <mergeCell ref="A5:B5"/>
    <mergeCell ref="B6:C6"/>
  </mergeCells>
  <hyperlinks>
    <hyperlink ref="E1" location="ER!A1" display="ER"/>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G10"/>
  <sheetViews>
    <sheetView zoomScale="89" zoomScaleNormal="89" zoomScalePageLayoutView="0" workbookViewId="0" topLeftCell="A1">
      <selection activeCell="A21" sqref="A21"/>
    </sheetView>
  </sheetViews>
  <sheetFormatPr defaultColWidth="11.421875" defaultRowHeight="15"/>
  <cols>
    <col min="1" max="1" width="37.421875" style="114" customWidth="1"/>
    <col min="2" max="3" width="17.28125" style="114" customWidth="1"/>
    <col min="4" max="26" width="11.421875" style="114" customWidth="1"/>
  </cols>
  <sheetData>
    <row r="1" spans="1:5" ht="14.25">
      <c r="A1" s="114" t="str">
        <f>Indice!C1</f>
        <v>NEGOFIN S.A.E.C.A.</v>
      </c>
      <c r="E1" s="133" t="s">
        <v>146</v>
      </c>
    </row>
    <row r="4" spans="1:7" ht="14.25">
      <c r="A4" s="326" t="s">
        <v>347</v>
      </c>
      <c r="B4" s="326"/>
      <c r="C4" s="326"/>
      <c r="D4" s="326"/>
      <c r="E4" s="326"/>
      <c r="F4" s="139"/>
      <c r="G4" s="142"/>
    </row>
    <row r="5" spans="1:7" ht="14.25">
      <c r="A5" s="342" t="s">
        <v>241</v>
      </c>
      <c r="B5" s="141"/>
      <c r="C5" s="140"/>
      <c r="D5" s="140"/>
      <c r="E5" s="140"/>
      <c r="F5" s="139"/>
      <c r="G5" s="142"/>
    </row>
    <row r="6" spans="1:7" ht="14.25">
      <c r="A6" s="139"/>
      <c r="B6" s="981"/>
      <c r="C6" s="981"/>
      <c r="D6" s="140"/>
      <c r="E6" s="140"/>
      <c r="F6" s="139"/>
      <c r="G6" s="142"/>
    </row>
    <row r="7" spans="2:7" ht="14.25">
      <c r="B7" s="359">
        <f>_xlfn.IFERROR(IF(Indice!B6="","2XX2",YEAR(Indice!B6)),"2XX2")</f>
        <v>2022</v>
      </c>
      <c r="C7" s="359">
        <f>+_xlfn.IFERROR(YEAR(Indice!B6-365),"2XX1")</f>
        <v>2021</v>
      </c>
      <c r="D7" s="140"/>
      <c r="E7" s="140"/>
      <c r="F7" s="139"/>
      <c r="G7" s="142"/>
    </row>
    <row r="8" spans="1:7" ht="14.25">
      <c r="A8" s="143" t="s">
        <v>46</v>
      </c>
      <c r="B8" s="481">
        <v>14784413.465</v>
      </c>
      <c r="C8" s="481">
        <v>13777274</v>
      </c>
      <c r="D8" s="140"/>
      <c r="E8" s="140"/>
      <c r="F8" s="139"/>
      <c r="G8" s="142"/>
    </row>
    <row r="9" spans="1:7" ht="14.25">
      <c r="A9" s="143" t="s">
        <v>3</v>
      </c>
      <c r="B9" s="480">
        <f>SUM($B8:B8)</f>
        <v>14784413.465</v>
      </c>
      <c r="C9" s="480">
        <f>SUM($C8:C8)</f>
        <v>13777274</v>
      </c>
      <c r="D9" s="140"/>
      <c r="E9" s="140"/>
      <c r="F9" s="139"/>
      <c r="G9" s="142"/>
    </row>
    <row r="10" spans="1:7" ht="14.25">
      <c r="A10" s="139"/>
      <c r="B10" s="141"/>
      <c r="C10" s="140"/>
      <c r="D10" s="140"/>
      <c r="E10" s="140"/>
      <c r="F10" s="139"/>
      <c r="G10" s="142"/>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H16"/>
  <sheetViews>
    <sheetView zoomScalePageLayoutView="0" workbookViewId="0" topLeftCell="A1">
      <selection activeCell="C18" sqref="C18"/>
    </sheetView>
  </sheetViews>
  <sheetFormatPr defaultColWidth="11.421875" defaultRowHeight="15"/>
  <cols>
    <col min="1" max="1" width="27.140625" style="114" customWidth="1"/>
    <col min="2" max="2" width="18.421875" style="114" customWidth="1"/>
    <col min="3" max="3" width="17.8515625" style="114" customWidth="1"/>
    <col min="4" max="22" width="11.421875" style="114" customWidth="1"/>
  </cols>
  <sheetData>
    <row r="1" spans="1:5" ht="14.25">
      <c r="A1" s="114" t="str">
        <f>Indice!C1</f>
        <v>NEGOFIN S.A.E.C.A.</v>
      </c>
      <c r="E1" s="133" t="s">
        <v>146</v>
      </c>
    </row>
    <row r="4" spans="1:8" ht="14.25">
      <c r="A4" s="322" t="s">
        <v>346</v>
      </c>
      <c r="B4" s="322"/>
      <c r="C4" s="322"/>
      <c r="D4" s="322"/>
      <c r="E4" s="322"/>
      <c r="F4" s="139"/>
      <c r="G4" s="142"/>
      <c r="H4" s="140"/>
    </row>
    <row r="5" spans="1:8" ht="14.25">
      <c r="A5" s="983" t="s">
        <v>241</v>
      </c>
      <c r="B5" s="983"/>
      <c r="C5" s="140"/>
      <c r="D5" s="140"/>
      <c r="E5" s="140"/>
      <c r="F5" s="139"/>
      <c r="G5" s="142"/>
      <c r="H5" s="140"/>
    </row>
    <row r="6" spans="1:8" ht="14.25">
      <c r="A6" s="139" t="s">
        <v>1116</v>
      </c>
      <c r="D6" s="140"/>
      <c r="E6" s="140"/>
      <c r="F6" s="139"/>
      <c r="G6" s="142"/>
      <c r="H6" s="140"/>
    </row>
    <row r="7" spans="2:8" ht="14.25">
      <c r="B7" s="359">
        <f>_xlfn.IFERROR(IF(Indice!B6="","2XX2",YEAR(Indice!B6)),"2XX2")</f>
        <v>2022</v>
      </c>
      <c r="C7" s="359">
        <f>+_xlfn.IFERROR(YEAR(Indice!B6-365),"2XX1")</f>
        <v>2021</v>
      </c>
      <c r="D7" s="140"/>
      <c r="E7" s="140"/>
      <c r="F7" s="139"/>
      <c r="G7" s="142"/>
      <c r="H7" s="140"/>
    </row>
    <row r="8" spans="1:8" ht="14.25">
      <c r="A8" s="143" t="s">
        <v>864</v>
      </c>
      <c r="D8" s="140"/>
      <c r="E8" s="140"/>
      <c r="F8" s="139"/>
      <c r="G8" s="142"/>
      <c r="H8" s="140"/>
    </row>
    <row r="9" spans="1:8" ht="14.25">
      <c r="A9" s="343" t="s">
        <v>865</v>
      </c>
      <c r="B9" s="139"/>
      <c r="C9" s="139"/>
      <c r="D9" s="140"/>
      <c r="E9" s="140"/>
      <c r="F9" s="139"/>
      <c r="G9" s="142"/>
      <c r="H9" s="140"/>
    </row>
    <row r="10" spans="1:8" ht="14.25">
      <c r="A10" s="139"/>
      <c r="B10" s="139"/>
      <c r="C10" s="139"/>
      <c r="D10" s="140"/>
      <c r="E10" s="140"/>
      <c r="F10" s="139"/>
      <c r="G10" s="142"/>
      <c r="H10" s="140"/>
    </row>
    <row r="11" spans="1:8" ht="14.25">
      <c r="A11" s="139"/>
      <c r="B11" s="139"/>
      <c r="C11" s="139"/>
      <c r="D11" s="140"/>
      <c r="E11" s="140"/>
      <c r="F11" s="139"/>
      <c r="G11" s="142"/>
      <c r="H11" s="140"/>
    </row>
    <row r="12" spans="1:8" ht="14.25">
      <c r="A12" s="139"/>
      <c r="B12" s="139"/>
      <c r="C12" s="139"/>
      <c r="D12" s="140"/>
      <c r="E12" s="140"/>
      <c r="F12" s="139"/>
      <c r="G12" s="142"/>
      <c r="H12" s="140"/>
    </row>
    <row r="13" spans="1:8" ht="14.25">
      <c r="A13" s="139"/>
      <c r="B13" s="141"/>
      <c r="C13" s="139"/>
      <c r="D13" s="140"/>
      <c r="E13" s="140"/>
      <c r="F13" s="139"/>
      <c r="G13" s="142"/>
      <c r="H13" s="140"/>
    </row>
    <row r="14" spans="1:8" ht="14.25">
      <c r="A14" s="139"/>
      <c r="B14" s="141"/>
      <c r="C14" s="139"/>
      <c r="D14" s="140"/>
      <c r="E14" s="140"/>
      <c r="F14" s="139"/>
      <c r="G14" s="142"/>
      <c r="H14" s="140"/>
    </row>
    <row r="15" spans="1:8" ht="14.25">
      <c r="A15" s="139" t="s">
        <v>3</v>
      </c>
      <c r="B15" s="144">
        <f>SUM($B8:B14)</f>
        <v>0</v>
      </c>
      <c r="C15" s="144">
        <f>SUM($C8:C14)</f>
        <v>0</v>
      </c>
      <c r="D15" s="140"/>
      <c r="E15" s="140"/>
      <c r="F15" s="139"/>
      <c r="G15" s="142"/>
      <c r="H15" s="140"/>
    </row>
    <row r="16" spans="1:8" ht="14.25">
      <c r="A16" s="139"/>
      <c r="B16" s="141"/>
      <c r="C16" s="140"/>
      <c r="D16" s="140"/>
      <c r="E16" s="140"/>
      <c r="F16" s="139"/>
      <c r="G16" s="142"/>
      <c r="H16" s="140"/>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H13"/>
  <sheetViews>
    <sheetView zoomScalePageLayoutView="0" workbookViewId="0" topLeftCell="A1">
      <selection activeCell="C18" sqref="C18"/>
    </sheetView>
  </sheetViews>
  <sheetFormatPr defaultColWidth="11.421875" defaultRowHeight="15"/>
  <cols>
    <col min="1" max="1" width="51.28125" style="114" customWidth="1"/>
    <col min="2" max="2" width="18.140625" style="114" customWidth="1"/>
    <col min="3" max="3" width="17.57421875" style="114" customWidth="1"/>
    <col min="4" max="22" width="11.421875" style="114" customWidth="1"/>
  </cols>
  <sheetData>
    <row r="1" spans="1:5" ht="14.25">
      <c r="A1" s="114" t="str">
        <f>Indice!C1</f>
        <v>NEGOFIN S.A.E.C.A.</v>
      </c>
      <c r="E1" s="133" t="s">
        <v>146</v>
      </c>
    </row>
    <row r="4" spans="1:8" ht="14.25">
      <c r="A4" s="322" t="s">
        <v>348</v>
      </c>
      <c r="B4" s="322"/>
      <c r="C4" s="322"/>
      <c r="D4" s="322"/>
      <c r="E4" s="322"/>
      <c r="F4" s="139"/>
      <c r="G4" s="142"/>
      <c r="H4" s="140"/>
    </row>
    <row r="5" spans="1:8" ht="14.25">
      <c r="A5" s="983" t="s">
        <v>241</v>
      </c>
      <c r="B5" s="983"/>
      <c r="C5" s="140"/>
      <c r="D5" s="140"/>
      <c r="E5" s="140"/>
      <c r="F5" s="139"/>
      <c r="G5" s="142"/>
      <c r="H5" s="140"/>
    </row>
    <row r="6" spans="1:8" ht="14.25">
      <c r="A6" s="139" t="s">
        <v>1116</v>
      </c>
      <c r="D6" s="140"/>
      <c r="E6" s="140"/>
      <c r="F6" s="139"/>
      <c r="G6" s="142"/>
      <c r="H6" s="140"/>
    </row>
    <row r="7" spans="1:8" ht="26.25">
      <c r="A7" s="146" t="s">
        <v>73</v>
      </c>
      <c r="B7" s="359">
        <f>_xlfn.IFERROR(IF(Indice!B6="","2XX2",YEAR(Indice!B6)),"2XX2")</f>
        <v>2022</v>
      </c>
      <c r="C7" s="359">
        <f>+_xlfn.IFERROR(YEAR(Indice!B6-365),"2XX1")</f>
        <v>2021</v>
      </c>
      <c r="D7" s="140"/>
      <c r="E7" s="140"/>
      <c r="F7" s="139"/>
      <c r="G7" s="142"/>
      <c r="H7" s="140"/>
    </row>
    <row r="8" spans="4:8" ht="14.25">
      <c r="D8" s="140"/>
      <c r="E8" s="140"/>
      <c r="F8" s="139"/>
      <c r="G8" s="142"/>
      <c r="H8" s="140"/>
    </row>
    <row r="9" spans="1:8" ht="14.25">
      <c r="A9" s="139" t="s">
        <v>870</v>
      </c>
      <c r="B9" s="139"/>
      <c r="C9" s="139"/>
      <c r="D9" s="140"/>
      <c r="E9" s="140"/>
      <c r="F9" s="139"/>
      <c r="G9" s="142"/>
      <c r="H9" s="140"/>
    </row>
    <row r="10" spans="1:8" ht="14.25">
      <c r="A10" s="139" t="s">
        <v>61</v>
      </c>
      <c r="B10" s="139"/>
      <c r="C10" s="139"/>
      <c r="D10" s="140"/>
      <c r="E10" s="140"/>
      <c r="F10" s="139"/>
      <c r="G10" s="142"/>
      <c r="H10" s="140"/>
    </row>
    <row r="11" spans="1:8" ht="14.25">
      <c r="A11" s="242" t="s">
        <v>349</v>
      </c>
      <c r="B11" s="139"/>
      <c r="C11" s="139"/>
      <c r="D11" s="140"/>
      <c r="E11" s="140"/>
      <c r="F11" s="139"/>
      <c r="G11" s="142"/>
      <c r="H11" s="140"/>
    </row>
    <row r="12" spans="1:8" ht="14.25">
      <c r="A12" s="139" t="s">
        <v>3</v>
      </c>
      <c r="B12" s="144">
        <f>SUM($B8:B11)</f>
        <v>0</v>
      </c>
      <c r="C12" s="144">
        <f>SUM($C8:C11)</f>
        <v>0</v>
      </c>
      <c r="D12" s="140"/>
      <c r="E12" s="140"/>
      <c r="F12" s="139"/>
      <c r="G12" s="142"/>
      <c r="H12" s="140"/>
    </row>
    <row r="13" spans="1:8" ht="14.25">
      <c r="A13" s="139"/>
      <c r="B13" s="141"/>
      <c r="C13" s="140"/>
      <c r="D13" s="140"/>
      <c r="E13" s="140"/>
      <c r="F13" s="139"/>
      <c r="G13" s="142"/>
      <c r="H13" s="140"/>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H47"/>
  <sheetViews>
    <sheetView showGridLines="0" zoomScaleSheetLayoutView="70" zoomScalePageLayoutView="0" workbookViewId="0" topLeftCell="A10">
      <selection activeCell="D31" sqref="D31"/>
    </sheetView>
  </sheetViews>
  <sheetFormatPr defaultColWidth="11.421875" defaultRowHeight="15"/>
  <cols>
    <col min="1" max="1" width="66.00390625" style="29" customWidth="1"/>
    <col min="2" max="2" width="12.7109375" style="187" customWidth="1"/>
    <col min="3" max="3" width="25.421875" style="332" customWidth="1"/>
    <col min="4" max="4" width="24.7109375" style="332" customWidth="1"/>
    <col min="5" max="5" width="11.421875" style="2" customWidth="1"/>
    <col min="6" max="6" width="12.00390625" style="2" bestFit="1" customWidth="1"/>
    <col min="7" max="16384" width="11.421875" style="2" customWidth="1"/>
  </cols>
  <sheetData>
    <row r="1" spans="1:4" ht="14.25">
      <c r="A1" s="29" t="str">
        <f>Indice!C1</f>
        <v>NEGOFIN S.A.E.C.A.</v>
      </c>
      <c r="B1" s="188" t="s">
        <v>384</v>
      </c>
      <c r="D1" s="332" t="str">
        <f>'ER'!A4</f>
        <v> </v>
      </c>
    </row>
    <row r="4" ht="12.75">
      <c r="A4" s="29" t="s">
        <v>45</v>
      </c>
    </row>
    <row r="6" spans="1:3" ht="12.75">
      <c r="A6" s="65"/>
      <c r="B6" s="195"/>
      <c r="C6" s="333"/>
    </row>
    <row r="7" spans="1:4" ht="12.75">
      <c r="A7" s="886" t="s">
        <v>298</v>
      </c>
      <c r="B7" s="886"/>
      <c r="C7" s="886"/>
      <c r="D7" s="886"/>
    </row>
    <row r="8" spans="1:4" ht="12.75">
      <c r="A8" s="886" t="str">
        <f>_xlfn.IFERROR(IF(Indice!B6="","Al dia... de mes… de año 2XX2…","Al "&amp;DAY(Indice!B6)&amp;" de "&amp;VLOOKUP(MONTH(Indice!B6),Indice!S:T,2,0)&amp;" de "&amp;YEAR(Indice!B6)),"Al dia... de mes… de año 2XX2…")</f>
        <v>Al 31 de Diciembre de 2022</v>
      </c>
      <c r="B8" s="886"/>
      <c r="C8" s="886"/>
      <c r="D8" s="886"/>
    </row>
    <row r="9" spans="1:4" ht="12.75">
      <c r="A9" s="903" t="s">
        <v>299</v>
      </c>
      <c r="B9" s="903"/>
      <c r="C9" s="903"/>
      <c r="D9" s="903"/>
    </row>
    <row r="10" spans="1:4" ht="12.75">
      <c r="A10" s="903" t="s">
        <v>257</v>
      </c>
      <c r="B10" s="903"/>
      <c r="C10" s="903"/>
      <c r="D10" s="903"/>
    </row>
    <row r="11" spans="1:3" ht="12.75">
      <c r="A11" s="94"/>
      <c r="B11" s="206"/>
      <c r="C11" s="331"/>
    </row>
    <row r="12" spans="1:4" ht="15.75">
      <c r="A12" s="98"/>
      <c r="B12" s="190" t="s">
        <v>218</v>
      </c>
      <c r="C12" s="309">
        <f>_xlfn.IFERROR(IF(Indice!B6="","2XX2",YEAR(Indice!B6)),"2XX2")</f>
        <v>2022</v>
      </c>
      <c r="D12" s="309">
        <f>_xlfn.IFERROR(YEAR(Indice!B6-365),"2XX1")</f>
        <v>2021</v>
      </c>
    </row>
    <row r="13" spans="1:8" ht="14.25">
      <c r="A13" t="s">
        <v>62</v>
      </c>
      <c r="B13" s="205">
        <v>25</v>
      </c>
      <c r="C13" s="330">
        <f>'Nota 25'!B26</f>
        <v>370471278.207</v>
      </c>
      <c r="D13" s="330">
        <f>'Nota 25'!C26</f>
        <v>287732720.022</v>
      </c>
      <c r="F13" s="483"/>
      <c r="G13" s="483"/>
      <c r="H13" s="483"/>
    </row>
    <row r="14" spans="1:8" ht="14.25">
      <c r="A14" t="s">
        <v>154</v>
      </c>
      <c r="B14" s="205">
        <v>26</v>
      </c>
      <c r="C14" s="330">
        <f>'Nota 26'!B21</f>
        <v>129053093.339</v>
      </c>
      <c r="D14" s="330">
        <f>'Nota 26'!C21</f>
        <v>96302749.445</v>
      </c>
      <c r="F14" s="649"/>
      <c r="G14" s="483"/>
      <c r="H14" s="483"/>
    </row>
    <row r="15" spans="1:8" ht="12.75">
      <c r="A15" s="65" t="s">
        <v>71</v>
      </c>
      <c r="B15" s="195"/>
      <c r="C15" s="331">
        <f>C13-C14</f>
        <v>241418184.86800003</v>
      </c>
      <c r="D15" s="331">
        <f>D13-D14</f>
        <v>191429970.57700002</v>
      </c>
      <c r="F15" s="483"/>
      <c r="H15" s="483"/>
    </row>
    <row r="16" spans="1:8" ht="14.25">
      <c r="A16" t="s">
        <v>258</v>
      </c>
      <c r="B16" s="205">
        <v>27</v>
      </c>
      <c r="C16" s="330">
        <f>'Nota 27'!B35</f>
        <v>278210.076</v>
      </c>
      <c r="D16" s="330">
        <f>'Nota 27'!E35</f>
        <v>156421.533</v>
      </c>
      <c r="F16" s="483"/>
      <c r="G16" s="483"/>
      <c r="H16" s="483"/>
    </row>
    <row r="17" spans="1:8" ht="14.25">
      <c r="A17" s="189" t="s">
        <v>260</v>
      </c>
      <c r="B17" s="205">
        <v>27</v>
      </c>
      <c r="C17" s="330">
        <f>+'Nota 27'!C35</f>
        <v>180009571.671</v>
      </c>
      <c r="D17" s="330">
        <f>'Nota 27'!F35</f>
        <v>135787868.355</v>
      </c>
      <c r="F17" s="483"/>
      <c r="G17" s="483"/>
      <c r="H17" s="483"/>
    </row>
    <row r="18" spans="1:8" ht="14.25">
      <c r="A18" s="189" t="s">
        <v>262</v>
      </c>
      <c r="B18" s="205">
        <v>28</v>
      </c>
      <c r="C18" s="331">
        <f>'Nota 28'!B21</f>
        <v>5105540.508</v>
      </c>
      <c r="D18" s="331">
        <f>+'Nota 28'!C21</f>
        <v>3672064</v>
      </c>
      <c r="F18" s="483"/>
      <c r="G18" s="483"/>
      <c r="H18" s="483"/>
    </row>
    <row r="19" spans="1:8" ht="12.75">
      <c r="A19" s="65" t="s">
        <v>156</v>
      </c>
      <c r="B19" s="195"/>
      <c r="C19" s="331">
        <f>+C15-C16-C17+C18</f>
        <v>66235943.62900002</v>
      </c>
      <c r="D19" s="331">
        <f>+D15-D16-D17+D18</f>
        <v>59157744.68900004</v>
      </c>
      <c r="E19" s="483"/>
      <c r="F19" s="483"/>
      <c r="G19" s="483"/>
      <c r="H19" s="483"/>
    </row>
    <row r="20" spans="1:8" ht="14.25">
      <c r="A20" s="189" t="s">
        <v>415</v>
      </c>
      <c r="B20" s="205">
        <v>29</v>
      </c>
      <c r="C20" s="331">
        <f>'Nota 29'!B19</f>
        <v>25245129.513</v>
      </c>
      <c r="D20" s="331">
        <f>'Nota 29'!C19</f>
        <v>21855839.406999998</v>
      </c>
      <c r="E20" s="483"/>
      <c r="F20" s="483"/>
      <c r="G20" s="483"/>
      <c r="H20" s="483"/>
    </row>
    <row r="21" spans="1:8" ht="14.25">
      <c r="A21" s="189" t="s">
        <v>414</v>
      </c>
      <c r="B21" s="205">
        <v>29</v>
      </c>
      <c r="C21" s="331">
        <f>'Nota 29'!F18</f>
        <v>23869457.718999997</v>
      </c>
      <c r="D21" s="331">
        <f>'Nota 29'!G18</f>
        <v>21808669.707000002</v>
      </c>
      <c r="E21" s="483"/>
      <c r="F21" s="483"/>
      <c r="G21" s="483"/>
      <c r="H21" s="483"/>
    </row>
    <row r="22" spans="1:8" ht="12.75">
      <c r="A22" s="108" t="s">
        <v>61</v>
      </c>
      <c r="C22" s="331">
        <f>+C19+C20-C21</f>
        <v>67611615.42300002</v>
      </c>
      <c r="D22" s="331">
        <f>+D19+D20-D21</f>
        <v>59204914.38900004</v>
      </c>
      <c r="F22" s="483"/>
      <c r="H22" s="483"/>
    </row>
    <row r="23" spans="1:8" ht="14.25">
      <c r="A23" s="189" t="s">
        <v>160</v>
      </c>
      <c r="B23" s="205">
        <v>30</v>
      </c>
      <c r="C23" s="331">
        <f>'Nota 30'!B16</f>
        <v>0</v>
      </c>
      <c r="D23" s="331">
        <f>'Nota 30'!C16</f>
        <v>0</v>
      </c>
      <c r="F23" s="483"/>
      <c r="G23" s="483"/>
      <c r="H23" s="483"/>
    </row>
    <row r="24" spans="1:8" ht="26.25">
      <c r="A24" s="109" t="s">
        <v>416</v>
      </c>
      <c r="B24" s="195"/>
      <c r="C24" s="334">
        <f>C22+C23</f>
        <v>67611615.42300002</v>
      </c>
      <c r="D24" s="334">
        <f>D22+D23</f>
        <v>59204914.38900004</v>
      </c>
      <c r="F24" s="483"/>
      <c r="H24" s="483"/>
    </row>
    <row r="25" spans="1:8" ht="14.25">
      <c r="A25" s="189" t="s">
        <v>161</v>
      </c>
      <c r="B25" s="205">
        <v>31</v>
      </c>
      <c r="C25" s="331">
        <f>'Nota 31'!B16</f>
        <v>0</v>
      </c>
      <c r="D25" s="331">
        <f>'Nota 31'!C16</f>
        <v>0</v>
      </c>
      <c r="F25" s="483"/>
      <c r="G25" s="483"/>
      <c r="H25" s="483"/>
    </row>
    <row r="26" spans="1:8" ht="12.75">
      <c r="A26" s="109" t="s">
        <v>75</v>
      </c>
      <c r="B26" s="195"/>
      <c r="C26" s="334"/>
      <c r="D26" s="334"/>
      <c r="H26" s="483"/>
    </row>
    <row r="27" spans="1:8" ht="14.25">
      <c r="A27" s="29" t="s">
        <v>46</v>
      </c>
      <c r="B27" s="188">
        <v>32</v>
      </c>
      <c r="C27" s="331">
        <f>'Nota 32'!B9</f>
        <v>14784413.465</v>
      </c>
      <c r="D27" s="331">
        <f>'Nota 32'!C9</f>
        <v>13777274</v>
      </c>
      <c r="F27" s="483"/>
      <c r="H27" s="483"/>
    </row>
    <row r="28" spans="1:8" ht="12.75">
      <c r="A28" s="65" t="s">
        <v>417</v>
      </c>
      <c r="B28" s="195"/>
      <c r="C28" s="334">
        <f>C26+C27</f>
        <v>14784413.465</v>
      </c>
      <c r="D28" s="334">
        <f>D26+D27</f>
        <v>13777274</v>
      </c>
      <c r="F28" s="483"/>
      <c r="H28" s="483"/>
    </row>
    <row r="29" spans="1:8" ht="14.25">
      <c r="A29" s="189" t="s">
        <v>72</v>
      </c>
      <c r="B29" s="205">
        <v>33</v>
      </c>
      <c r="C29" s="334">
        <f>'Nota 32'!B9</f>
        <v>14784413.465</v>
      </c>
      <c r="D29" s="334">
        <f>'Nota 32'!C9</f>
        <v>13777274</v>
      </c>
      <c r="F29" s="483"/>
      <c r="H29" s="483"/>
    </row>
    <row r="30" spans="1:8" ht="14.25">
      <c r="A30" s="189" t="s">
        <v>73</v>
      </c>
      <c r="B30" s="205">
        <v>34</v>
      </c>
      <c r="C30" s="331">
        <f>'Nota 34'!B12</f>
        <v>0</v>
      </c>
      <c r="D30" s="331">
        <f>'Nota 34'!C12</f>
        <v>0</v>
      </c>
      <c r="H30" s="483"/>
    </row>
    <row r="31" spans="1:8" ht="14.25">
      <c r="A31" s="93" t="s">
        <v>271</v>
      </c>
      <c r="B31" s="318"/>
      <c r="C31" s="334">
        <f>+C24-C27</f>
        <v>52827201.95800002</v>
      </c>
      <c r="D31" s="335">
        <f>+D24-D27</f>
        <v>45427640.38900004</v>
      </c>
      <c r="F31" s="483"/>
      <c r="H31" s="483"/>
    </row>
    <row r="32" spans="1:4" ht="14.25">
      <c r="A32" s="93" t="s">
        <v>74</v>
      </c>
      <c r="B32" s="205">
        <v>35</v>
      </c>
      <c r="C32" s="331">
        <f>'Nota 35'!B10</f>
        <v>1056.54403916</v>
      </c>
      <c r="D32" s="331">
        <f>'Nota 35'!C10</f>
        <v>908.5528019200009</v>
      </c>
    </row>
    <row r="34" spans="1:4" ht="12.75">
      <c r="A34" s="65"/>
      <c r="B34" s="195"/>
      <c r="D34" s="628"/>
    </row>
    <row r="35" ht="12.75">
      <c r="A35" s="29" t="s">
        <v>409</v>
      </c>
    </row>
    <row r="36" ht="12.75">
      <c r="C36" s="676"/>
    </row>
    <row r="41" spans="1:4" ht="12.75">
      <c r="A41" s="96"/>
      <c r="B41" s="207"/>
      <c r="C41" s="902"/>
      <c r="D41" s="902"/>
    </row>
    <row r="42" spans="1:4" ht="12.75">
      <c r="A42" s="95"/>
      <c r="B42" s="208"/>
      <c r="D42" s="335"/>
    </row>
    <row r="47" spans="1:4" ht="12.75">
      <c r="A47" s="389"/>
      <c r="C47" s="902"/>
      <c r="D47" s="902"/>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2"/>
  <drawing r:id="rId1"/>
</worksheet>
</file>

<file path=xl/worksheets/sheet40.xml><?xml version="1.0" encoding="utf-8"?>
<worksheet xmlns="http://schemas.openxmlformats.org/spreadsheetml/2006/main" xmlns:r="http://schemas.openxmlformats.org/officeDocument/2006/relationships">
  <dimension ref="A1:N22"/>
  <sheetViews>
    <sheetView zoomScalePageLayoutView="0" workbookViewId="0" topLeftCell="A1">
      <selection activeCell="B20" sqref="B20"/>
    </sheetView>
  </sheetViews>
  <sheetFormatPr defaultColWidth="11.421875" defaultRowHeight="15"/>
  <cols>
    <col min="1" max="1" width="42.140625" style="114" customWidth="1"/>
    <col min="2" max="5" width="24.421875" style="114" customWidth="1"/>
    <col min="6" max="6" width="12.8515625" style="114" customWidth="1"/>
    <col min="7" max="7" width="11.421875" style="114" customWidth="1"/>
    <col min="8" max="8" width="17.28125" style="114" customWidth="1"/>
    <col min="9" max="14" width="11.421875" style="114" customWidth="1"/>
    <col min="15" max="16384" width="11.421875" style="318" customWidth="1"/>
  </cols>
  <sheetData>
    <row r="1" spans="1:5" ht="14.25">
      <c r="A1" s="114" t="str">
        <f>Indice!C1</f>
        <v>NEGOFIN S.A.E.C.A.</v>
      </c>
      <c r="E1" s="133" t="s">
        <v>146</v>
      </c>
    </row>
    <row r="2" ht="14.25">
      <c r="C2" s="120"/>
    </row>
    <row r="4" spans="1:9" ht="14.25">
      <c r="A4" s="264" t="s">
        <v>350</v>
      </c>
      <c r="B4" s="264"/>
      <c r="C4" s="264"/>
      <c r="D4" s="264"/>
      <c r="E4" s="264"/>
      <c r="F4" s="264"/>
      <c r="G4" s="264"/>
      <c r="H4" s="264"/>
      <c r="I4" s="264"/>
    </row>
    <row r="5" spans="1:9" ht="27" customHeight="1">
      <c r="A5" s="345" t="s">
        <v>192</v>
      </c>
      <c r="B5" s="345"/>
      <c r="C5" s="345"/>
      <c r="D5" s="345"/>
      <c r="E5" s="345"/>
      <c r="F5" s="345"/>
      <c r="G5" s="345"/>
      <c r="H5" s="345"/>
      <c r="I5" s="345"/>
    </row>
    <row r="6" spans="1:2" ht="15" customHeight="1">
      <c r="A6" s="345" t="s">
        <v>192</v>
      </c>
      <c r="B6" s="243"/>
    </row>
    <row r="7" spans="2:3" ht="15" customHeight="1">
      <c r="B7" s="359">
        <f>_xlfn.IFERROR(IF(Indice!B6="","2XX2",YEAR(Indice!B6)),"2XX2")</f>
        <v>2022</v>
      </c>
      <c r="C7" s="359">
        <f>+_xlfn.IFERROR(YEAR(Indice!B6-365),"2XX1")</f>
        <v>2021</v>
      </c>
    </row>
    <row r="8" spans="1:9" s="114" customFormat="1" ht="15" customHeight="1">
      <c r="A8" s="164" t="s">
        <v>867</v>
      </c>
      <c r="B8" s="734">
        <v>50000</v>
      </c>
      <c r="C8" s="636">
        <v>50000</v>
      </c>
      <c r="D8" s="344"/>
      <c r="E8" s="344"/>
      <c r="F8" s="344"/>
      <c r="G8" s="344"/>
      <c r="H8" s="344"/>
      <c r="I8" s="344"/>
    </row>
    <row r="9" spans="1:3" ht="15" customHeight="1">
      <c r="A9" s="318" t="s">
        <v>866</v>
      </c>
      <c r="B9" s="635">
        <v>52827201.958</v>
      </c>
      <c r="C9" s="636">
        <v>45427640.096000046</v>
      </c>
    </row>
    <row r="10" spans="1:9" ht="15" customHeight="1">
      <c r="A10" s="347" t="s">
        <v>868</v>
      </c>
      <c r="B10" s="736">
        <f>_xlfn.IFERROR(B9/B8,0)</f>
        <v>1056.54403916</v>
      </c>
      <c r="C10" s="736">
        <f>_xlfn.IFERROR(C9/C8,0)</f>
        <v>908.5528019200009</v>
      </c>
      <c r="D10" s="344"/>
      <c r="E10" s="344"/>
      <c r="F10" s="344"/>
      <c r="G10" s="344"/>
      <c r="H10" s="344"/>
      <c r="I10" s="344"/>
    </row>
    <row r="11" ht="15" customHeight="1"/>
    <row r="12" spans="1:9" ht="15" customHeight="1">
      <c r="A12" s="344"/>
      <c r="B12" s="344"/>
      <c r="C12" s="344"/>
      <c r="D12" s="344"/>
      <c r="E12" s="344"/>
      <c r="F12" s="344"/>
      <c r="G12" s="344"/>
      <c r="H12" s="344"/>
      <c r="I12" s="344"/>
    </row>
    <row r="13" ht="15" customHeight="1"/>
    <row r="15" spans="1:3" ht="72">
      <c r="A15" s="345" t="s">
        <v>192</v>
      </c>
      <c r="B15" s="345"/>
      <c r="C15" s="345"/>
    </row>
    <row r="16" ht="14.25">
      <c r="B16" s="243"/>
    </row>
    <row r="17" spans="2:3" ht="14.25">
      <c r="B17" s="359">
        <v>2022</v>
      </c>
      <c r="C17" s="359">
        <v>2021</v>
      </c>
    </row>
    <row r="18" spans="1:3" ht="14.25">
      <c r="A18" s="164" t="s">
        <v>867</v>
      </c>
      <c r="B18" s="636">
        <v>50000</v>
      </c>
      <c r="C18" s="636">
        <v>50000</v>
      </c>
    </row>
    <row r="19" spans="1:14" s="591" customFormat="1" ht="14.25">
      <c r="A19" s="164" t="s">
        <v>1358</v>
      </c>
      <c r="B19" s="734">
        <f>142643-50000</f>
        <v>92643</v>
      </c>
      <c r="C19" s="636">
        <v>84682</v>
      </c>
      <c r="D19" s="114"/>
      <c r="E19" s="114"/>
      <c r="F19" s="114"/>
      <c r="G19" s="114"/>
      <c r="H19" s="114"/>
      <c r="I19" s="114"/>
      <c r="J19" s="114"/>
      <c r="K19" s="114"/>
      <c r="L19" s="114"/>
      <c r="M19" s="114"/>
      <c r="N19" s="114"/>
    </row>
    <row r="20" spans="1:3" ht="14.25">
      <c r="A20" s="93" t="s">
        <v>1161</v>
      </c>
      <c r="B20" s="735">
        <f>16752162</f>
        <v>16752162</v>
      </c>
      <c r="C20" s="626">
        <f>13221480</f>
        <v>13221480</v>
      </c>
    </row>
    <row r="21" spans="1:14" s="591" customFormat="1" ht="14.25">
      <c r="A21" s="347" t="s">
        <v>868</v>
      </c>
      <c r="B21" s="635">
        <f>+B9-B20</f>
        <v>36075039.958</v>
      </c>
      <c r="C21" s="626">
        <f>+C9-C20</f>
        <v>32206160.096000046</v>
      </c>
      <c r="D21" s="114"/>
      <c r="E21" s="114"/>
      <c r="F21" s="114"/>
      <c r="G21" s="114"/>
      <c r="H21" s="114"/>
      <c r="I21" s="114"/>
      <c r="J21" s="114"/>
      <c r="K21" s="114"/>
      <c r="L21" s="114"/>
      <c r="M21" s="114"/>
      <c r="N21" s="114"/>
    </row>
    <row r="22" spans="1:3" ht="14.25">
      <c r="A22" s="318"/>
      <c r="B22" s="667">
        <f>+B21/B18</f>
        <v>721.5007991599999</v>
      </c>
      <c r="C22" s="667">
        <f>+C21/C18</f>
        <v>644.123201920001</v>
      </c>
    </row>
  </sheetData>
  <sheetProtection/>
  <hyperlinks>
    <hyperlink ref="E1" location="ER!A1" display="ER"/>
  </hyperlinks>
  <printOptions/>
  <pageMargins left="0.7" right="0.7" top="0.75" bottom="0.75" header="0.3" footer="0.3"/>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N60"/>
  <sheetViews>
    <sheetView showGridLines="0" zoomScalePageLayoutView="0" workbookViewId="0" topLeftCell="A1">
      <selection activeCell="C18" sqref="C18"/>
    </sheetView>
  </sheetViews>
  <sheetFormatPr defaultColWidth="11.421875" defaultRowHeight="15"/>
  <cols>
    <col min="1" max="3" width="24.421875" style="114" customWidth="1"/>
    <col min="4" max="4" width="27.140625" style="114" customWidth="1"/>
    <col min="5" max="5" width="24.421875" style="114" customWidth="1"/>
    <col min="6" max="6" width="12.8515625" style="114" customWidth="1"/>
    <col min="7" max="7" width="11.421875" style="114" customWidth="1"/>
    <col min="8" max="8" width="17.28125" style="114" customWidth="1"/>
    <col min="9" max="14" width="11.421875" style="114" customWidth="1"/>
  </cols>
  <sheetData>
    <row r="1" spans="1:5" ht="14.25">
      <c r="A1" s="114" t="str">
        <f>Indice!C1</f>
        <v>NEGOFIN S.A.E.C.A.</v>
      </c>
      <c r="E1" s="133" t="s">
        <v>384</v>
      </c>
    </row>
    <row r="2" ht="14.25">
      <c r="C2" s="120"/>
    </row>
    <row r="4" spans="1:9" s="45" customFormat="1" ht="14.25">
      <c r="A4" s="962" t="s">
        <v>383</v>
      </c>
      <c r="B4" s="962"/>
      <c r="C4" s="962"/>
      <c r="D4" s="962"/>
      <c r="E4" s="962"/>
      <c r="F4" s="265"/>
      <c r="G4" s="265"/>
      <c r="H4" s="265"/>
      <c r="I4" s="265"/>
    </row>
    <row r="6" spans="1:14" s="165" customFormat="1" ht="14.25">
      <c r="A6" s="984" t="s">
        <v>183</v>
      </c>
      <c r="B6" s="984"/>
      <c r="C6" s="984"/>
      <c r="D6" s="984"/>
      <c r="E6" s="984"/>
      <c r="F6" s="984"/>
      <c r="G6" s="984"/>
      <c r="H6" s="984"/>
      <c r="I6" s="984"/>
      <c r="J6" s="164"/>
      <c r="K6" s="164"/>
      <c r="L6" s="164"/>
      <c r="M6" s="164"/>
      <c r="N6" s="164"/>
    </row>
    <row r="7" spans="1:14" s="165" customFormat="1" ht="14.25">
      <c r="A7" s="164" t="s">
        <v>1116</v>
      </c>
      <c r="B7" s="164"/>
      <c r="C7" s="164"/>
      <c r="D7" s="164"/>
      <c r="E7" s="164"/>
      <c r="F7" s="164"/>
      <c r="G7" s="164"/>
      <c r="H7" s="164"/>
      <c r="I7" s="164"/>
      <c r="J7" s="164"/>
      <c r="K7" s="164"/>
      <c r="L7" s="164"/>
      <c r="M7" s="164"/>
      <c r="N7" s="164"/>
    </row>
    <row r="8" spans="1:14" s="165" customFormat="1" ht="15" thickBot="1">
      <c r="A8" s="386" t="str">
        <f>_xlfn.IFERROR("Al "&amp;DAY(Indice!B6)&amp;" de "&amp;VLOOKUP(MONTH(Indice!B6),Indice!S:T,2,0)&amp;" de "&amp;YEAR(Indice!B6-365),"Al dia... de mes… de año 2XX1…")</f>
        <v>Al 31 de Diciembre de 2021</v>
      </c>
      <c r="B8" s="386"/>
      <c r="C8" s="386"/>
      <c r="D8" s="386"/>
      <c r="E8" s="386"/>
      <c r="F8" s="386"/>
      <c r="G8" s="386"/>
      <c r="H8" s="164"/>
      <c r="I8" s="164"/>
      <c r="J8" s="164"/>
      <c r="K8" s="164"/>
      <c r="L8" s="164"/>
      <c r="M8" s="164"/>
      <c r="N8" s="164"/>
    </row>
    <row r="9" spans="1:14" s="165" customFormat="1" ht="15" thickBot="1">
      <c r="A9" s="166" t="s">
        <v>184</v>
      </c>
      <c r="B9" s="167" t="s">
        <v>185</v>
      </c>
      <c r="C9" s="166" t="s">
        <v>117</v>
      </c>
      <c r="D9" s="166" t="s">
        <v>186</v>
      </c>
      <c r="E9" s="166" t="s">
        <v>187</v>
      </c>
      <c r="F9" s="164"/>
      <c r="G9" s="164"/>
      <c r="H9" s="164"/>
      <c r="I9" s="164"/>
      <c r="J9" s="164"/>
      <c r="K9" s="164"/>
      <c r="L9" s="164"/>
      <c r="M9" s="164"/>
      <c r="N9" s="164"/>
    </row>
    <row r="10" spans="1:14" s="165" customFormat="1" ht="14.25">
      <c r="A10" s="168"/>
      <c r="B10" s="169"/>
      <c r="C10" s="170"/>
      <c r="D10" s="170"/>
      <c r="E10" s="171"/>
      <c r="F10" s="164"/>
      <c r="G10" s="164"/>
      <c r="H10" s="164"/>
      <c r="I10" s="164"/>
      <c r="J10" s="164"/>
      <c r="K10" s="164"/>
      <c r="L10" s="164"/>
      <c r="M10" s="164"/>
      <c r="N10" s="164"/>
    </row>
    <row r="11" spans="1:14" s="165" customFormat="1" ht="15" customHeight="1">
      <c r="A11" s="172"/>
      <c r="B11" s="173"/>
      <c r="C11" s="174"/>
      <c r="D11" s="174"/>
      <c r="E11" s="175"/>
      <c r="F11" s="164"/>
      <c r="G11" s="164"/>
      <c r="H11" s="164"/>
      <c r="I11" s="164"/>
      <c r="J11" s="164"/>
      <c r="K11" s="164"/>
      <c r="L11" s="164"/>
      <c r="M11" s="164"/>
      <c r="N11" s="164"/>
    </row>
    <row r="12" spans="1:14" s="165" customFormat="1" ht="14.25">
      <c r="A12" s="172"/>
      <c r="B12" s="173"/>
      <c r="C12" s="174"/>
      <c r="D12" s="174"/>
      <c r="E12" s="175"/>
      <c r="F12" s="164"/>
      <c r="G12" s="164"/>
      <c r="H12" s="164"/>
      <c r="I12" s="164"/>
      <c r="J12" s="164"/>
      <c r="K12" s="164"/>
      <c r="L12" s="164"/>
      <c r="M12" s="164"/>
      <c r="N12" s="164"/>
    </row>
    <row r="13" spans="1:14" s="165" customFormat="1" ht="15" thickBot="1">
      <c r="A13" s="176"/>
      <c r="B13" s="177"/>
      <c r="C13" s="178"/>
      <c r="D13" s="178"/>
      <c r="E13" s="179"/>
      <c r="F13" s="164"/>
      <c r="G13" s="164"/>
      <c r="H13" s="164"/>
      <c r="I13" s="164"/>
      <c r="J13" s="164"/>
      <c r="K13" s="164"/>
      <c r="L13" s="164"/>
      <c r="M13" s="164"/>
      <c r="N13" s="164"/>
    </row>
    <row r="14" spans="1:14" s="165" customFormat="1" ht="14.25">
      <c r="A14" s="164"/>
      <c r="B14" s="164"/>
      <c r="C14" s="164"/>
      <c r="D14" s="164"/>
      <c r="E14" s="164"/>
      <c r="F14" s="164"/>
      <c r="G14" s="164"/>
      <c r="H14" s="164"/>
      <c r="I14" s="164"/>
      <c r="J14" s="164"/>
      <c r="K14" s="164"/>
      <c r="L14" s="164"/>
      <c r="M14" s="164"/>
      <c r="N14" s="164"/>
    </row>
    <row r="15" spans="1:14" s="165" customFormat="1" ht="15" thickBot="1">
      <c r="A15" s="386" t="str">
        <f>_xlfn.IFERROR("Al "&amp;DAY(Indice!B6)&amp;" de "&amp;VLOOKUP(MONTH(Indice!B6),Indice!S:T,2,0)&amp;" de "&amp;YEAR(Indice!B6-1),"Al dia... de mes… de año 2XX2…")</f>
        <v>Al 31 de Diciembre de 2022</v>
      </c>
      <c r="B15" s="385"/>
      <c r="C15" s="385"/>
      <c r="D15" s="385"/>
      <c r="E15" s="385"/>
      <c r="F15" s="164"/>
      <c r="G15" s="164"/>
      <c r="H15" s="164"/>
      <c r="I15" s="164"/>
      <c r="J15" s="164"/>
      <c r="K15" s="164"/>
      <c r="L15" s="164"/>
      <c r="M15" s="164"/>
      <c r="N15" s="164"/>
    </row>
    <row r="16" spans="1:14" s="165" customFormat="1" ht="30" customHeight="1" thickBot="1">
      <c r="A16" s="166" t="s">
        <v>184</v>
      </c>
      <c r="B16" s="167" t="s">
        <v>185</v>
      </c>
      <c r="C16" s="166" t="s">
        <v>117</v>
      </c>
      <c r="D16" s="166" t="s">
        <v>186</v>
      </c>
      <c r="E16" s="166" t="s">
        <v>187</v>
      </c>
      <c r="F16" s="164"/>
      <c r="G16" s="164"/>
      <c r="H16" s="164"/>
      <c r="I16" s="164"/>
      <c r="J16" s="164"/>
      <c r="K16" s="164"/>
      <c r="L16" s="164"/>
      <c r="M16" s="164"/>
      <c r="N16" s="164"/>
    </row>
    <row r="17" spans="1:14" s="165" customFormat="1" ht="14.25">
      <c r="A17" s="168"/>
      <c r="B17" s="169"/>
      <c r="C17" s="170"/>
      <c r="D17" s="170"/>
      <c r="E17" s="171"/>
      <c r="F17" s="164"/>
      <c r="G17" s="164"/>
      <c r="H17" s="164"/>
      <c r="I17" s="164"/>
      <c r="J17" s="164"/>
      <c r="K17" s="164"/>
      <c r="L17" s="164"/>
      <c r="M17" s="164"/>
      <c r="N17" s="164"/>
    </row>
    <row r="18" spans="1:14" s="165" customFormat="1" ht="14.25">
      <c r="A18" s="172"/>
      <c r="B18" s="173"/>
      <c r="C18" s="174"/>
      <c r="D18" s="174"/>
      <c r="E18" s="175"/>
      <c r="F18" s="164"/>
      <c r="G18" s="164"/>
      <c r="H18" s="164"/>
      <c r="I18" s="164"/>
      <c r="J18" s="164"/>
      <c r="K18" s="164"/>
      <c r="L18" s="164"/>
      <c r="M18" s="164"/>
      <c r="N18" s="164"/>
    </row>
    <row r="19" spans="1:14" s="165" customFormat="1" ht="14.25">
      <c r="A19" s="172"/>
      <c r="B19" s="173"/>
      <c r="C19" s="174"/>
      <c r="D19" s="174"/>
      <c r="E19" s="175"/>
      <c r="F19" s="164"/>
      <c r="G19" s="164"/>
      <c r="H19" s="164"/>
      <c r="I19" s="164"/>
      <c r="J19" s="164"/>
      <c r="K19" s="164"/>
      <c r="L19" s="164"/>
      <c r="M19" s="164"/>
      <c r="N19" s="164"/>
    </row>
    <row r="20" spans="1:14" s="165" customFormat="1" ht="15" thickBot="1">
      <c r="A20" s="176"/>
      <c r="B20" s="177"/>
      <c r="C20" s="178"/>
      <c r="D20" s="178"/>
      <c r="E20" s="179"/>
      <c r="F20" s="164"/>
      <c r="G20" s="164"/>
      <c r="H20" s="164"/>
      <c r="I20" s="164"/>
      <c r="J20" s="164"/>
      <c r="K20" s="164"/>
      <c r="L20" s="164"/>
      <c r="M20" s="164"/>
      <c r="N20" s="164"/>
    </row>
    <row r="21" spans="1:14" s="165" customFormat="1" ht="14.25">
      <c r="A21" s="164"/>
      <c r="B21" s="164"/>
      <c r="C21" s="164"/>
      <c r="D21" s="164"/>
      <c r="E21" s="164"/>
      <c r="F21" s="164"/>
      <c r="G21" s="164"/>
      <c r="H21" s="164"/>
      <c r="I21" s="164"/>
      <c r="J21" s="164"/>
      <c r="K21" s="164"/>
      <c r="L21" s="164"/>
      <c r="M21" s="164"/>
      <c r="N21" s="164"/>
    </row>
    <row r="22" spans="1:14" s="165" customFormat="1" ht="14.25">
      <c r="A22" s="164"/>
      <c r="B22" s="164"/>
      <c r="C22" s="164"/>
      <c r="D22" s="164"/>
      <c r="E22" s="164"/>
      <c r="F22" s="164"/>
      <c r="G22" s="164"/>
      <c r="H22" s="164"/>
      <c r="I22" s="164"/>
      <c r="J22" s="164"/>
      <c r="K22" s="164"/>
      <c r="L22" s="164"/>
      <c r="M22" s="164"/>
      <c r="N22" s="164"/>
    </row>
    <row r="23" spans="1:14" s="165" customFormat="1" ht="14.25">
      <c r="A23" s="164"/>
      <c r="B23" s="164"/>
      <c r="C23" s="164"/>
      <c r="D23" s="164"/>
      <c r="E23" s="164"/>
      <c r="F23" s="164"/>
      <c r="G23" s="164"/>
      <c r="H23" s="164"/>
      <c r="I23" s="164"/>
      <c r="J23" s="164"/>
      <c r="K23" s="164"/>
      <c r="L23" s="164"/>
      <c r="M23" s="164"/>
      <c r="N23" s="164"/>
    </row>
    <row r="24" spans="1:14" s="165" customFormat="1" ht="14.25">
      <c r="A24" s="164"/>
      <c r="B24" s="164"/>
      <c r="C24" s="164"/>
      <c r="D24" s="164"/>
      <c r="E24" s="164"/>
      <c r="F24" s="164"/>
      <c r="G24" s="164"/>
      <c r="H24" s="164"/>
      <c r="I24" s="164"/>
      <c r="J24" s="164"/>
      <c r="K24" s="164"/>
      <c r="L24" s="164"/>
      <c r="M24" s="164"/>
      <c r="N24" s="164"/>
    </row>
    <row r="25" spans="1:14" s="165" customFormat="1" ht="14.25">
      <c r="A25" s="164"/>
      <c r="B25" s="164"/>
      <c r="C25" s="164"/>
      <c r="D25" s="164"/>
      <c r="E25" s="164"/>
      <c r="F25" s="164"/>
      <c r="G25" s="164"/>
      <c r="H25" s="164"/>
      <c r="I25" s="164"/>
      <c r="J25" s="164"/>
      <c r="K25" s="164"/>
      <c r="L25" s="164"/>
      <c r="M25" s="164"/>
      <c r="N25" s="164"/>
    </row>
    <row r="26" spans="1:14" s="165" customFormat="1" ht="14.25">
      <c r="A26" s="164"/>
      <c r="B26" s="164"/>
      <c r="C26" s="164"/>
      <c r="D26" s="164"/>
      <c r="E26" s="164"/>
      <c r="F26" s="164"/>
      <c r="G26" s="164"/>
      <c r="H26" s="164"/>
      <c r="I26" s="164"/>
      <c r="J26" s="164"/>
      <c r="K26" s="164"/>
      <c r="L26" s="164"/>
      <c r="M26" s="164"/>
      <c r="N26" s="164"/>
    </row>
    <row r="27" spans="1:14" s="165" customFormat="1" ht="14.25">
      <c r="A27" s="164"/>
      <c r="B27" s="164"/>
      <c r="C27" s="164"/>
      <c r="D27" s="164"/>
      <c r="E27" s="164"/>
      <c r="F27" s="164"/>
      <c r="G27" s="164"/>
      <c r="H27" s="164"/>
      <c r="I27" s="164"/>
      <c r="J27" s="164"/>
      <c r="K27" s="164"/>
      <c r="L27" s="164"/>
      <c r="M27" s="164"/>
      <c r="N27" s="164"/>
    </row>
    <row r="28" spans="1:14" s="165" customFormat="1" ht="14.25">
      <c r="A28" s="164"/>
      <c r="B28" s="164"/>
      <c r="C28" s="164"/>
      <c r="D28" s="164"/>
      <c r="E28" s="164"/>
      <c r="F28" s="164"/>
      <c r="G28" s="164"/>
      <c r="H28" s="164"/>
      <c r="I28" s="164"/>
      <c r="J28" s="164"/>
      <c r="K28" s="164"/>
      <c r="L28" s="164"/>
      <c r="M28" s="164"/>
      <c r="N28" s="164"/>
    </row>
    <row r="29" spans="1:14" s="165" customFormat="1" ht="14.25">
      <c r="A29" s="164"/>
      <c r="B29" s="164"/>
      <c r="C29" s="164"/>
      <c r="D29" s="164"/>
      <c r="E29" s="164"/>
      <c r="F29" s="164"/>
      <c r="G29" s="164"/>
      <c r="H29" s="164"/>
      <c r="I29" s="164"/>
      <c r="J29" s="164"/>
      <c r="K29" s="164"/>
      <c r="L29" s="164"/>
      <c r="M29" s="164"/>
      <c r="N29" s="164"/>
    </row>
    <row r="30" spans="1:14" s="165" customFormat="1" ht="14.25">
      <c r="A30" s="164"/>
      <c r="B30" s="164"/>
      <c r="C30" s="164"/>
      <c r="D30" s="164"/>
      <c r="E30" s="164"/>
      <c r="F30" s="164"/>
      <c r="G30" s="164"/>
      <c r="H30" s="164"/>
      <c r="I30" s="164"/>
      <c r="J30" s="164"/>
      <c r="K30" s="164"/>
      <c r="L30" s="164"/>
      <c r="M30" s="164"/>
      <c r="N30" s="164"/>
    </row>
    <row r="31" spans="1:14" s="165" customFormat="1" ht="14.25">
      <c r="A31" s="164"/>
      <c r="B31" s="164"/>
      <c r="C31" s="164"/>
      <c r="D31" s="164"/>
      <c r="E31" s="164"/>
      <c r="F31" s="164"/>
      <c r="G31" s="164"/>
      <c r="H31" s="164"/>
      <c r="I31" s="164"/>
      <c r="J31" s="164"/>
      <c r="K31" s="164"/>
      <c r="L31" s="164"/>
      <c r="M31" s="164"/>
      <c r="N31" s="164"/>
    </row>
    <row r="32" spans="1:14" s="165" customFormat="1" ht="14.25">
      <c r="A32" s="164"/>
      <c r="B32" s="164"/>
      <c r="C32" s="164"/>
      <c r="D32" s="164"/>
      <c r="E32" s="164"/>
      <c r="F32" s="164"/>
      <c r="G32" s="164"/>
      <c r="H32" s="164"/>
      <c r="I32" s="164"/>
      <c r="J32" s="164"/>
      <c r="K32" s="164"/>
      <c r="L32" s="164"/>
      <c r="M32" s="164"/>
      <c r="N32" s="164"/>
    </row>
    <row r="33" spans="1:14" s="165" customFormat="1" ht="14.25">
      <c r="A33" s="164"/>
      <c r="B33" s="164"/>
      <c r="C33" s="164"/>
      <c r="D33" s="164"/>
      <c r="E33" s="164"/>
      <c r="F33" s="164"/>
      <c r="G33" s="164"/>
      <c r="H33" s="164"/>
      <c r="I33" s="164"/>
      <c r="J33" s="164"/>
      <c r="K33" s="164"/>
      <c r="L33" s="164"/>
      <c r="M33" s="164"/>
      <c r="N33" s="164"/>
    </row>
    <row r="34" spans="1:14" s="165" customFormat="1" ht="14.25">
      <c r="A34" s="164"/>
      <c r="B34" s="164"/>
      <c r="C34" s="164"/>
      <c r="D34" s="164"/>
      <c r="E34" s="164"/>
      <c r="F34" s="164"/>
      <c r="G34" s="164"/>
      <c r="H34" s="164"/>
      <c r="I34" s="164"/>
      <c r="J34" s="164"/>
      <c r="K34" s="164"/>
      <c r="L34" s="164"/>
      <c r="M34" s="164"/>
      <c r="N34" s="164"/>
    </row>
    <row r="35" spans="1:14" s="165" customFormat="1" ht="14.25">
      <c r="A35" s="164"/>
      <c r="B35" s="164"/>
      <c r="C35" s="164"/>
      <c r="D35" s="164"/>
      <c r="E35" s="164"/>
      <c r="F35" s="164"/>
      <c r="G35" s="164"/>
      <c r="H35" s="164"/>
      <c r="I35" s="164"/>
      <c r="J35" s="164"/>
      <c r="K35" s="164"/>
      <c r="L35" s="164"/>
      <c r="M35" s="164"/>
      <c r="N35" s="164"/>
    </row>
    <row r="36" spans="1:14" s="165" customFormat="1" ht="14.25">
      <c r="A36" s="164"/>
      <c r="B36" s="164"/>
      <c r="C36" s="164"/>
      <c r="D36" s="164"/>
      <c r="E36" s="164"/>
      <c r="F36" s="164"/>
      <c r="G36" s="164"/>
      <c r="H36" s="164"/>
      <c r="I36" s="164"/>
      <c r="J36" s="164"/>
      <c r="K36" s="164"/>
      <c r="L36" s="164"/>
      <c r="M36" s="164"/>
      <c r="N36" s="164"/>
    </row>
    <row r="37" spans="1:14" s="165" customFormat="1" ht="14.25">
      <c r="A37" s="164"/>
      <c r="B37" s="164"/>
      <c r="C37" s="164"/>
      <c r="D37" s="164"/>
      <c r="E37" s="164"/>
      <c r="F37" s="164"/>
      <c r="G37" s="164"/>
      <c r="H37" s="164"/>
      <c r="I37" s="164"/>
      <c r="J37" s="164"/>
      <c r="K37" s="164"/>
      <c r="L37" s="164"/>
      <c r="M37" s="164"/>
      <c r="N37" s="164"/>
    </row>
    <row r="38" spans="1:14" s="165" customFormat="1" ht="14.25">
      <c r="A38" s="164"/>
      <c r="B38" s="164"/>
      <c r="C38" s="164"/>
      <c r="D38" s="164"/>
      <c r="E38" s="164"/>
      <c r="F38" s="164"/>
      <c r="G38" s="164"/>
      <c r="H38" s="164"/>
      <c r="I38" s="164"/>
      <c r="J38" s="164"/>
      <c r="K38" s="164"/>
      <c r="L38" s="164"/>
      <c r="M38" s="164"/>
      <c r="N38" s="164"/>
    </row>
    <row r="39" spans="1:14" s="165" customFormat="1" ht="14.25">
      <c r="A39" s="164"/>
      <c r="B39" s="164"/>
      <c r="C39" s="164"/>
      <c r="D39" s="164"/>
      <c r="E39" s="164"/>
      <c r="F39" s="164"/>
      <c r="G39" s="164"/>
      <c r="H39" s="164"/>
      <c r="I39" s="164"/>
      <c r="J39" s="164"/>
      <c r="K39" s="164"/>
      <c r="L39" s="164"/>
      <c r="M39" s="164"/>
      <c r="N39" s="164"/>
    </row>
    <row r="40" spans="1:14" s="165" customFormat="1" ht="14.25">
      <c r="A40" s="164"/>
      <c r="B40" s="164"/>
      <c r="C40" s="164"/>
      <c r="D40" s="164"/>
      <c r="E40" s="164"/>
      <c r="F40" s="164"/>
      <c r="G40" s="164"/>
      <c r="H40" s="164"/>
      <c r="I40" s="164"/>
      <c r="J40" s="164"/>
      <c r="K40" s="164"/>
      <c r="L40" s="164"/>
      <c r="M40" s="164"/>
      <c r="N40" s="164"/>
    </row>
    <row r="41" spans="1:14" s="165" customFormat="1" ht="14.25">
      <c r="A41" s="164"/>
      <c r="B41" s="164"/>
      <c r="C41" s="164"/>
      <c r="D41" s="164"/>
      <c r="E41" s="164"/>
      <c r="F41" s="164"/>
      <c r="G41" s="164"/>
      <c r="H41" s="164"/>
      <c r="I41" s="164"/>
      <c r="J41" s="164"/>
      <c r="K41" s="164"/>
      <c r="L41" s="164"/>
      <c r="M41" s="164"/>
      <c r="N41" s="164"/>
    </row>
    <row r="42" spans="1:14" s="165" customFormat="1" ht="14.25">
      <c r="A42" s="164"/>
      <c r="B42" s="164"/>
      <c r="C42" s="164"/>
      <c r="D42" s="164"/>
      <c r="E42" s="164"/>
      <c r="F42" s="164"/>
      <c r="G42" s="164"/>
      <c r="H42" s="164"/>
      <c r="I42" s="164"/>
      <c r="J42" s="164"/>
      <c r="K42" s="164"/>
      <c r="L42" s="164"/>
      <c r="M42" s="164"/>
      <c r="N42" s="164"/>
    </row>
    <row r="43" spans="1:14" s="165" customFormat="1" ht="14.25">
      <c r="A43" s="164"/>
      <c r="B43" s="164"/>
      <c r="C43" s="164"/>
      <c r="D43" s="164"/>
      <c r="E43" s="164"/>
      <c r="F43" s="164"/>
      <c r="G43" s="164"/>
      <c r="H43" s="164"/>
      <c r="I43" s="164"/>
      <c r="J43" s="164"/>
      <c r="K43" s="164"/>
      <c r="L43" s="164"/>
      <c r="M43" s="164"/>
      <c r="N43" s="164"/>
    </row>
    <row r="44" spans="1:14" s="165" customFormat="1" ht="14.25">
      <c r="A44" s="164"/>
      <c r="B44" s="164"/>
      <c r="C44" s="164"/>
      <c r="D44" s="164"/>
      <c r="E44" s="164"/>
      <c r="F44" s="164"/>
      <c r="G44" s="164"/>
      <c r="H44" s="164"/>
      <c r="I44" s="164"/>
      <c r="J44" s="164"/>
      <c r="K44" s="164"/>
      <c r="L44" s="164"/>
      <c r="M44" s="164"/>
      <c r="N44" s="164"/>
    </row>
    <row r="45" spans="1:14" s="165" customFormat="1" ht="14.25">
      <c r="A45" s="164"/>
      <c r="B45" s="164"/>
      <c r="C45" s="164"/>
      <c r="D45" s="164"/>
      <c r="E45" s="164"/>
      <c r="F45" s="164"/>
      <c r="G45" s="164"/>
      <c r="H45" s="164"/>
      <c r="I45" s="164"/>
      <c r="J45" s="164"/>
      <c r="K45" s="164"/>
      <c r="L45" s="164"/>
      <c r="M45" s="164"/>
      <c r="N45" s="164"/>
    </row>
    <row r="46" spans="1:14" s="165" customFormat="1" ht="14.25">
      <c r="A46" s="164"/>
      <c r="B46" s="164"/>
      <c r="C46" s="164"/>
      <c r="D46" s="164"/>
      <c r="E46" s="164"/>
      <c r="F46" s="164"/>
      <c r="G46" s="164"/>
      <c r="H46" s="164"/>
      <c r="I46" s="164"/>
      <c r="J46" s="164"/>
      <c r="K46" s="164"/>
      <c r="L46" s="164"/>
      <c r="M46" s="164"/>
      <c r="N46" s="164"/>
    </row>
    <row r="47" spans="1:14" s="165" customFormat="1" ht="14.25">
      <c r="A47" s="164"/>
      <c r="B47" s="164"/>
      <c r="C47" s="164"/>
      <c r="D47" s="164"/>
      <c r="E47" s="164"/>
      <c r="F47" s="164"/>
      <c r="G47" s="164"/>
      <c r="H47" s="164"/>
      <c r="I47" s="164"/>
      <c r="J47" s="164"/>
      <c r="K47" s="164"/>
      <c r="L47" s="164"/>
      <c r="M47" s="164"/>
      <c r="N47" s="164"/>
    </row>
    <row r="48" spans="1:14" s="165" customFormat="1" ht="14.25">
      <c r="A48" s="164"/>
      <c r="B48" s="164"/>
      <c r="C48" s="164"/>
      <c r="D48" s="164"/>
      <c r="E48" s="164"/>
      <c r="F48" s="164"/>
      <c r="G48" s="164"/>
      <c r="H48" s="164"/>
      <c r="I48" s="164"/>
      <c r="J48" s="164"/>
      <c r="K48" s="164"/>
      <c r="L48" s="164"/>
      <c r="M48" s="164"/>
      <c r="N48" s="164"/>
    </row>
    <row r="49" spans="1:14" s="165" customFormat="1" ht="14.25">
      <c r="A49" s="164"/>
      <c r="B49" s="164"/>
      <c r="C49" s="164"/>
      <c r="D49" s="164"/>
      <c r="E49" s="164"/>
      <c r="F49" s="164"/>
      <c r="G49" s="164"/>
      <c r="H49" s="164"/>
      <c r="I49" s="164"/>
      <c r="J49" s="164"/>
      <c r="K49" s="164"/>
      <c r="L49" s="164"/>
      <c r="M49" s="164"/>
      <c r="N49" s="164"/>
    </row>
    <row r="50" spans="1:14" s="165" customFormat="1" ht="14.25">
      <c r="A50" s="164"/>
      <c r="B50" s="164"/>
      <c r="C50" s="164"/>
      <c r="D50" s="164"/>
      <c r="E50" s="164"/>
      <c r="F50" s="164"/>
      <c r="G50" s="164"/>
      <c r="H50" s="164"/>
      <c r="I50" s="164"/>
      <c r="J50" s="164"/>
      <c r="K50" s="164"/>
      <c r="L50" s="164"/>
      <c r="M50" s="164"/>
      <c r="N50" s="164"/>
    </row>
    <row r="51" spans="1:14" s="165" customFormat="1" ht="14.25">
      <c r="A51" s="164"/>
      <c r="B51" s="164"/>
      <c r="C51" s="164"/>
      <c r="D51" s="164"/>
      <c r="E51" s="164"/>
      <c r="F51" s="164"/>
      <c r="G51" s="164"/>
      <c r="H51" s="164"/>
      <c r="I51" s="164"/>
      <c r="J51" s="164"/>
      <c r="K51" s="164"/>
      <c r="L51" s="164"/>
      <c r="M51" s="164"/>
      <c r="N51" s="164"/>
    </row>
    <row r="52" spans="1:14" s="165" customFormat="1" ht="14.25">
      <c r="A52" s="164"/>
      <c r="B52" s="164"/>
      <c r="C52" s="164"/>
      <c r="D52" s="164"/>
      <c r="E52" s="164"/>
      <c r="F52" s="164"/>
      <c r="G52" s="164"/>
      <c r="H52" s="164"/>
      <c r="I52" s="164"/>
      <c r="J52" s="164"/>
      <c r="K52" s="164"/>
      <c r="L52" s="164"/>
      <c r="M52" s="164"/>
      <c r="N52" s="164"/>
    </row>
    <row r="53" spans="1:14" s="165" customFormat="1" ht="14.25">
      <c r="A53" s="164"/>
      <c r="B53" s="164"/>
      <c r="C53" s="164"/>
      <c r="D53" s="164"/>
      <c r="E53" s="164"/>
      <c r="F53" s="164"/>
      <c r="G53" s="164"/>
      <c r="H53" s="164"/>
      <c r="I53" s="164"/>
      <c r="J53" s="164"/>
      <c r="K53" s="164"/>
      <c r="L53" s="164"/>
      <c r="M53" s="164"/>
      <c r="N53" s="164"/>
    </row>
    <row r="54" spans="1:14" s="165" customFormat="1" ht="14.25">
      <c r="A54" s="164"/>
      <c r="B54" s="164"/>
      <c r="C54" s="164"/>
      <c r="D54" s="164"/>
      <c r="E54" s="164"/>
      <c r="F54" s="164"/>
      <c r="G54" s="164"/>
      <c r="H54" s="164"/>
      <c r="I54" s="164"/>
      <c r="J54" s="164"/>
      <c r="K54" s="164"/>
      <c r="L54" s="164"/>
      <c r="M54" s="164"/>
      <c r="N54" s="164"/>
    </row>
    <row r="55" spans="1:14" s="165" customFormat="1" ht="14.25">
      <c r="A55" s="164"/>
      <c r="B55" s="164"/>
      <c r="C55" s="164"/>
      <c r="D55" s="164"/>
      <c r="E55" s="164"/>
      <c r="F55" s="164"/>
      <c r="G55" s="164"/>
      <c r="H55" s="164"/>
      <c r="I55" s="164"/>
      <c r="J55" s="164"/>
      <c r="K55" s="164"/>
      <c r="L55" s="164"/>
      <c r="M55" s="164"/>
      <c r="N55" s="164"/>
    </row>
    <row r="56" spans="1:14" s="165" customFormat="1" ht="14.25">
      <c r="A56" s="164"/>
      <c r="B56" s="164"/>
      <c r="C56" s="164"/>
      <c r="D56" s="164"/>
      <c r="E56" s="164"/>
      <c r="F56" s="164"/>
      <c r="G56" s="164"/>
      <c r="H56" s="164"/>
      <c r="I56" s="164"/>
      <c r="J56" s="164"/>
      <c r="K56" s="164"/>
      <c r="L56" s="164"/>
      <c r="M56" s="164"/>
      <c r="N56" s="164"/>
    </row>
    <row r="57" spans="1:14" s="165" customFormat="1" ht="14.25">
      <c r="A57" s="164"/>
      <c r="B57" s="164"/>
      <c r="C57" s="164"/>
      <c r="D57" s="164"/>
      <c r="E57" s="164"/>
      <c r="F57" s="164"/>
      <c r="G57" s="164"/>
      <c r="H57" s="164"/>
      <c r="I57" s="164"/>
      <c r="J57" s="164"/>
      <c r="K57" s="164"/>
      <c r="L57" s="164"/>
      <c r="M57" s="164"/>
      <c r="N57" s="164"/>
    </row>
    <row r="58" spans="1:14" s="165" customFormat="1" ht="14.25">
      <c r="A58" s="164"/>
      <c r="B58" s="164"/>
      <c r="C58" s="164"/>
      <c r="D58" s="164"/>
      <c r="E58" s="164"/>
      <c r="F58" s="164"/>
      <c r="G58" s="164"/>
      <c r="H58" s="164"/>
      <c r="I58" s="164"/>
      <c r="J58" s="164"/>
      <c r="K58" s="164"/>
      <c r="L58" s="164"/>
      <c r="M58" s="164"/>
      <c r="N58" s="164"/>
    </row>
    <row r="59" spans="1:14" s="165" customFormat="1" ht="14.25">
      <c r="A59" s="164"/>
      <c r="B59" s="164"/>
      <c r="C59" s="164"/>
      <c r="D59" s="164"/>
      <c r="E59" s="164"/>
      <c r="F59" s="164"/>
      <c r="G59" s="164"/>
      <c r="H59" s="164"/>
      <c r="I59" s="164"/>
      <c r="J59" s="164"/>
      <c r="K59" s="164"/>
      <c r="L59" s="164"/>
      <c r="M59" s="164"/>
      <c r="N59" s="164"/>
    </row>
    <row r="60" spans="1:14" s="165" customFormat="1" ht="14.25">
      <c r="A60" s="164"/>
      <c r="B60" s="164"/>
      <c r="C60" s="164"/>
      <c r="D60" s="164"/>
      <c r="E60" s="164"/>
      <c r="F60" s="164"/>
      <c r="G60" s="164"/>
      <c r="H60" s="164"/>
      <c r="I60" s="164"/>
      <c r="J60" s="164"/>
      <c r="K60" s="164"/>
      <c r="L60" s="164"/>
      <c r="M60" s="164"/>
      <c r="N60" s="164"/>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N15"/>
  <sheetViews>
    <sheetView zoomScalePageLayoutView="0" workbookViewId="0" topLeftCell="A1">
      <selection activeCell="C18" sqref="C18"/>
    </sheetView>
  </sheetViews>
  <sheetFormatPr defaultColWidth="11.421875" defaultRowHeight="15"/>
  <cols>
    <col min="1" max="5" width="24.421875" style="114" customWidth="1"/>
    <col min="6" max="6" width="12.8515625" style="114" customWidth="1"/>
    <col min="7" max="7" width="11.421875" style="114" customWidth="1"/>
    <col min="8" max="8" width="17.28125" style="114" customWidth="1"/>
    <col min="9" max="14" width="11.421875" style="114" customWidth="1"/>
  </cols>
  <sheetData>
    <row r="1" spans="1:5" ht="14.25">
      <c r="A1" s="114" t="str">
        <f>Indice!C1</f>
        <v>NEGOFIN S.A.E.C.A.</v>
      </c>
      <c r="E1" s="133" t="s">
        <v>384</v>
      </c>
    </row>
    <row r="2" ht="14.25">
      <c r="C2" s="120"/>
    </row>
    <row r="4" spans="1:9" ht="14.25">
      <c r="A4" s="264" t="s">
        <v>385</v>
      </c>
      <c r="B4" s="264"/>
      <c r="C4" s="264"/>
      <c r="D4" s="264"/>
      <c r="E4" s="264"/>
      <c r="F4" s="264"/>
      <c r="G4" s="264"/>
      <c r="H4" s="264"/>
      <c r="I4" s="265"/>
    </row>
    <row r="5" spans="1:9" ht="14.25">
      <c r="A5" s="977" t="s">
        <v>188</v>
      </c>
      <c r="B5" s="977"/>
      <c r="C5" s="977"/>
      <c r="D5" s="977"/>
      <c r="E5" s="977"/>
      <c r="F5" s="977"/>
      <c r="G5" s="977"/>
      <c r="H5" s="977"/>
      <c r="I5" s="977"/>
    </row>
    <row r="6" spans="1:14" s="165" customFormat="1" ht="15" customHeight="1">
      <c r="A6" s="984"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31 de Diciembre de 2022 son:</v>
      </c>
      <c r="B6" s="984"/>
      <c r="C6" s="984"/>
      <c r="D6" s="984"/>
      <c r="E6" s="984"/>
      <c r="F6" s="984"/>
      <c r="G6" s="984"/>
      <c r="H6" s="984"/>
      <c r="I6" s="984"/>
      <c r="J6" s="164"/>
      <c r="K6" s="164"/>
      <c r="L6" s="164"/>
      <c r="M6" s="164"/>
      <c r="N6" s="164"/>
    </row>
    <row r="7" spans="1:14" s="165" customFormat="1" ht="14.25">
      <c r="A7" s="164" t="s">
        <v>189</v>
      </c>
      <c r="B7" s="164"/>
      <c r="C7" s="164"/>
      <c r="D7" s="164"/>
      <c r="E7" s="164"/>
      <c r="F7" s="164"/>
      <c r="G7" s="164"/>
      <c r="H7" s="164"/>
      <c r="I7" s="164"/>
      <c r="J7" s="164"/>
      <c r="K7" s="164"/>
      <c r="L7" s="164"/>
      <c r="M7" s="164"/>
      <c r="N7" s="164"/>
    </row>
    <row r="8" s="164" customFormat="1" ht="14.25">
      <c r="A8" s="164" t="s">
        <v>190</v>
      </c>
    </row>
    <row r="9" spans="1:14" s="165" customFormat="1" ht="14.25">
      <c r="A9" s="164"/>
      <c r="B9" s="164"/>
      <c r="C9" s="164"/>
      <c r="D9" s="164"/>
      <c r="E9" s="164"/>
      <c r="F9" s="164"/>
      <c r="G9" s="164"/>
      <c r="H9" s="164"/>
      <c r="I9" s="164"/>
      <c r="J9" s="164"/>
      <c r="K9" s="164"/>
      <c r="L9" s="164"/>
      <c r="M9" s="164"/>
      <c r="N9" s="164"/>
    </row>
    <row r="10" spans="2:14" s="165" customFormat="1" ht="14.25">
      <c r="B10" s="164"/>
      <c r="C10" s="164"/>
      <c r="D10" s="164"/>
      <c r="E10" s="164"/>
      <c r="F10" s="164"/>
      <c r="G10" s="164"/>
      <c r="H10" s="164"/>
      <c r="I10" s="164"/>
      <c r="J10" s="164"/>
      <c r="K10" s="164"/>
      <c r="L10" s="164"/>
      <c r="M10" s="164"/>
      <c r="N10" s="164"/>
    </row>
    <row r="11" spans="1:14" s="165" customFormat="1" ht="14.25">
      <c r="A11" s="986"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2022 no existen situaciones contingentes, ni reclamos que pudieran resultar en la generación de obligaciones para la Sociedad adicionales a las que se presentan en estos estados financieros.</v>
      </c>
      <c r="B11" s="986"/>
      <c r="C11" s="986"/>
      <c r="D11" s="986"/>
      <c r="E11" s="986"/>
      <c r="F11" s="986"/>
      <c r="G11" s="986"/>
      <c r="H11" s="986"/>
      <c r="I11" s="164"/>
      <c r="J11" s="164"/>
      <c r="K11" s="164"/>
      <c r="L11" s="164"/>
      <c r="M11" s="164"/>
      <c r="N11" s="164"/>
    </row>
    <row r="12" spans="1:14" s="165" customFormat="1" ht="16.5" customHeight="1">
      <c r="A12" s="986"/>
      <c r="B12" s="986"/>
      <c r="C12" s="986"/>
      <c r="D12" s="986"/>
      <c r="E12" s="986"/>
      <c r="F12" s="986"/>
      <c r="G12" s="986"/>
      <c r="H12" s="986"/>
      <c r="I12" s="275"/>
      <c r="J12" s="164"/>
      <c r="K12" s="164"/>
      <c r="L12" s="164"/>
      <c r="M12" s="164"/>
      <c r="N12" s="164"/>
    </row>
    <row r="13" spans="1:14" s="165" customFormat="1" ht="14.25">
      <c r="A13" s="164"/>
      <c r="B13" s="164"/>
      <c r="C13" s="164"/>
      <c r="D13" s="164"/>
      <c r="E13" s="164"/>
      <c r="F13" s="164"/>
      <c r="G13" s="164"/>
      <c r="H13" s="164"/>
      <c r="I13" s="164"/>
      <c r="J13" s="164"/>
      <c r="K13" s="164"/>
      <c r="L13" s="164"/>
      <c r="M13" s="164"/>
      <c r="N13" s="164"/>
    </row>
    <row r="14" spans="1:14" s="165" customFormat="1" ht="14.25">
      <c r="A14" s="164"/>
      <c r="B14" s="164"/>
      <c r="C14" s="164"/>
      <c r="D14" s="164"/>
      <c r="E14" s="164"/>
      <c r="F14" s="164"/>
      <c r="G14" s="164"/>
      <c r="H14" s="164"/>
      <c r="I14" s="164"/>
      <c r="J14" s="164"/>
      <c r="K14" s="164"/>
      <c r="L14" s="164"/>
      <c r="M14" s="164"/>
      <c r="N14" s="164"/>
    </row>
    <row r="15" spans="1:14" s="165" customFormat="1" ht="21" customHeight="1">
      <c r="A15" s="985" t="s">
        <v>408</v>
      </c>
      <c r="B15" s="985"/>
      <c r="C15" s="985"/>
      <c r="D15" s="985"/>
      <c r="E15" s="985"/>
      <c r="F15" s="985"/>
      <c r="G15" s="985"/>
      <c r="H15" s="985"/>
      <c r="I15" s="276"/>
      <c r="J15" s="164"/>
      <c r="K15" s="164"/>
      <c r="L15" s="164"/>
      <c r="M15" s="164"/>
      <c r="N15" s="164"/>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AY25"/>
  <sheetViews>
    <sheetView zoomScalePageLayoutView="0" workbookViewId="0" topLeftCell="A1">
      <selection activeCell="B15" sqref="B15"/>
    </sheetView>
  </sheetViews>
  <sheetFormatPr defaultColWidth="11.421875" defaultRowHeight="15"/>
  <cols>
    <col min="1" max="1" width="47.8515625" style="114" customWidth="1"/>
    <col min="2" max="2" width="22.57421875" style="114" customWidth="1"/>
    <col min="3" max="3" width="26.140625" style="114" customWidth="1"/>
    <col min="4" max="51" width="11.421875" style="114" customWidth="1"/>
  </cols>
  <sheetData>
    <row r="1" spans="1:4" ht="14.25">
      <c r="A1" s="114" t="str">
        <f>Indice!C1</f>
        <v>NEGOFIN S.A.E.C.A.</v>
      </c>
      <c r="D1" s="133" t="s">
        <v>899</v>
      </c>
    </row>
    <row r="4" spans="1:7" ht="14.25">
      <c r="A4" s="987" t="s">
        <v>391</v>
      </c>
      <c r="B4" s="987"/>
      <c r="C4" s="987"/>
      <c r="D4" s="987"/>
      <c r="E4" s="987"/>
      <c r="F4" s="987"/>
      <c r="G4" s="987"/>
    </row>
    <row r="5" ht="14.25">
      <c r="A5" s="262" t="s">
        <v>241</v>
      </c>
    </row>
    <row r="6" spans="1:11" ht="59.25" customHeight="1">
      <c r="A6" s="988" t="s">
        <v>405</v>
      </c>
      <c r="B6" s="988"/>
      <c r="C6" s="988"/>
      <c r="D6" s="988"/>
      <c r="E6" s="988"/>
      <c r="F6" s="988"/>
      <c r="G6" s="988"/>
      <c r="H6" s="273"/>
      <c r="I6" s="273"/>
      <c r="J6" s="273"/>
      <c r="K6" s="273"/>
    </row>
    <row r="7" spans="1:11" ht="55.5" customHeight="1">
      <c r="A7" s="989" t="s">
        <v>392</v>
      </c>
      <c r="B7" s="989"/>
      <c r="C7" s="989"/>
      <c r="D7" s="989"/>
      <c r="E7" s="989"/>
      <c r="F7" s="989"/>
      <c r="G7" s="989"/>
      <c r="H7" s="273"/>
      <c r="I7" s="273"/>
      <c r="J7" s="273"/>
      <c r="K7" s="273"/>
    </row>
    <row r="8" ht="15">
      <c r="A8" s="266"/>
    </row>
    <row r="9" spans="1:11" s="114" customFormat="1" ht="21.75" customHeight="1">
      <c r="A9" s="990" t="s">
        <v>393</v>
      </c>
      <c r="B9" s="990"/>
      <c r="C9" s="990"/>
      <c r="D9" s="990"/>
      <c r="E9" s="990"/>
      <c r="F9" s="990"/>
      <c r="G9" s="990"/>
      <c r="H9" s="274"/>
      <c r="I9" s="274"/>
      <c r="J9" s="274"/>
      <c r="K9" s="274"/>
    </row>
    <row r="11" spans="1:51" s="324" customFormat="1" ht="15" customHeight="1">
      <c r="A11" s="327"/>
      <c r="B11" s="359">
        <f>_xlfn.IFERROR(IF(Indice!B6="","2XX2",YEAR(Indice!B6)),"2XX2")</f>
        <v>2022</v>
      </c>
      <c r="C11" s="359">
        <f>+_xlfn.IFERROR(YEAR(Indice!B6-365),"2XX1")</f>
        <v>2021</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row>
    <row r="12" spans="1:3" ht="15">
      <c r="A12" s="267" t="s">
        <v>394</v>
      </c>
      <c r="B12" s="268"/>
      <c r="C12" s="268"/>
    </row>
    <row r="13" spans="1:3" ht="15">
      <c r="A13" s="267" t="s">
        <v>395</v>
      </c>
      <c r="B13" s="268"/>
      <c r="C13" s="268"/>
    </row>
    <row r="14" spans="1:3" ht="15">
      <c r="A14" s="267" t="s">
        <v>125</v>
      </c>
      <c r="B14" s="268"/>
      <c r="C14" s="268"/>
    </row>
    <row r="15" spans="1:3" ht="15">
      <c r="A15" s="267" t="s">
        <v>396</v>
      </c>
      <c r="B15" s="268"/>
      <c r="C15" s="268"/>
    </row>
    <row r="16" spans="1:3" ht="15">
      <c r="A16" s="267" t="s">
        <v>397</v>
      </c>
      <c r="B16" s="269"/>
      <c r="C16" s="268"/>
    </row>
    <row r="17" spans="1:3" ht="15">
      <c r="A17" s="267" t="s">
        <v>124</v>
      </c>
      <c r="B17" s="269"/>
      <c r="C17" s="268"/>
    </row>
    <row r="18" spans="1:3" ht="15">
      <c r="A18" s="267" t="s">
        <v>398</v>
      </c>
      <c r="B18" s="269"/>
      <c r="C18" s="268"/>
    </row>
    <row r="19" spans="1:3" ht="15">
      <c r="A19" s="267" t="s">
        <v>399</v>
      </c>
      <c r="B19" s="269"/>
      <c r="C19" s="268"/>
    </row>
    <row r="20" spans="1:3" ht="15">
      <c r="A20" s="267" t="s">
        <v>400</v>
      </c>
      <c r="B20" s="269"/>
      <c r="C20" s="268"/>
    </row>
    <row r="21" spans="1:3" ht="15">
      <c r="A21" s="267" t="s">
        <v>401</v>
      </c>
      <c r="B21" s="269"/>
      <c r="C21" s="268"/>
    </row>
    <row r="22" spans="1:3" ht="15">
      <c r="A22" s="267" t="s">
        <v>402</v>
      </c>
      <c r="B22" s="269"/>
      <c r="C22" s="268"/>
    </row>
    <row r="23" spans="1:3" ht="30.75">
      <c r="A23" s="267" t="s">
        <v>403</v>
      </c>
      <c r="B23" s="269"/>
      <c r="C23" s="268"/>
    </row>
    <row r="24" spans="1:3" ht="15">
      <c r="A24" s="267" t="s">
        <v>404</v>
      </c>
      <c r="B24" s="269"/>
      <c r="C24" s="268"/>
    </row>
    <row r="25" spans="1:3" ht="15">
      <c r="A25" s="270" t="s">
        <v>3</v>
      </c>
      <c r="B25" s="271"/>
      <c r="C25" s="272"/>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A1:N14"/>
  <sheetViews>
    <sheetView showGridLines="0" zoomScalePageLayoutView="0" workbookViewId="0" topLeftCell="A4">
      <selection activeCell="A10" sqref="A10"/>
    </sheetView>
  </sheetViews>
  <sheetFormatPr defaultColWidth="11.421875" defaultRowHeight="15"/>
  <cols>
    <col min="1" max="5" width="24.421875" style="114" customWidth="1"/>
    <col min="6" max="6" width="12.8515625" style="114" customWidth="1"/>
    <col min="7" max="7" width="11.421875" style="114" customWidth="1"/>
    <col min="8" max="8" width="17.28125" style="114" customWidth="1"/>
    <col min="9" max="14" width="11.421875" style="114" customWidth="1"/>
  </cols>
  <sheetData>
    <row r="1" spans="1:5" ht="14.25">
      <c r="A1" s="114" t="str">
        <f>Indice!C1</f>
        <v>NEGOFIN S.A.E.C.A.</v>
      </c>
      <c r="E1" s="133" t="s">
        <v>384</v>
      </c>
    </row>
    <row r="2" ht="14.25">
      <c r="C2" s="120"/>
    </row>
    <row r="5" spans="1:9" ht="14.25">
      <c r="A5" s="264" t="s">
        <v>406</v>
      </c>
      <c r="B5" s="264"/>
      <c r="C5" s="264"/>
      <c r="D5" s="264"/>
      <c r="E5" s="264"/>
      <c r="F5" s="264"/>
      <c r="G5" s="264"/>
      <c r="H5" s="264"/>
      <c r="I5" s="264"/>
    </row>
    <row r="6" spans="1:14" s="181" customFormat="1" ht="17.25" customHeight="1">
      <c r="A6" s="977" t="s">
        <v>191</v>
      </c>
      <c r="B6" s="977"/>
      <c r="C6" s="977"/>
      <c r="D6" s="977"/>
      <c r="E6" s="977"/>
      <c r="F6" s="977"/>
      <c r="G6" s="977"/>
      <c r="H6" s="977"/>
      <c r="I6" s="977"/>
      <c r="J6" s="180"/>
      <c r="K6" s="180"/>
      <c r="L6" s="180"/>
      <c r="M6" s="180"/>
      <c r="N6" s="180"/>
    </row>
    <row r="8" spans="1:14" s="165" customFormat="1" ht="14.25">
      <c r="A8" s="164"/>
      <c r="B8" s="164"/>
      <c r="C8" s="164"/>
      <c r="D8" s="164"/>
      <c r="E8" s="164"/>
      <c r="F8" s="164"/>
      <c r="G8" s="164"/>
      <c r="H8" s="164"/>
      <c r="I8" s="164"/>
      <c r="J8" s="164"/>
      <c r="K8" s="164"/>
      <c r="L8" s="164"/>
      <c r="M8" s="164"/>
      <c r="N8" s="164"/>
    </row>
    <row r="9" spans="1:9" s="164" customFormat="1" ht="39" customHeight="1">
      <c r="A9" s="986" t="s">
        <v>1401</v>
      </c>
      <c r="B9" s="986"/>
      <c r="C9" s="986"/>
      <c r="D9" s="986"/>
      <c r="E9" s="986"/>
      <c r="F9" s="986"/>
      <c r="G9" s="986"/>
      <c r="H9" s="986"/>
      <c r="I9" s="986"/>
    </row>
    <row r="10" spans="1:14" s="165" customFormat="1" ht="14.25">
      <c r="A10" s="164"/>
      <c r="B10" s="164"/>
      <c r="C10" s="164"/>
      <c r="D10" s="164"/>
      <c r="E10" s="164"/>
      <c r="F10" s="164"/>
      <c r="G10" s="164"/>
      <c r="H10" s="164"/>
      <c r="I10" s="164"/>
      <c r="J10" s="164"/>
      <c r="K10" s="164"/>
      <c r="L10" s="164"/>
      <c r="M10" s="164"/>
      <c r="N10" s="164"/>
    </row>
    <row r="11" spans="10:14" s="165" customFormat="1" ht="46.5" customHeight="1">
      <c r="J11" s="164"/>
      <c r="K11" s="164"/>
      <c r="L11" s="164"/>
      <c r="M11" s="164"/>
      <c r="N11" s="164"/>
    </row>
    <row r="12" spans="1:14" s="165" customFormat="1" ht="14.25">
      <c r="A12" s="164"/>
      <c r="B12" s="164"/>
      <c r="C12" s="164"/>
      <c r="D12" s="164"/>
      <c r="E12" s="164"/>
      <c r="F12" s="164"/>
      <c r="G12" s="164"/>
      <c r="H12" s="164"/>
      <c r="I12" s="164"/>
      <c r="J12" s="164"/>
      <c r="K12" s="164"/>
      <c r="L12" s="164"/>
      <c r="M12" s="164"/>
      <c r="N12" s="164"/>
    </row>
    <row r="13" spans="1:14" s="165" customFormat="1" ht="14.25">
      <c r="A13" s="991"/>
      <c r="B13" s="991"/>
      <c r="C13" s="991"/>
      <c r="D13" s="991"/>
      <c r="E13" s="991"/>
      <c r="F13" s="991"/>
      <c r="G13" s="991"/>
      <c r="H13" s="991"/>
      <c r="I13" s="991"/>
      <c r="J13" s="164"/>
      <c r="K13" s="164"/>
      <c r="L13" s="164"/>
      <c r="M13" s="164"/>
      <c r="N13" s="164"/>
    </row>
    <row r="14" spans="1:14" s="165" customFormat="1" ht="14.25">
      <c r="A14" s="164"/>
      <c r="B14" s="164"/>
      <c r="C14" s="164"/>
      <c r="D14" s="164"/>
      <c r="E14" s="164"/>
      <c r="F14" s="164"/>
      <c r="G14" s="164"/>
      <c r="H14" s="164"/>
      <c r="I14" s="164"/>
      <c r="J14" s="164"/>
      <c r="K14" s="164"/>
      <c r="L14" s="164"/>
      <c r="M14" s="164"/>
      <c r="N14" s="164"/>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H36"/>
  <sheetViews>
    <sheetView showGridLines="0" zoomScalePageLayoutView="0" workbookViewId="0" topLeftCell="A19">
      <selection activeCell="A13" sqref="A13"/>
    </sheetView>
  </sheetViews>
  <sheetFormatPr defaultColWidth="11.421875" defaultRowHeight="15"/>
  <cols>
    <col min="1" max="1" width="42.57421875" style="0" customWidth="1"/>
    <col min="2" max="2" width="17.00390625" style="0" customWidth="1"/>
    <col min="3" max="3" width="17.57421875" style="0" customWidth="1"/>
  </cols>
  <sheetData>
    <row r="1" spans="1:8" ht="14.25">
      <c r="A1" t="str">
        <f>Indice!C1</f>
        <v>NEGOFIN S.A.E.C.A.</v>
      </c>
      <c r="C1" s="404" t="s">
        <v>384</v>
      </c>
      <c r="H1" s="132"/>
    </row>
    <row r="5" spans="1:7" ht="14.25">
      <c r="A5" s="402" t="s">
        <v>896</v>
      </c>
      <c r="B5" s="402"/>
      <c r="C5" s="402"/>
      <c r="D5" s="402"/>
      <c r="E5" s="403"/>
      <c r="F5" s="403"/>
      <c r="G5" s="403"/>
    </row>
    <row r="6" spans="1:7" ht="14.25">
      <c r="A6" s="401" t="s">
        <v>259</v>
      </c>
      <c r="B6" s="392"/>
      <c r="C6" s="392"/>
      <c r="D6" s="392"/>
      <c r="E6" s="392"/>
      <c r="F6" s="392"/>
      <c r="G6" s="392"/>
    </row>
    <row r="7" spans="1:7" ht="14.25">
      <c r="A7" s="392" t="s">
        <v>1117</v>
      </c>
      <c r="B7" s="392"/>
      <c r="C7" s="392"/>
      <c r="D7" s="392"/>
      <c r="E7" s="392"/>
      <c r="F7" s="392"/>
      <c r="G7" s="392"/>
    </row>
    <row r="8" spans="1:7" ht="14.25">
      <c r="A8" s="992"/>
      <c r="B8" s="992"/>
      <c r="C8" s="992"/>
      <c r="D8" s="992"/>
      <c r="E8" s="992"/>
      <c r="F8" s="992"/>
      <c r="G8" s="992"/>
    </row>
    <row r="9" spans="1:7" ht="14.25">
      <c r="A9" s="392"/>
      <c r="B9" s="392"/>
      <c r="C9" s="392"/>
      <c r="D9" s="392"/>
      <c r="E9" s="392"/>
      <c r="F9" s="392"/>
      <c r="G9" s="392"/>
    </row>
    <row r="10" spans="1:7" ht="14.25">
      <c r="A10" s="393"/>
      <c r="B10" s="359">
        <f>_xlfn.IFERROR(IF(Indice!B6="","2XX2",YEAR(Indice!B6)),"2XX2")</f>
        <v>2022</v>
      </c>
      <c r="C10" s="359">
        <f>+_xlfn.IFERROR(YEAR(Indice!B6-365),"2XX1")</f>
        <v>2021</v>
      </c>
      <c r="D10" s="392"/>
      <c r="E10" s="392"/>
      <c r="F10" s="392"/>
      <c r="G10" s="392"/>
    </row>
    <row r="11" spans="1:7" ht="14.25">
      <c r="A11" s="395" t="s">
        <v>884</v>
      </c>
      <c r="B11" s="396"/>
      <c r="C11" s="396"/>
      <c r="D11" s="392"/>
      <c r="E11" s="392"/>
      <c r="F11" s="392"/>
      <c r="G11" s="392"/>
    </row>
    <row r="12" spans="1:7" ht="14.25">
      <c r="A12" s="396" t="s">
        <v>109</v>
      </c>
      <c r="B12" s="396"/>
      <c r="C12" s="396"/>
      <c r="D12" s="392"/>
      <c r="E12" s="392"/>
      <c r="F12" s="392"/>
      <c r="G12" s="392"/>
    </row>
    <row r="13" spans="1:7" ht="14.25">
      <c r="A13" s="396" t="s">
        <v>885</v>
      </c>
      <c r="B13" s="396"/>
      <c r="C13" s="396"/>
      <c r="D13" s="392"/>
      <c r="E13" s="392"/>
      <c r="F13" s="392"/>
      <c r="G13" s="392"/>
    </row>
    <row r="14" spans="1:7" ht="14.25">
      <c r="A14" s="396" t="s">
        <v>40</v>
      </c>
      <c r="B14" s="396"/>
      <c r="C14" s="396"/>
      <c r="D14" s="392"/>
      <c r="E14" s="392"/>
      <c r="F14" s="392"/>
      <c r="G14" s="392"/>
    </row>
    <row r="15" spans="1:7" ht="14.25">
      <c r="A15" s="395" t="s">
        <v>886</v>
      </c>
      <c r="B15" s="396"/>
      <c r="C15" s="396"/>
      <c r="D15" s="392"/>
      <c r="E15" s="392"/>
      <c r="F15" s="392"/>
      <c r="G15" s="392"/>
    </row>
    <row r="16" spans="1:7" ht="14.25">
      <c r="A16" s="395" t="s">
        <v>887</v>
      </c>
      <c r="B16" s="394"/>
      <c r="C16" s="394"/>
      <c r="D16" s="392"/>
      <c r="E16" s="392"/>
      <c r="F16" s="392"/>
      <c r="G16" s="392"/>
    </row>
    <row r="17" spans="1:7" ht="14.25">
      <c r="A17" s="396" t="s">
        <v>110</v>
      </c>
      <c r="B17" s="396"/>
      <c r="C17" s="396"/>
      <c r="D17" s="392"/>
      <c r="E17" s="392"/>
      <c r="F17" s="392"/>
      <c r="G17" s="392"/>
    </row>
    <row r="18" spans="1:7" ht="14.25">
      <c r="A18" s="396" t="s">
        <v>111</v>
      </c>
      <c r="B18" s="396"/>
      <c r="C18" s="396"/>
      <c r="D18" s="392"/>
      <c r="E18" s="392"/>
      <c r="F18" s="392"/>
      <c r="G18" s="392"/>
    </row>
    <row r="19" spans="1:7" ht="14.25">
      <c r="A19" s="396" t="s">
        <v>68</v>
      </c>
      <c r="B19" s="396"/>
      <c r="C19" s="396"/>
      <c r="D19" s="392"/>
      <c r="E19" s="392"/>
      <c r="F19" s="392"/>
      <c r="G19" s="392"/>
    </row>
    <row r="20" spans="1:7" ht="14.25">
      <c r="A20" s="396" t="s">
        <v>888</v>
      </c>
      <c r="B20" s="396"/>
      <c r="C20" s="396"/>
      <c r="D20" s="392"/>
      <c r="E20" s="392"/>
      <c r="F20" s="392"/>
      <c r="G20" s="392"/>
    </row>
    <row r="21" spans="1:7" ht="14.25">
      <c r="A21" s="396" t="s">
        <v>889</v>
      </c>
      <c r="B21" s="396"/>
      <c r="C21" s="396"/>
      <c r="D21" s="392"/>
      <c r="E21" s="392"/>
      <c r="F21" s="392"/>
      <c r="G21" s="392"/>
    </row>
    <row r="22" spans="1:7" ht="14.25">
      <c r="A22" s="395" t="s">
        <v>890</v>
      </c>
      <c r="B22" s="396"/>
      <c r="C22" s="396"/>
      <c r="D22" s="392"/>
      <c r="E22" s="392"/>
      <c r="F22" s="392"/>
      <c r="G22" s="392"/>
    </row>
    <row r="23" spans="1:7" ht="14.25">
      <c r="A23" s="392"/>
      <c r="B23" s="392"/>
      <c r="C23" s="392"/>
      <c r="D23" s="392"/>
      <c r="E23" s="392"/>
      <c r="F23" s="392"/>
      <c r="G23" s="392"/>
    </row>
    <row r="24" spans="1:7" ht="14.25">
      <c r="A24" s="993"/>
      <c r="B24" s="993"/>
      <c r="C24" s="993"/>
      <c r="D24" s="993"/>
      <c r="E24" s="993"/>
      <c r="F24" s="993"/>
      <c r="G24" s="397"/>
    </row>
    <row r="25" spans="1:7" ht="14.25">
      <c r="A25" s="397"/>
      <c r="B25" s="397"/>
      <c r="C25" s="397"/>
      <c r="D25" s="397"/>
      <c r="E25" s="397"/>
      <c r="F25" s="397"/>
      <c r="G25" s="397"/>
    </row>
    <row r="26" spans="1:7" ht="14.25">
      <c r="A26" s="398"/>
      <c r="B26" s="359">
        <f>_xlfn.IFERROR(IF(Indice!B6="","2XX2",YEAR(Indice!B6)),"2XX2")</f>
        <v>2022</v>
      </c>
      <c r="C26" s="359">
        <f>+_xlfn.IFERROR(YEAR(Indice!B6-365),"2XX1")</f>
        <v>2021</v>
      </c>
      <c r="D26" s="397"/>
      <c r="E26" s="397"/>
      <c r="F26" s="397"/>
      <c r="G26" s="397"/>
    </row>
    <row r="27" spans="1:7" ht="14.25">
      <c r="A27" s="399" t="s">
        <v>154</v>
      </c>
      <c r="B27" s="400"/>
      <c r="C27" s="400"/>
      <c r="D27" s="397"/>
      <c r="E27" s="397"/>
      <c r="F27" s="397"/>
      <c r="G27" s="397"/>
    </row>
    <row r="28" spans="1:7" ht="14.25">
      <c r="A28" s="400" t="s">
        <v>891</v>
      </c>
      <c r="B28" s="400"/>
      <c r="C28" s="400"/>
      <c r="D28" s="397"/>
      <c r="E28" s="397"/>
      <c r="F28" s="397"/>
      <c r="G28" s="397"/>
    </row>
    <row r="29" spans="1:7" ht="14.25">
      <c r="A29" s="400"/>
      <c r="B29" s="400"/>
      <c r="C29" s="400"/>
      <c r="D29" s="397"/>
      <c r="E29" s="397"/>
      <c r="F29" s="397"/>
      <c r="G29" s="397"/>
    </row>
    <row r="30" spans="1:7" ht="14.25">
      <c r="A30" s="399" t="s">
        <v>182</v>
      </c>
      <c r="B30" s="400"/>
      <c r="C30" s="400"/>
      <c r="D30" s="397"/>
      <c r="E30" s="397"/>
      <c r="F30" s="397"/>
      <c r="G30" s="397"/>
    </row>
    <row r="31" spans="1:7" ht="14.25">
      <c r="A31" s="400" t="s">
        <v>892</v>
      </c>
      <c r="B31" s="400"/>
      <c r="C31" s="400"/>
      <c r="D31" s="397"/>
      <c r="E31" s="397"/>
      <c r="F31" s="397"/>
      <c r="G31" s="397"/>
    </row>
    <row r="32" spans="1:7" ht="14.25">
      <c r="A32" s="400" t="s">
        <v>893</v>
      </c>
      <c r="B32" s="400"/>
      <c r="C32" s="400"/>
      <c r="D32" s="397"/>
      <c r="E32" s="397"/>
      <c r="F32" s="397"/>
      <c r="G32" s="397"/>
    </row>
    <row r="33" spans="1:7" ht="14.25">
      <c r="A33" s="399" t="s">
        <v>894</v>
      </c>
      <c r="B33" s="400"/>
      <c r="C33" s="400"/>
      <c r="D33" s="397"/>
      <c r="E33" s="397"/>
      <c r="F33" s="397"/>
      <c r="G33" s="397"/>
    </row>
    <row r="34" spans="1:7" ht="14.25">
      <c r="A34" s="400" t="s">
        <v>895</v>
      </c>
      <c r="B34" s="400"/>
      <c r="C34" s="400"/>
      <c r="D34" s="397"/>
      <c r="E34" s="397"/>
      <c r="F34" s="397"/>
      <c r="G34" s="397"/>
    </row>
    <row r="35" spans="1:7" ht="14.25">
      <c r="A35" s="397"/>
      <c r="B35" s="397"/>
      <c r="C35" s="397"/>
      <c r="D35" s="397"/>
      <c r="E35" s="397"/>
      <c r="F35" s="397"/>
      <c r="G35" s="397"/>
    </row>
    <row r="36" spans="1:7" ht="14.25">
      <c r="A36" s="397"/>
      <c r="B36" s="397"/>
      <c r="C36" s="397"/>
      <c r="D36" s="397"/>
      <c r="E36" s="397"/>
      <c r="F36" s="397"/>
      <c r="G36" s="397"/>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C179"/>
  <sheetViews>
    <sheetView zoomScalePageLayoutView="0" workbookViewId="0" topLeftCell="A34">
      <selection activeCell="C18" sqref="C18"/>
    </sheetView>
  </sheetViews>
  <sheetFormatPr defaultColWidth="11.421875" defaultRowHeight="15"/>
  <cols>
    <col min="1" max="1" width="11.421875" style="277" customWidth="1"/>
    <col min="2" max="2" width="66.140625" style="277" bestFit="1" customWidth="1"/>
  </cols>
  <sheetData>
    <row r="1" spans="1:3" ht="14.25">
      <c r="A1" s="277" t="s">
        <v>430</v>
      </c>
      <c r="B1" s="277" t="s">
        <v>753</v>
      </c>
      <c r="C1" s="132" t="s">
        <v>899</v>
      </c>
    </row>
    <row r="2" spans="1:2" ht="14.25">
      <c r="A2" s="277" t="s">
        <v>429</v>
      </c>
      <c r="B2" s="277" t="s">
        <v>619</v>
      </c>
    </row>
    <row r="3" spans="1:2" ht="14.25">
      <c r="A3" s="277" t="s">
        <v>521</v>
      </c>
      <c r="B3" s="277" t="s">
        <v>685</v>
      </c>
    </row>
    <row r="4" spans="1:2" ht="14.25">
      <c r="A4" s="277" t="s">
        <v>477</v>
      </c>
      <c r="B4" s="277" t="s">
        <v>478</v>
      </c>
    </row>
    <row r="5" spans="1:2" ht="14.25">
      <c r="A5" s="277" t="s">
        <v>479</v>
      </c>
      <c r="B5" s="277" t="s">
        <v>633</v>
      </c>
    </row>
    <row r="6" spans="1:2" ht="14.25">
      <c r="A6" s="277" t="s">
        <v>480</v>
      </c>
      <c r="B6" s="277" t="s">
        <v>634</v>
      </c>
    </row>
    <row r="7" spans="1:2" ht="14.25">
      <c r="A7" s="277" t="s">
        <v>481</v>
      </c>
      <c r="B7" s="277" t="s">
        <v>635</v>
      </c>
    </row>
    <row r="8" spans="1:2" ht="14.25">
      <c r="A8" s="277" t="s">
        <v>482</v>
      </c>
      <c r="B8" s="277" t="s">
        <v>636</v>
      </c>
    </row>
    <row r="9" spans="1:2" ht="14.25">
      <c r="A9" s="277" t="s">
        <v>483</v>
      </c>
      <c r="B9" s="277" t="s">
        <v>637</v>
      </c>
    </row>
    <row r="10" spans="1:2" ht="14.25">
      <c r="A10" s="277" t="s">
        <v>484</v>
      </c>
      <c r="B10" s="277" t="s">
        <v>638</v>
      </c>
    </row>
    <row r="11" spans="1:2" ht="14.25">
      <c r="A11" s="277" t="s">
        <v>485</v>
      </c>
      <c r="B11" s="277" t="s">
        <v>639</v>
      </c>
    </row>
    <row r="12" spans="1:2" ht="14.25">
      <c r="A12" s="277" t="s">
        <v>486</v>
      </c>
      <c r="B12" s="277" t="s">
        <v>640</v>
      </c>
    </row>
    <row r="13" spans="1:2" ht="14.25">
      <c r="A13" s="277" t="s">
        <v>487</v>
      </c>
      <c r="B13" s="277" t="s">
        <v>641</v>
      </c>
    </row>
    <row r="14" spans="1:2" ht="14.25">
      <c r="A14" s="277" t="s">
        <v>488</v>
      </c>
      <c r="B14" s="277" t="s">
        <v>642</v>
      </c>
    </row>
    <row r="15" spans="1:2" ht="14.25">
      <c r="A15" s="277" t="s">
        <v>489</v>
      </c>
      <c r="B15" s="277" t="s">
        <v>643</v>
      </c>
    </row>
    <row r="16" spans="1:2" ht="14.25">
      <c r="A16" s="277" t="s">
        <v>490</v>
      </c>
      <c r="B16" s="277" t="s">
        <v>644</v>
      </c>
    </row>
    <row r="17" spans="1:2" ht="14.25">
      <c r="A17" s="277" t="s">
        <v>491</v>
      </c>
      <c r="B17" s="277" t="s">
        <v>645</v>
      </c>
    </row>
    <row r="18" spans="1:2" ht="14.25">
      <c r="A18" s="277" t="s">
        <v>492</v>
      </c>
      <c r="B18" s="277" t="s">
        <v>646</v>
      </c>
    </row>
    <row r="19" spans="1:2" ht="14.25">
      <c r="A19" s="277" t="s">
        <v>493</v>
      </c>
      <c r="B19" s="277" t="s">
        <v>647</v>
      </c>
    </row>
    <row r="20" spans="1:2" ht="14.25">
      <c r="A20" s="277" t="s">
        <v>494</v>
      </c>
      <c r="B20" s="277" t="s">
        <v>648</v>
      </c>
    </row>
    <row r="21" spans="1:2" ht="14.25">
      <c r="A21" s="277" t="s">
        <v>495</v>
      </c>
      <c r="B21" s="277" t="s">
        <v>649</v>
      </c>
    </row>
    <row r="22" spans="1:2" ht="14.25">
      <c r="A22" s="277" t="s">
        <v>496</v>
      </c>
      <c r="B22" s="277" t="s">
        <v>650</v>
      </c>
    </row>
    <row r="23" spans="1:2" ht="14.25">
      <c r="A23" s="277" t="s">
        <v>651</v>
      </c>
      <c r="B23" s="277" t="s">
        <v>652</v>
      </c>
    </row>
    <row r="24" spans="1:2" ht="14.25">
      <c r="A24" s="277" t="s">
        <v>497</v>
      </c>
      <c r="B24" s="277" t="s">
        <v>653</v>
      </c>
    </row>
    <row r="25" spans="1:2" ht="14.25">
      <c r="A25" s="277" t="s">
        <v>498</v>
      </c>
      <c r="B25" s="277" t="s">
        <v>654</v>
      </c>
    </row>
    <row r="26" spans="1:2" ht="14.25">
      <c r="A26" s="277" t="s">
        <v>499</v>
      </c>
      <c r="B26" s="277" t="s">
        <v>655</v>
      </c>
    </row>
    <row r="27" spans="1:2" ht="14.25">
      <c r="A27" s="277" t="s">
        <v>500</v>
      </c>
      <c r="B27" s="277" t="s">
        <v>656</v>
      </c>
    </row>
    <row r="28" spans="1:2" ht="14.25">
      <c r="A28" s="277" t="s">
        <v>501</v>
      </c>
      <c r="B28" s="277" t="s">
        <v>657</v>
      </c>
    </row>
    <row r="29" spans="1:2" ht="14.25">
      <c r="A29" s="277" t="s">
        <v>502</v>
      </c>
      <c r="B29" s="277" t="s">
        <v>658</v>
      </c>
    </row>
    <row r="30" spans="1:2" ht="14.25">
      <c r="A30" s="277" t="s">
        <v>503</v>
      </c>
      <c r="B30" s="277" t="s">
        <v>659</v>
      </c>
    </row>
    <row r="31" spans="1:2" ht="14.25">
      <c r="A31" s="277" t="s">
        <v>504</v>
      </c>
      <c r="B31" s="277" t="s">
        <v>660</v>
      </c>
    </row>
    <row r="32" spans="1:2" ht="14.25">
      <c r="A32" s="277" t="s">
        <v>661</v>
      </c>
      <c r="B32" s="277" t="s">
        <v>662</v>
      </c>
    </row>
    <row r="33" spans="1:2" ht="14.25">
      <c r="A33" s="277" t="s">
        <v>505</v>
      </c>
      <c r="B33" s="277" t="s">
        <v>663</v>
      </c>
    </row>
    <row r="34" spans="1:2" ht="14.25">
      <c r="A34" s="277" t="s">
        <v>664</v>
      </c>
      <c r="B34" s="277" t="s">
        <v>665</v>
      </c>
    </row>
    <row r="35" spans="1:2" ht="14.25">
      <c r="A35" s="277" t="s">
        <v>666</v>
      </c>
      <c r="B35" s="277" t="s">
        <v>667</v>
      </c>
    </row>
    <row r="36" spans="1:2" ht="14.25">
      <c r="A36" s="277" t="s">
        <v>506</v>
      </c>
      <c r="B36" s="277" t="s">
        <v>668</v>
      </c>
    </row>
    <row r="37" spans="1:2" ht="14.25">
      <c r="A37" s="277" t="s">
        <v>507</v>
      </c>
      <c r="B37" s="277" t="s">
        <v>669</v>
      </c>
    </row>
    <row r="38" spans="1:2" ht="14.25">
      <c r="A38" s="277" t="s">
        <v>508</v>
      </c>
      <c r="B38" s="277" t="s">
        <v>670</v>
      </c>
    </row>
    <row r="39" spans="1:2" ht="14.25">
      <c r="A39" s="277" t="s">
        <v>671</v>
      </c>
      <c r="B39" s="277" t="s">
        <v>672</v>
      </c>
    </row>
    <row r="40" spans="1:2" ht="14.25">
      <c r="A40" s="277" t="s">
        <v>509</v>
      </c>
      <c r="B40" s="277" t="s">
        <v>673</v>
      </c>
    </row>
    <row r="41" spans="1:2" ht="14.25">
      <c r="A41" s="277" t="s">
        <v>510</v>
      </c>
      <c r="B41" s="277" t="s">
        <v>674</v>
      </c>
    </row>
    <row r="42" spans="1:2" ht="14.25">
      <c r="A42" s="277" t="s">
        <v>511</v>
      </c>
      <c r="B42" s="277" t="s">
        <v>675</v>
      </c>
    </row>
    <row r="43" spans="1:2" ht="14.25">
      <c r="A43" s="277" t="s">
        <v>512</v>
      </c>
      <c r="B43" s="277" t="s">
        <v>676</v>
      </c>
    </row>
    <row r="44" spans="1:2" ht="14.25">
      <c r="A44" s="277" t="s">
        <v>513</v>
      </c>
      <c r="B44" s="277" t="s">
        <v>677</v>
      </c>
    </row>
    <row r="45" spans="1:2" ht="14.25">
      <c r="A45" s="277" t="s">
        <v>514</v>
      </c>
      <c r="B45" s="277" t="s">
        <v>678</v>
      </c>
    </row>
    <row r="46" spans="1:2" ht="14.25">
      <c r="A46" s="277" t="s">
        <v>515</v>
      </c>
      <c r="B46" s="277" t="s">
        <v>679</v>
      </c>
    </row>
    <row r="47" spans="1:2" ht="14.25">
      <c r="A47" s="277" t="s">
        <v>516</v>
      </c>
      <c r="B47" s="277" t="s">
        <v>680</v>
      </c>
    </row>
    <row r="48" spans="1:2" ht="14.25">
      <c r="A48" s="277" t="s">
        <v>517</v>
      </c>
      <c r="B48" s="277" t="s">
        <v>681</v>
      </c>
    </row>
    <row r="49" spans="1:2" ht="14.25">
      <c r="A49" s="277" t="s">
        <v>518</v>
      </c>
      <c r="B49" s="277" t="s">
        <v>682</v>
      </c>
    </row>
    <row r="50" spans="1:2" ht="14.25">
      <c r="A50" s="277" t="s">
        <v>519</v>
      </c>
      <c r="B50" s="277" t="s">
        <v>683</v>
      </c>
    </row>
    <row r="51" spans="1:2" ht="14.25">
      <c r="A51" s="277" t="s">
        <v>520</v>
      </c>
      <c r="B51" s="277" t="s">
        <v>684</v>
      </c>
    </row>
    <row r="52" spans="1:2" ht="14.25">
      <c r="A52" s="277" t="s">
        <v>522</v>
      </c>
      <c r="B52" s="277" t="s">
        <v>686</v>
      </c>
    </row>
    <row r="53" spans="1:2" ht="14.25">
      <c r="A53" s="277" t="s">
        <v>523</v>
      </c>
      <c r="B53" s="277" t="s">
        <v>687</v>
      </c>
    </row>
    <row r="54" spans="1:2" ht="14.25">
      <c r="A54" s="277" t="s">
        <v>524</v>
      </c>
      <c r="B54" s="277" t="s">
        <v>688</v>
      </c>
    </row>
    <row r="55" spans="1:2" ht="14.25">
      <c r="A55" s="277" t="s">
        <v>525</v>
      </c>
      <c r="B55" s="277" t="s">
        <v>689</v>
      </c>
    </row>
    <row r="56" spans="1:2" ht="14.25">
      <c r="A56" s="277" t="s">
        <v>526</v>
      </c>
      <c r="B56" s="277" t="s">
        <v>690</v>
      </c>
    </row>
    <row r="57" spans="1:2" ht="14.25">
      <c r="A57" s="277" t="s">
        <v>527</v>
      </c>
      <c r="B57" s="277" t="s">
        <v>691</v>
      </c>
    </row>
    <row r="58" spans="1:2" ht="14.25">
      <c r="A58" s="277" t="s">
        <v>528</v>
      </c>
      <c r="B58" s="277" t="s">
        <v>692</v>
      </c>
    </row>
    <row r="59" spans="1:2" ht="14.25">
      <c r="A59" s="277" t="s">
        <v>529</v>
      </c>
      <c r="B59" s="277" t="s">
        <v>693</v>
      </c>
    </row>
    <row r="60" spans="1:2" ht="14.25">
      <c r="A60" s="277" t="s">
        <v>530</v>
      </c>
      <c r="B60" s="277" t="s">
        <v>694</v>
      </c>
    </row>
    <row r="61" spans="1:2" ht="14.25">
      <c r="A61" s="277" t="s">
        <v>531</v>
      </c>
      <c r="B61" s="277" t="s">
        <v>695</v>
      </c>
    </row>
    <row r="62" spans="1:2" ht="14.25">
      <c r="A62" s="277" t="s">
        <v>532</v>
      </c>
      <c r="B62" s="277" t="s">
        <v>696</v>
      </c>
    </row>
    <row r="63" spans="1:2" ht="14.25">
      <c r="A63" s="277" t="s">
        <v>533</v>
      </c>
      <c r="B63" s="277" t="s">
        <v>697</v>
      </c>
    </row>
    <row r="64" spans="1:2" ht="14.25">
      <c r="A64" s="277" t="s">
        <v>534</v>
      </c>
      <c r="B64" s="277" t="s">
        <v>698</v>
      </c>
    </row>
    <row r="65" spans="1:2" ht="14.25">
      <c r="A65" s="277" t="s">
        <v>535</v>
      </c>
      <c r="B65" s="277" t="s">
        <v>699</v>
      </c>
    </row>
    <row r="66" spans="1:2" ht="14.25">
      <c r="A66" s="277" t="s">
        <v>536</v>
      </c>
      <c r="B66" s="277" t="s">
        <v>700</v>
      </c>
    </row>
    <row r="67" spans="1:2" ht="14.25">
      <c r="A67" s="277" t="s">
        <v>537</v>
      </c>
      <c r="B67" s="277" t="s">
        <v>701</v>
      </c>
    </row>
    <row r="68" spans="1:2" ht="14.25">
      <c r="A68" s="277" t="s">
        <v>538</v>
      </c>
      <c r="B68" s="277" t="s">
        <v>702</v>
      </c>
    </row>
    <row r="69" spans="1:2" ht="14.25">
      <c r="A69" s="277" t="s">
        <v>539</v>
      </c>
      <c r="B69" s="277" t="s">
        <v>703</v>
      </c>
    </row>
    <row r="70" spans="1:2" ht="14.25">
      <c r="A70" s="277" t="s">
        <v>540</v>
      </c>
      <c r="B70" s="277" t="s">
        <v>704</v>
      </c>
    </row>
    <row r="71" spans="1:2" ht="14.25">
      <c r="A71" s="277" t="s">
        <v>541</v>
      </c>
      <c r="B71" s="277" t="s">
        <v>705</v>
      </c>
    </row>
    <row r="72" spans="1:2" ht="14.25">
      <c r="A72" s="277" t="s">
        <v>542</v>
      </c>
      <c r="B72" s="277" t="s">
        <v>706</v>
      </c>
    </row>
    <row r="73" spans="1:2" ht="14.25">
      <c r="A73" s="277" t="s">
        <v>543</v>
      </c>
      <c r="B73" s="277" t="s">
        <v>707</v>
      </c>
    </row>
    <row r="74" spans="1:2" ht="14.25">
      <c r="A74" s="277" t="s">
        <v>544</v>
      </c>
      <c r="B74" s="277" t="s">
        <v>708</v>
      </c>
    </row>
    <row r="75" spans="1:2" ht="14.25">
      <c r="A75" s="277" t="s">
        <v>545</v>
      </c>
      <c r="B75" s="277" t="s">
        <v>709</v>
      </c>
    </row>
    <row r="76" spans="1:2" ht="14.25">
      <c r="A76" s="277" t="s">
        <v>546</v>
      </c>
      <c r="B76" s="277" t="s">
        <v>710</v>
      </c>
    </row>
    <row r="77" spans="1:2" ht="14.25">
      <c r="A77" s="277" t="s">
        <v>547</v>
      </c>
      <c r="B77" s="277" t="s">
        <v>711</v>
      </c>
    </row>
    <row r="78" spans="1:2" ht="14.25">
      <c r="A78" s="277" t="s">
        <v>548</v>
      </c>
      <c r="B78" s="277" t="s">
        <v>712</v>
      </c>
    </row>
    <row r="79" spans="1:2" ht="14.25">
      <c r="A79" s="277" t="s">
        <v>549</v>
      </c>
      <c r="B79" s="277" t="s">
        <v>713</v>
      </c>
    </row>
    <row r="80" spans="1:2" ht="14.25">
      <c r="A80" s="277" t="s">
        <v>550</v>
      </c>
      <c r="B80" s="277" t="s">
        <v>714</v>
      </c>
    </row>
    <row r="81" spans="1:2" ht="14.25">
      <c r="A81" s="277" t="s">
        <v>551</v>
      </c>
      <c r="B81" s="277" t="s">
        <v>715</v>
      </c>
    </row>
    <row r="82" spans="1:2" ht="14.25">
      <c r="A82" s="277" t="s">
        <v>552</v>
      </c>
      <c r="B82" s="277" t="s">
        <v>716</v>
      </c>
    </row>
    <row r="83" spans="1:2" ht="14.25">
      <c r="A83" s="277" t="s">
        <v>553</v>
      </c>
      <c r="B83" s="277" t="s">
        <v>717</v>
      </c>
    </row>
    <row r="84" spans="1:2" ht="14.25">
      <c r="A84" s="277" t="s">
        <v>554</v>
      </c>
      <c r="B84" s="277" t="s">
        <v>718</v>
      </c>
    </row>
    <row r="85" spans="1:2" ht="14.25">
      <c r="A85" s="277" t="s">
        <v>555</v>
      </c>
      <c r="B85" s="277" t="s">
        <v>719</v>
      </c>
    </row>
    <row r="86" spans="1:2" ht="14.25">
      <c r="A86" s="277" t="s">
        <v>556</v>
      </c>
      <c r="B86" s="277" t="s">
        <v>720</v>
      </c>
    </row>
    <row r="87" spans="1:2" ht="14.25">
      <c r="A87" s="277" t="s">
        <v>557</v>
      </c>
      <c r="B87" s="277" t="s">
        <v>721</v>
      </c>
    </row>
    <row r="88" spans="1:2" ht="14.25">
      <c r="A88" s="277" t="s">
        <v>558</v>
      </c>
      <c r="B88" s="277" t="s">
        <v>722</v>
      </c>
    </row>
    <row r="89" spans="1:2" ht="14.25">
      <c r="A89" s="277" t="s">
        <v>559</v>
      </c>
      <c r="B89" s="277" t="s">
        <v>723</v>
      </c>
    </row>
    <row r="90" spans="1:2" ht="14.25">
      <c r="A90" s="277" t="s">
        <v>560</v>
      </c>
      <c r="B90" s="277" t="s">
        <v>724</v>
      </c>
    </row>
    <row r="91" spans="1:2" ht="14.25">
      <c r="A91" s="277" t="s">
        <v>561</v>
      </c>
      <c r="B91" s="277" t="s">
        <v>725</v>
      </c>
    </row>
    <row r="92" spans="1:2" ht="14.25">
      <c r="A92" s="277" t="s">
        <v>562</v>
      </c>
      <c r="B92" s="277" t="s">
        <v>726</v>
      </c>
    </row>
    <row r="93" spans="1:2" ht="14.25">
      <c r="A93" s="277" t="s">
        <v>563</v>
      </c>
      <c r="B93" s="277" t="s">
        <v>727</v>
      </c>
    </row>
    <row r="94" spans="1:2" ht="14.25">
      <c r="A94" s="277" t="s">
        <v>564</v>
      </c>
      <c r="B94" s="277" t="s">
        <v>728</v>
      </c>
    </row>
    <row r="95" spans="1:2" ht="14.25">
      <c r="A95" s="277" t="s">
        <v>565</v>
      </c>
      <c r="B95" s="277" t="s">
        <v>729</v>
      </c>
    </row>
    <row r="96" spans="1:2" ht="14.25">
      <c r="A96" s="277" t="s">
        <v>566</v>
      </c>
      <c r="B96" s="277" t="s">
        <v>730</v>
      </c>
    </row>
    <row r="97" spans="1:2" ht="14.25">
      <c r="A97" s="277" t="s">
        <v>567</v>
      </c>
      <c r="B97" s="277" t="s">
        <v>731</v>
      </c>
    </row>
    <row r="98" spans="1:2" ht="14.25">
      <c r="A98" s="277" t="s">
        <v>568</v>
      </c>
      <c r="B98" s="277" t="s">
        <v>732</v>
      </c>
    </row>
    <row r="99" spans="1:2" ht="14.25">
      <c r="A99" s="277" t="s">
        <v>569</v>
      </c>
      <c r="B99" s="277" t="s">
        <v>733</v>
      </c>
    </row>
    <row r="100" spans="1:2" ht="14.25">
      <c r="A100" s="277" t="s">
        <v>570</v>
      </c>
      <c r="B100" s="277" t="s">
        <v>734</v>
      </c>
    </row>
    <row r="101" spans="1:2" ht="14.25">
      <c r="A101" s="277" t="s">
        <v>571</v>
      </c>
      <c r="B101" s="277" t="s">
        <v>735</v>
      </c>
    </row>
    <row r="102" spans="1:2" ht="14.25">
      <c r="A102" s="277" t="s">
        <v>572</v>
      </c>
      <c r="B102" s="277" t="s">
        <v>736</v>
      </c>
    </row>
    <row r="103" spans="1:2" ht="14.25">
      <c r="A103" s="277" t="s">
        <v>737</v>
      </c>
      <c r="B103" s="277" t="s">
        <v>738</v>
      </c>
    </row>
    <row r="104" spans="1:2" ht="14.25">
      <c r="A104" s="277" t="s">
        <v>573</v>
      </c>
      <c r="B104" s="277" t="s">
        <v>739</v>
      </c>
    </row>
    <row r="105" spans="1:2" ht="14.25">
      <c r="A105" s="277" t="s">
        <v>574</v>
      </c>
      <c r="B105" s="277" t="s">
        <v>740</v>
      </c>
    </row>
    <row r="106" spans="1:2" ht="14.25">
      <c r="A106" s="277" t="s">
        <v>575</v>
      </c>
      <c r="B106" s="277" t="s">
        <v>741</v>
      </c>
    </row>
    <row r="107" spans="1:2" ht="14.25">
      <c r="A107" s="277" t="s">
        <v>576</v>
      </c>
      <c r="B107" s="277" t="s">
        <v>742</v>
      </c>
    </row>
    <row r="108" spans="1:2" ht="14.25">
      <c r="A108" s="277" t="s">
        <v>577</v>
      </c>
      <c r="B108" s="277" t="s">
        <v>743</v>
      </c>
    </row>
    <row r="109" spans="1:2" ht="14.25">
      <c r="A109" s="277" t="s">
        <v>578</v>
      </c>
      <c r="B109" s="277" t="s">
        <v>744</v>
      </c>
    </row>
    <row r="110" spans="1:2" ht="14.25">
      <c r="A110" s="277" t="s">
        <v>579</v>
      </c>
      <c r="B110" s="277" t="s">
        <v>745</v>
      </c>
    </row>
    <row r="111" spans="1:2" ht="14.25">
      <c r="A111" s="277" t="s">
        <v>580</v>
      </c>
      <c r="B111" s="277" t="s">
        <v>581</v>
      </c>
    </row>
    <row r="112" spans="1:2" ht="14.25">
      <c r="A112" s="277" t="s">
        <v>582</v>
      </c>
      <c r="B112" s="277" t="s">
        <v>746</v>
      </c>
    </row>
    <row r="113" spans="1:2" ht="14.25">
      <c r="A113" s="277" t="s">
        <v>583</v>
      </c>
      <c r="B113" s="277" t="s">
        <v>747</v>
      </c>
    </row>
    <row r="114" spans="1:2" ht="14.25">
      <c r="A114" s="277" t="s">
        <v>584</v>
      </c>
      <c r="B114" s="277" t="s">
        <v>748</v>
      </c>
    </row>
    <row r="115" spans="1:2" ht="14.25">
      <c r="A115" s="277" t="s">
        <v>585</v>
      </c>
      <c r="B115" s="277" t="s">
        <v>749</v>
      </c>
    </row>
    <row r="116" spans="1:2" ht="14.25">
      <c r="A116" s="277" t="s">
        <v>586</v>
      </c>
      <c r="B116" s="277" t="s">
        <v>750</v>
      </c>
    </row>
    <row r="117" spans="1:2" ht="14.25">
      <c r="A117" s="277" t="s">
        <v>587</v>
      </c>
      <c r="B117" s="277" t="s">
        <v>751</v>
      </c>
    </row>
    <row r="118" spans="1:2" ht="14.25">
      <c r="A118" s="277" t="s">
        <v>588</v>
      </c>
      <c r="B118" s="277" t="s">
        <v>752</v>
      </c>
    </row>
    <row r="119" spans="1:2" ht="14.25">
      <c r="A119" s="277" t="s">
        <v>589</v>
      </c>
      <c r="B119" s="277" t="s">
        <v>754</v>
      </c>
    </row>
    <row r="120" spans="1:2" ht="14.25">
      <c r="A120" s="277" t="s">
        <v>590</v>
      </c>
      <c r="B120" s="277" t="s">
        <v>755</v>
      </c>
    </row>
    <row r="121" spans="1:2" ht="14.25">
      <c r="A121" s="277" t="s">
        <v>591</v>
      </c>
      <c r="B121" s="277" t="s">
        <v>756</v>
      </c>
    </row>
    <row r="122" spans="1:2" ht="14.25">
      <c r="A122" s="277" t="s">
        <v>592</v>
      </c>
      <c r="B122" s="277" t="s">
        <v>757</v>
      </c>
    </row>
    <row r="123" spans="1:2" ht="14.25">
      <c r="A123" s="277" t="s">
        <v>593</v>
      </c>
      <c r="B123" s="277" t="s">
        <v>758</v>
      </c>
    </row>
    <row r="124" spans="1:2" ht="14.25">
      <c r="A124" s="277" t="s">
        <v>594</v>
      </c>
      <c r="B124" s="277" t="s">
        <v>759</v>
      </c>
    </row>
    <row r="125" spans="1:2" ht="14.25">
      <c r="A125" s="277" t="s">
        <v>595</v>
      </c>
      <c r="B125" s="277" t="s">
        <v>760</v>
      </c>
    </row>
    <row r="126" spans="1:2" ht="14.25">
      <c r="A126" s="277" t="s">
        <v>596</v>
      </c>
      <c r="B126" s="277" t="s">
        <v>761</v>
      </c>
    </row>
    <row r="127" spans="1:2" ht="14.25">
      <c r="A127" s="277" t="s">
        <v>597</v>
      </c>
      <c r="B127" s="277" t="s">
        <v>762</v>
      </c>
    </row>
    <row r="128" spans="1:2" ht="14.25">
      <c r="A128" s="277" t="s">
        <v>598</v>
      </c>
      <c r="B128" s="277" t="s">
        <v>763</v>
      </c>
    </row>
    <row r="129" spans="1:2" ht="14.25">
      <c r="A129" s="277" t="s">
        <v>599</v>
      </c>
      <c r="B129" s="277" t="s">
        <v>764</v>
      </c>
    </row>
    <row r="130" spans="1:2" ht="14.25">
      <c r="A130" s="277" t="s">
        <v>600</v>
      </c>
      <c r="B130" s="277" t="s">
        <v>765</v>
      </c>
    </row>
    <row r="131" spans="1:2" ht="14.25">
      <c r="A131" s="277" t="s">
        <v>601</v>
      </c>
      <c r="B131" s="277" t="s">
        <v>766</v>
      </c>
    </row>
    <row r="132" spans="1:2" ht="14.25">
      <c r="A132" s="277" t="s">
        <v>602</v>
      </c>
      <c r="B132" s="277" t="s">
        <v>767</v>
      </c>
    </row>
    <row r="133" spans="1:2" ht="14.25">
      <c r="A133" s="277" t="s">
        <v>603</v>
      </c>
      <c r="B133" s="277" t="s">
        <v>768</v>
      </c>
    </row>
    <row r="134" spans="1:2" ht="14.25">
      <c r="A134" s="277" t="s">
        <v>769</v>
      </c>
      <c r="B134" s="277" t="s">
        <v>770</v>
      </c>
    </row>
    <row r="135" spans="1:2" ht="14.25">
      <c r="A135" s="277" t="s">
        <v>604</v>
      </c>
      <c r="B135" s="277" t="s">
        <v>771</v>
      </c>
    </row>
    <row r="136" spans="1:2" ht="14.25">
      <c r="A136" s="277" t="s">
        <v>605</v>
      </c>
      <c r="B136" s="277" t="s">
        <v>772</v>
      </c>
    </row>
    <row r="137" spans="1:2" ht="14.25">
      <c r="A137" s="277" t="s">
        <v>606</v>
      </c>
      <c r="B137" s="277" t="s">
        <v>773</v>
      </c>
    </row>
    <row r="138" spans="1:2" ht="14.25">
      <c r="A138" s="277" t="s">
        <v>607</v>
      </c>
      <c r="B138" s="277" t="s">
        <v>774</v>
      </c>
    </row>
    <row r="139" spans="1:2" ht="14.25">
      <c r="A139" s="277" t="s">
        <v>608</v>
      </c>
      <c r="B139" s="277" t="s">
        <v>775</v>
      </c>
    </row>
    <row r="140" spans="1:2" ht="14.25">
      <c r="A140" s="277" t="s">
        <v>609</v>
      </c>
      <c r="B140" s="277" t="s">
        <v>776</v>
      </c>
    </row>
    <row r="141" spans="1:2" ht="14.25">
      <c r="A141" s="277" t="s">
        <v>610</v>
      </c>
      <c r="B141" s="277" t="s">
        <v>777</v>
      </c>
    </row>
    <row r="142" spans="1:2" ht="14.25">
      <c r="A142" s="277" t="s">
        <v>611</v>
      </c>
      <c r="B142" s="277" t="s">
        <v>778</v>
      </c>
    </row>
    <row r="143" spans="1:2" ht="14.25">
      <c r="A143" s="277" t="s">
        <v>612</v>
      </c>
      <c r="B143" s="277" t="s">
        <v>779</v>
      </c>
    </row>
    <row r="144" spans="1:2" ht="14.25">
      <c r="A144" s="277" t="s">
        <v>613</v>
      </c>
      <c r="B144" s="277" t="s">
        <v>780</v>
      </c>
    </row>
    <row r="145" spans="1:2" ht="14.25">
      <c r="A145" s="277" t="s">
        <v>614</v>
      </c>
      <c r="B145" s="277" t="s">
        <v>781</v>
      </c>
    </row>
    <row r="146" spans="1:2" ht="14.25">
      <c r="A146" s="277" t="s">
        <v>615</v>
      </c>
      <c r="B146" s="277" t="s">
        <v>782</v>
      </c>
    </row>
    <row r="147" spans="1:2" ht="14.25">
      <c r="A147" s="277" t="s">
        <v>616</v>
      </c>
      <c r="B147" s="277" t="s">
        <v>783</v>
      </c>
    </row>
    <row r="148" spans="1:2" ht="14.25">
      <c r="A148" s="277" t="s">
        <v>617</v>
      </c>
      <c r="B148" s="277" t="s">
        <v>784</v>
      </c>
    </row>
    <row r="149" spans="1:2" ht="14.25">
      <c r="A149" s="277" t="s">
        <v>618</v>
      </c>
      <c r="B149" s="277" t="s">
        <v>785</v>
      </c>
    </row>
    <row r="150" spans="1:2" ht="14.25">
      <c r="A150" s="277" t="s">
        <v>786</v>
      </c>
      <c r="B150" s="277" t="s">
        <v>787</v>
      </c>
    </row>
    <row r="151" spans="1:2" ht="14.25">
      <c r="A151" s="277" t="s">
        <v>788</v>
      </c>
      <c r="B151" s="277" t="s">
        <v>789</v>
      </c>
    </row>
    <row r="152" spans="1:2" ht="14.25">
      <c r="A152" s="277" t="s">
        <v>620</v>
      </c>
      <c r="B152" s="277" t="s">
        <v>790</v>
      </c>
    </row>
    <row r="153" spans="1:2" ht="14.25">
      <c r="A153" s="277" t="s">
        <v>791</v>
      </c>
      <c r="B153" s="277" t="s">
        <v>792</v>
      </c>
    </row>
    <row r="154" spans="1:2" ht="14.25">
      <c r="A154" s="277" t="s">
        <v>621</v>
      </c>
      <c r="B154" s="277" t="s">
        <v>793</v>
      </c>
    </row>
    <row r="155" spans="1:2" ht="14.25">
      <c r="A155" s="277" t="s">
        <v>794</v>
      </c>
      <c r="B155" s="277" t="s">
        <v>795</v>
      </c>
    </row>
    <row r="156" spans="1:2" ht="14.25">
      <c r="A156" s="277" t="s">
        <v>622</v>
      </c>
      <c r="B156" s="277" t="s">
        <v>796</v>
      </c>
    </row>
    <row r="157" spans="1:2" ht="14.25">
      <c r="A157" s="277" t="s">
        <v>623</v>
      </c>
      <c r="B157" s="277" t="s">
        <v>797</v>
      </c>
    </row>
    <row r="158" spans="1:2" ht="14.25">
      <c r="A158" s="277" t="s">
        <v>624</v>
      </c>
      <c r="B158" s="277" t="s">
        <v>798</v>
      </c>
    </row>
    <row r="159" spans="1:2" ht="14.25">
      <c r="A159" s="277" t="s">
        <v>625</v>
      </c>
      <c r="B159" s="277" t="s">
        <v>799</v>
      </c>
    </row>
    <row r="160" spans="1:2" ht="14.25">
      <c r="A160" s="277" t="s">
        <v>800</v>
      </c>
      <c r="B160" s="277" t="s">
        <v>801</v>
      </c>
    </row>
    <row r="161" spans="1:2" ht="14.25">
      <c r="A161" s="277" t="s">
        <v>802</v>
      </c>
      <c r="B161" s="277" t="s">
        <v>803</v>
      </c>
    </row>
    <row r="162" spans="1:2" ht="14.25">
      <c r="A162" s="277" t="s">
        <v>804</v>
      </c>
      <c r="B162" s="277" t="s">
        <v>805</v>
      </c>
    </row>
    <row r="163" spans="1:2" ht="14.25">
      <c r="A163" s="277" t="s">
        <v>806</v>
      </c>
      <c r="B163" s="277" t="s">
        <v>807</v>
      </c>
    </row>
    <row r="164" spans="1:2" ht="14.25">
      <c r="A164" s="277" t="s">
        <v>808</v>
      </c>
      <c r="B164" s="277" t="s">
        <v>809</v>
      </c>
    </row>
    <row r="165" spans="1:2" ht="14.25">
      <c r="A165" s="277" t="s">
        <v>810</v>
      </c>
      <c r="B165" s="277" t="s">
        <v>811</v>
      </c>
    </row>
    <row r="166" spans="1:2" ht="14.25">
      <c r="A166" s="277" t="s">
        <v>626</v>
      </c>
      <c r="B166" s="277" t="s">
        <v>812</v>
      </c>
    </row>
    <row r="167" spans="1:2" ht="14.25">
      <c r="A167" s="277" t="s">
        <v>627</v>
      </c>
      <c r="B167" s="277" t="s">
        <v>813</v>
      </c>
    </row>
    <row r="168" spans="1:2" ht="14.25">
      <c r="A168" s="277" t="s">
        <v>628</v>
      </c>
      <c r="B168" s="277" t="s">
        <v>814</v>
      </c>
    </row>
    <row r="169" spans="1:2" ht="14.25">
      <c r="A169" s="277" t="s">
        <v>815</v>
      </c>
      <c r="B169" s="277" t="s">
        <v>816</v>
      </c>
    </row>
    <row r="170" spans="1:2" ht="14.25">
      <c r="A170" s="277" t="s">
        <v>629</v>
      </c>
      <c r="B170" s="277" t="s">
        <v>817</v>
      </c>
    </row>
    <row r="171" spans="1:2" ht="14.25">
      <c r="A171" s="277" t="s">
        <v>818</v>
      </c>
      <c r="B171" s="277" t="s">
        <v>819</v>
      </c>
    </row>
    <row r="172" spans="1:2" ht="14.25">
      <c r="A172" s="277" t="s">
        <v>820</v>
      </c>
      <c r="B172" s="277" t="s">
        <v>821</v>
      </c>
    </row>
    <row r="173" spans="1:2" ht="14.25">
      <c r="A173" s="277" t="s">
        <v>822</v>
      </c>
      <c r="B173" s="277" t="s">
        <v>823</v>
      </c>
    </row>
    <row r="174" spans="1:2" ht="14.25">
      <c r="A174" s="277" t="s">
        <v>824</v>
      </c>
      <c r="B174" s="277" t="s">
        <v>825</v>
      </c>
    </row>
    <row r="175" spans="1:2" ht="14.25">
      <c r="A175" s="277" t="s">
        <v>826</v>
      </c>
      <c r="B175" s="277" t="s">
        <v>827</v>
      </c>
    </row>
    <row r="176" spans="1:2" ht="14.25">
      <c r="A176" s="277" t="s">
        <v>630</v>
      </c>
      <c r="B176" s="277" t="s">
        <v>828</v>
      </c>
    </row>
    <row r="177" spans="1:2" ht="14.25">
      <c r="A177" s="277" t="s">
        <v>631</v>
      </c>
      <c r="B177" s="277" t="s">
        <v>829</v>
      </c>
    </row>
    <row r="178" spans="1:2" ht="14.25">
      <c r="A178" s="277" t="s">
        <v>632</v>
      </c>
      <c r="B178" s="277" t="s">
        <v>830</v>
      </c>
    </row>
    <row r="179" spans="1:2" ht="14.25">
      <c r="A179" s="277" t="s">
        <v>831</v>
      </c>
      <c r="B179" s="277" t="s">
        <v>832</v>
      </c>
    </row>
  </sheetData>
  <sheetProtection/>
  <hyperlinks>
    <hyperlink ref="C1" location="Indice!A1" display="Índice"/>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F73"/>
  <sheetViews>
    <sheetView zoomScalePageLayoutView="0" workbookViewId="0" topLeftCell="A49">
      <selection activeCell="J78" sqref="J78"/>
    </sheetView>
  </sheetViews>
  <sheetFormatPr defaultColWidth="11.421875" defaultRowHeight="15"/>
  <cols>
    <col min="1" max="1" width="78.00390625" style="0" bestFit="1" customWidth="1"/>
    <col min="2" max="3" width="16.7109375" style="0" bestFit="1" customWidth="1"/>
    <col min="4" max="4" width="14.7109375" style="0" bestFit="1" customWidth="1"/>
    <col min="5" max="5" width="13.7109375" style="0" bestFit="1" customWidth="1"/>
    <col min="6" max="6" width="14.7109375" style="0" bestFit="1" customWidth="1"/>
  </cols>
  <sheetData>
    <row r="1" spans="1:6" ht="14.25">
      <c r="A1" s="753" t="s">
        <v>1015</v>
      </c>
      <c r="B1" s="754"/>
      <c r="C1" s="754"/>
      <c r="D1" s="754"/>
      <c r="E1" s="752"/>
      <c r="F1" s="752"/>
    </row>
    <row r="2" spans="1:6" ht="14.25">
      <c r="A2" s="755" t="s">
        <v>873</v>
      </c>
      <c r="B2" s="756">
        <v>44926</v>
      </c>
      <c r="C2" s="757"/>
      <c r="D2" s="758"/>
      <c r="E2" s="752"/>
      <c r="F2" s="752"/>
    </row>
    <row r="3" spans="1:6" ht="26.25">
      <c r="A3" s="759" t="s">
        <v>290</v>
      </c>
      <c r="B3" s="760" t="s">
        <v>876</v>
      </c>
      <c r="C3" s="760" t="s">
        <v>880</v>
      </c>
      <c r="D3" s="760"/>
      <c r="E3" s="752"/>
      <c r="F3" s="752"/>
    </row>
    <row r="4" spans="1:6" ht="14.25">
      <c r="A4" s="761" t="s">
        <v>8</v>
      </c>
      <c r="B4" s="762">
        <v>476296268.417</v>
      </c>
      <c r="C4" s="765">
        <v>0.49948561603401964</v>
      </c>
      <c r="D4" s="763">
        <v>237903135.04497</v>
      </c>
      <c r="E4" s="774"/>
      <c r="F4" s="752"/>
    </row>
    <row r="5" spans="1:6" ht="14.25">
      <c r="A5" s="764" t="s">
        <v>12</v>
      </c>
      <c r="B5" s="762">
        <v>367396924.079</v>
      </c>
      <c r="C5" s="765">
        <v>0.17910056614377387</v>
      </c>
      <c r="D5" s="763">
        <v>65800997.10203001</v>
      </c>
      <c r="E5" s="752"/>
      <c r="F5" s="752"/>
    </row>
    <row r="6" spans="1:6" ht="14.25">
      <c r="A6" s="766" t="s">
        <v>101</v>
      </c>
      <c r="B6" s="752"/>
      <c r="C6" s="765"/>
      <c r="D6" s="763"/>
      <c r="E6" s="752"/>
      <c r="F6" s="752"/>
    </row>
    <row r="7" spans="1:6" ht="14.25">
      <c r="A7" s="767" t="s">
        <v>9</v>
      </c>
      <c r="B7" s="762">
        <v>156161534.458</v>
      </c>
      <c r="C7" s="765">
        <v>0.01</v>
      </c>
      <c r="D7" s="763">
        <v>1561615.34458</v>
      </c>
      <c r="E7" s="752"/>
      <c r="F7" s="752"/>
    </row>
    <row r="8" spans="1:6" ht="14.25">
      <c r="A8" s="767" t="s">
        <v>10</v>
      </c>
      <c r="B8" s="762">
        <v>57870783.117</v>
      </c>
      <c r="C8" s="765">
        <v>0.05</v>
      </c>
      <c r="D8" s="763">
        <v>2893539.15585</v>
      </c>
      <c r="E8" s="752"/>
      <c r="F8" s="752"/>
    </row>
    <row r="9" spans="1:6" ht="14.25">
      <c r="A9" s="767" t="s">
        <v>11</v>
      </c>
      <c r="B9" s="762">
        <v>153364606.504</v>
      </c>
      <c r="C9" s="765">
        <v>0.4</v>
      </c>
      <c r="D9" s="763">
        <v>61345842.601600006</v>
      </c>
      <c r="E9" s="752"/>
      <c r="F9" s="752"/>
    </row>
    <row r="10" spans="1:6" ht="14.25">
      <c r="A10" s="761"/>
      <c r="B10" s="769"/>
      <c r="C10" s="769"/>
      <c r="D10" s="770"/>
      <c r="E10" s="752"/>
      <c r="F10" s="752"/>
    </row>
    <row r="11" spans="1:6" ht="14.25">
      <c r="A11" s="771" t="s">
        <v>874</v>
      </c>
      <c r="B11" s="772">
        <v>843693192.496</v>
      </c>
      <c r="C11" s="773"/>
      <c r="D11" s="773"/>
      <c r="E11" s="752"/>
      <c r="F11" s="752"/>
    </row>
    <row r="12" spans="1:6" ht="14.25">
      <c r="A12" s="761"/>
      <c r="B12" s="769"/>
      <c r="C12" s="769"/>
      <c r="D12" s="770"/>
      <c r="E12" s="752"/>
      <c r="F12" s="752"/>
    </row>
    <row r="13" spans="1:6" ht="14.25">
      <c r="A13" s="775" t="s">
        <v>875</v>
      </c>
      <c r="B13" s="776">
        <v>-303704132.147</v>
      </c>
      <c r="C13" s="777"/>
      <c r="D13" s="778"/>
      <c r="E13" s="752"/>
      <c r="F13" s="752"/>
    </row>
    <row r="14" spans="1:6" ht="14.25">
      <c r="A14" s="779"/>
      <c r="B14" s="780"/>
      <c r="C14" s="780"/>
      <c r="D14" s="781"/>
      <c r="E14" s="752"/>
      <c r="F14" s="752"/>
    </row>
    <row r="15" spans="1:6" ht="14.25">
      <c r="A15" s="782" t="s">
        <v>877</v>
      </c>
      <c r="B15" s="783">
        <v>539989060.349</v>
      </c>
      <c r="C15" s="783"/>
      <c r="D15" s="772"/>
      <c r="E15" s="752"/>
      <c r="F15" s="752"/>
    </row>
    <row r="16" spans="1:6" ht="14.25">
      <c r="A16" s="761"/>
      <c r="B16" s="785"/>
      <c r="C16" s="786"/>
      <c r="D16" s="786"/>
      <c r="E16" s="752"/>
      <c r="F16" s="784"/>
    </row>
    <row r="17" spans="1:6" ht="14.25">
      <c r="A17" s="787" t="s">
        <v>13</v>
      </c>
      <c r="B17" s="788"/>
      <c r="C17" s="788"/>
      <c r="D17" s="788"/>
      <c r="E17" s="768"/>
      <c r="F17" s="752"/>
    </row>
    <row r="18" spans="1:6" ht="14.25">
      <c r="A18" s="789" t="s">
        <v>14</v>
      </c>
      <c r="B18" s="790" t="s">
        <v>878</v>
      </c>
      <c r="C18" s="790" t="s">
        <v>879</v>
      </c>
      <c r="D18" s="790"/>
      <c r="E18" s="768"/>
      <c r="F18" s="752"/>
    </row>
    <row r="19" spans="1:6" ht="14.25">
      <c r="A19" s="761" t="s">
        <v>9</v>
      </c>
      <c r="B19" s="791">
        <v>1</v>
      </c>
      <c r="C19" s="791">
        <v>30</v>
      </c>
      <c r="D19" s="791"/>
      <c r="E19" s="768"/>
      <c r="F19" s="752"/>
    </row>
    <row r="20" spans="1:6" ht="14.25">
      <c r="A20" s="761" t="s">
        <v>10</v>
      </c>
      <c r="B20" s="791">
        <v>31</v>
      </c>
      <c r="C20" s="791">
        <v>60</v>
      </c>
      <c r="D20" s="791"/>
      <c r="E20" s="752"/>
      <c r="F20" s="768"/>
    </row>
    <row r="21" spans="1:6" ht="14.25">
      <c r="A21" s="761" t="s">
        <v>11</v>
      </c>
      <c r="B21" s="791">
        <v>61</v>
      </c>
      <c r="C21" s="791">
        <v>10000</v>
      </c>
      <c r="D21" s="791"/>
      <c r="E21" s="752"/>
      <c r="F21" s="752"/>
    </row>
    <row r="22" spans="1:6" ht="14.25">
      <c r="A22" s="754"/>
      <c r="B22" s="754"/>
      <c r="C22" s="754"/>
      <c r="D22" s="754"/>
      <c r="E22" s="752"/>
      <c r="F22" s="752"/>
    </row>
    <row r="23" spans="1:6" ht="14.25">
      <c r="A23" s="792" t="s">
        <v>1011</v>
      </c>
      <c r="B23" s="754"/>
      <c r="C23" s="754"/>
      <c r="D23" s="754"/>
      <c r="E23" s="752"/>
      <c r="F23" s="768"/>
    </row>
    <row r="24" spans="1:6" ht="14.25">
      <c r="A24" s="754"/>
      <c r="B24" s="754"/>
      <c r="C24" s="754"/>
      <c r="D24" s="754"/>
      <c r="E24" s="752"/>
      <c r="F24" s="752"/>
    </row>
    <row r="25" spans="1:6" ht="14.25">
      <c r="A25" s="793" t="s">
        <v>1012</v>
      </c>
      <c r="B25" s="754"/>
      <c r="C25" s="754"/>
      <c r="D25" s="754"/>
      <c r="E25" s="752"/>
      <c r="F25" s="768"/>
    </row>
    <row r="26" spans="1:6" ht="14.25">
      <c r="A26" s="793" t="s">
        <v>1013</v>
      </c>
      <c r="B26" s="754"/>
      <c r="C26" s="754"/>
      <c r="D26" s="754"/>
      <c r="E26" s="752"/>
      <c r="F26" s="752"/>
    </row>
    <row r="27" spans="1:6" ht="14.25">
      <c r="A27" s="754"/>
      <c r="B27" s="754"/>
      <c r="C27" s="754"/>
      <c r="D27" s="754"/>
      <c r="E27" s="752"/>
      <c r="F27" s="752"/>
    </row>
    <row r="28" spans="1:6" ht="14.25">
      <c r="A28" s="754"/>
      <c r="B28" s="754"/>
      <c r="C28" s="754"/>
      <c r="D28" s="754"/>
      <c r="E28" s="752"/>
      <c r="F28" s="752"/>
    </row>
    <row r="29" spans="1:6" ht="14.25">
      <c r="A29" s="754"/>
      <c r="B29" s="754"/>
      <c r="C29" s="754"/>
      <c r="D29" s="754"/>
      <c r="E29" s="752"/>
      <c r="F29" s="752"/>
    </row>
    <row r="30" spans="1:6" ht="14.25">
      <c r="A30" s="754"/>
      <c r="B30" s="754"/>
      <c r="C30" s="754"/>
      <c r="D30" s="754"/>
      <c r="E30" s="752"/>
      <c r="F30" s="752"/>
    </row>
    <row r="31" spans="1:6" ht="14.25">
      <c r="A31" s="754"/>
      <c r="B31" s="754"/>
      <c r="C31" s="754"/>
      <c r="D31" s="754"/>
      <c r="E31" s="752"/>
      <c r="F31" s="752"/>
    </row>
    <row r="32" spans="1:6" ht="14.25">
      <c r="A32" s="754"/>
      <c r="B32" s="754"/>
      <c r="C32" s="754"/>
      <c r="D32" s="754"/>
      <c r="E32" s="752"/>
      <c r="F32" s="752"/>
    </row>
    <row r="33" spans="1:6" ht="14.25">
      <c r="A33" s="754"/>
      <c r="B33" s="754"/>
      <c r="C33" s="754"/>
      <c r="D33" s="754"/>
      <c r="E33" s="752"/>
      <c r="F33" s="752"/>
    </row>
    <row r="34" spans="1:6" ht="14.25">
      <c r="A34" s="754"/>
      <c r="B34" s="754"/>
      <c r="C34" s="754"/>
      <c r="D34" s="754"/>
      <c r="E34" s="752"/>
      <c r="F34" s="752"/>
    </row>
    <row r="35" spans="1:6" ht="14.25">
      <c r="A35" s="754"/>
      <c r="B35" s="754"/>
      <c r="C35" s="754"/>
      <c r="D35" s="754"/>
      <c r="E35" s="752"/>
      <c r="F35" s="752"/>
    </row>
    <row r="36" spans="1:6" ht="14.25">
      <c r="A36" s="754"/>
      <c r="B36" s="754"/>
      <c r="C36" s="754"/>
      <c r="D36" s="754"/>
      <c r="E36" s="752"/>
      <c r="F36" s="752"/>
    </row>
    <row r="37" spans="1:6" ht="14.25">
      <c r="A37" s="754"/>
      <c r="B37" s="754"/>
      <c r="C37" s="754"/>
      <c r="D37" s="754"/>
      <c r="E37" s="752"/>
      <c r="F37" s="752"/>
    </row>
    <row r="38" spans="1:6" ht="14.25">
      <c r="A38" s="754"/>
      <c r="B38" s="754"/>
      <c r="C38" s="754"/>
      <c r="D38" s="754"/>
      <c r="E38" s="752"/>
      <c r="F38" s="752"/>
    </row>
    <row r="39" spans="1:6" ht="14.25">
      <c r="A39" s="794" t="s">
        <v>1014</v>
      </c>
      <c r="B39" s="754"/>
      <c r="C39" s="754"/>
      <c r="D39" s="754"/>
      <c r="E39" s="752"/>
      <c r="F39" s="752"/>
    </row>
    <row r="40" spans="1:6" ht="14.25">
      <c r="A40" s="793" t="s">
        <v>1176</v>
      </c>
      <c r="B40" s="754"/>
      <c r="C40" s="754"/>
      <c r="D40" s="754"/>
      <c r="E40" s="752"/>
      <c r="F40" s="752"/>
    </row>
    <row r="41" spans="1:6" ht="14.25">
      <c r="A41" s="754" t="s">
        <v>1217</v>
      </c>
      <c r="B41" s="754"/>
      <c r="C41" s="754"/>
      <c r="D41" s="754"/>
      <c r="E41" s="752"/>
      <c r="F41" s="752"/>
    </row>
    <row r="42" spans="1:6" ht="14.25">
      <c r="A42" s="754"/>
      <c r="B42" s="754"/>
      <c r="C42" s="754"/>
      <c r="D42" s="754"/>
      <c r="E42" s="752"/>
      <c r="F42" s="752"/>
    </row>
    <row r="43" spans="1:6" ht="14.25">
      <c r="A43" s="754"/>
      <c r="B43" s="754"/>
      <c r="C43" s="754"/>
      <c r="D43" s="754"/>
      <c r="E43" s="752"/>
      <c r="F43" s="752"/>
    </row>
    <row r="45" spans="1:6" ht="14.25">
      <c r="A45" s="752"/>
      <c r="B45" s="768"/>
      <c r="C45" s="768"/>
      <c r="D45" s="768"/>
      <c r="E45" s="768"/>
      <c r="F45" s="768"/>
    </row>
    <row r="46" spans="1:6" ht="14.25">
      <c r="A46" s="818" t="s">
        <v>1136</v>
      </c>
      <c r="B46" s="752" t="s">
        <v>1373</v>
      </c>
      <c r="C46" s="768"/>
      <c r="D46" s="768"/>
      <c r="E46" s="768"/>
      <c r="F46" s="768"/>
    </row>
    <row r="47" spans="1:6" ht="14.25">
      <c r="A47" s="795" t="s">
        <v>1374</v>
      </c>
      <c r="B47" s="768"/>
      <c r="C47" s="768"/>
      <c r="D47" s="768"/>
      <c r="E47" s="768"/>
      <c r="F47" s="768"/>
    </row>
    <row r="48" spans="1:6" ht="14.25">
      <c r="A48" s="818" t="s">
        <v>1137</v>
      </c>
      <c r="B48" s="819" t="s">
        <v>1138</v>
      </c>
      <c r="C48" s="768" t="s">
        <v>1139</v>
      </c>
      <c r="D48" s="768" t="s">
        <v>1140</v>
      </c>
      <c r="E48" s="768" t="s">
        <v>1141</v>
      </c>
      <c r="F48" s="752" t="s">
        <v>1142</v>
      </c>
    </row>
    <row r="49" spans="1:6" ht="14.25">
      <c r="A49" s="796">
        <v>1</v>
      </c>
      <c r="B49" s="768">
        <v>690310876488</v>
      </c>
      <c r="C49" s="768">
        <v>512633403266</v>
      </c>
      <c r="D49" s="768">
        <v>177677473222</v>
      </c>
      <c r="E49" s="768"/>
      <c r="F49" s="768">
        <v>177677473222</v>
      </c>
    </row>
    <row r="50" spans="1:6" ht="14.25">
      <c r="A50" s="796">
        <v>2</v>
      </c>
      <c r="B50" s="768">
        <v>34193925859</v>
      </c>
      <c r="C50" s="768">
        <v>27045328404</v>
      </c>
      <c r="D50" s="768">
        <v>7148597455</v>
      </c>
      <c r="E50" s="768">
        <v>1352263505</v>
      </c>
      <c r="F50" s="768">
        <v>8500860960</v>
      </c>
    </row>
    <row r="51" spans="1:6" ht="14.25">
      <c r="A51" s="796">
        <v>3</v>
      </c>
      <c r="B51" s="768">
        <v>44299557778</v>
      </c>
      <c r="C51" s="768">
        <v>34325914291</v>
      </c>
      <c r="D51" s="768">
        <v>9973643487</v>
      </c>
      <c r="E51" s="768">
        <v>8581475388</v>
      </c>
      <c r="F51" s="768">
        <v>18555118875</v>
      </c>
    </row>
    <row r="52" spans="1:6" ht="14.25">
      <c r="A52" s="796">
        <v>4</v>
      </c>
      <c r="B52" s="768">
        <v>19052280207</v>
      </c>
      <c r="C52" s="768">
        <v>14894531819</v>
      </c>
      <c r="D52" s="768">
        <v>4157748388</v>
      </c>
      <c r="E52" s="768">
        <v>7447264976</v>
      </c>
      <c r="F52" s="768">
        <v>11605013364</v>
      </c>
    </row>
    <row r="53" spans="1:6" ht="14.25">
      <c r="A53" s="796">
        <v>5</v>
      </c>
      <c r="B53" s="768">
        <v>41536769190</v>
      </c>
      <c r="C53" s="768">
        <v>32029664420</v>
      </c>
      <c r="D53" s="768">
        <v>9507104770</v>
      </c>
      <c r="E53" s="768">
        <v>24022245226</v>
      </c>
      <c r="F53" s="768">
        <v>33529349996</v>
      </c>
    </row>
    <row r="54" spans="1:6" ht="14.25">
      <c r="A54" s="796">
        <v>6</v>
      </c>
      <c r="B54" s="768">
        <v>14007094832</v>
      </c>
      <c r="C54" s="768">
        <v>10873037807</v>
      </c>
      <c r="D54" s="768">
        <v>3134057025</v>
      </c>
      <c r="E54" s="768">
        <v>10873037807</v>
      </c>
      <c r="F54" s="768">
        <v>14007094832</v>
      </c>
    </row>
    <row r="55" spans="1:6" ht="14.25">
      <c r="A55" s="796" t="s">
        <v>129</v>
      </c>
      <c r="B55" s="768">
        <v>843400504354</v>
      </c>
      <c r="C55" s="768">
        <v>631801880007</v>
      </c>
      <c r="D55" s="768">
        <v>211598624347</v>
      </c>
      <c r="E55" s="768">
        <v>52276286902</v>
      </c>
      <c r="F55" s="768">
        <v>263874911249</v>
      </c>
    </row>
    <row r="56" spans="1:6" ht="14.25">
      <c r="A56" s="752"/>
      <c r="B56" s="768">
        <v>292688142</v>
      </c>
      <c r="C56" s="752"/>
      <c r="D56" s="752"/>
      <c r="E56" s="752"/>
      <c r="F56" s="752"/>
    </row>
    <row r="57" spans="1:6" ht="14.25">
      <c r="A57" s="797" t="s">
        <v>1143</v>
      </c>
      <c r="B57" s="798">
        <v>843693192496</v>
      </c>
      <c r="C57" s="768"/>
      <c r="D57" s="768"/>
      <c r="E57" s="768"/>
      <c r="F57" s="768" t="s">
        <v>1144</v>
      </c>
    </row>
    <row r="58" spans="1:6" ht="14.25">
      <c r="A58" s="752" t="s">
        <v>1145</v>
      </c>
      <c r="B58" s="768">
        <v>153382316008</v>
      </c>
      <c r="C58" s="768"/>
      <c r="D58" s="768"/>
      <c r="E58" s="768"/>
      <c r="F58" s="768"/>
    </row>
    <row r="59" spans="1:6" ht="14.25">
      <c r="A59" s="799" t="s">
        <v>1146</v>
      </c>
      <c r="B59" s="800">
        <v>0.18179868863731194</v>
      </c>
      <c r="C59" s="768"/>
      <c r="D59" s="768"/>
      <c r="E59" s="768"/>
      <c r="F59" s="768"/>
    </row>
    <row r="60" spans="1:6" ht="14.25">
      <c r="A60" s="752" t="s">
        <v>1147</v>
      </c>
      <c r="B60" s="768">
        <v>52276286902</v>
      </c>
      <c r="C60" s="801"/>
      <c r="D60" s="768"/>
      <c r="E60" s="768"/>
      <c r="F60" s="768"/>
    </row>
    <row r="61" spans="1:6" ht="14.25">
      <c r="A61" s="802" t="s">
        <v>1148</v>
      </c>
      <c r="B61" s="803">
        <v>251427845245</v>
      </c>
      <c r="C61" s="768"/>
      <c r="D61" s="768"/>
      <c r="E61" s="768"/>
      <c r="F61" s="768"/>
    </row>
    <row r="62" spans="1:6" ht="14.25">
      <c r="A62" s="799" t="s">
        <v>129</v>
      </c>
      <c r="B62" s="804">
        <v>303704132147</v>
      </c>
      <c r="C62" s="768"/>
      <c r="D62" s="768"/>
      <c r="E62" s="768"/>
      <c r="F62" s="768"/>
    </row>
    <row r="63" spans="1:6" ht="14.25">
      <c r="A63" s="805"/>
      <c r="B63" s="806"/>
      <c r="C63" s="768"/>
      <c r="D63" s="768"/>
      <c r="E63" s="768"/>
      <c r="F63" s="768"/>
    </row>
    <row r="64" spans="1:6" ht="14.25">
      <c r="A64" s="807" t="s">
        <v>1149</v>
      </c>
      <c r="B64" s="808">
        <v>303704132147</v>
      </c>
      <c r="C64" s="768"/>
      <c r="D64" s="768"/>
      <c r="E64" s="768"/>
      <c r="F64" s="768"/>
    </row>
    <row r="65" spans="1:6" ht="15" thickBot="1">
      <c r="A65" s="797" t="s">
        <v>1181</v>
      </c>
      <c r="B65" s="768"/>
      <c r="C65" s="768"/>
      <c r="D65" s="768"/>
      <c r="E65" s="768"/>
      <c r="F65" s="768"/>
    </row>
    <row r="66" spans="1:6" ht="15" thickBot="1">
      <c r="A66" s="809" t="s">
        <v>1355</v>
      </c>
      <c r="B66" s="809" t="s">
        <v>1182</v>
      </c>
      <c r="C66" s="809" t="s">
        <v>1183</v>
      </c>
      <c r="D66" s="810" t="s">
        <v>1184</v>
      </c>
      <c r="E66" s="768"/>
      <c r="F66" s="768"/>
    </row>
    <row r="67" spans="1:6" ht="14.25">
      <c r="A67" s="811">
        <v>1</v>
      </c>
      <c r="B67" s="811" t="s">
        <v>1150</v>
      </c>
      <c r="C67" s="811" t="s">
        <v>1150</v>
      </c>
      <c r="D67" s="812" t="s">
        <v>1151</v>
      </c>
      <c r="E67" s="768"/>
      <c r="F67" s="768"/>
    </row>
    <row r="68" spans="1:6" ht="14.25">
      <c r="A68" s="811">
        <v>2</v>
      </c>
      <c r="B68" s="811" t="s">
        <v>1152</v>
      </c>
      <c r="C68" s="811" t="s">
        <v>1152</v>
      </c>
      <c r="D68" s="813">
        <v>0.05</v>
      </c>
      <c r="E68" s="768"/>
      <c r="F68" s="768"/>
    </row>
    <row r="69" spans="1:6" ht="14.25">
      <c r="A69" s="814">
        <v>3</v>
      </c>
      <c r="B69" s="814" t="s">
        <v>1153</v>
      </c>
      <c r="C69" s="814" t="s">
        <v>1154</v>
      </c>
      <c r="D69" s="815">
        <v>0.25</v>
      </c>
      <c r="E69" s="768"/>
      <c r="F69" s="768"/>
    </row>
    <row r="70" spans="1:6" ht="14.25">
      <c r="A70" s="814">
        <v>4</v>
      </c>
      <c r="B70" s="814" t="s">
        <v>1155</v>
      </c>
      <c r="C70" s="814" t="s">
        <v>1156</v>
      </c>
      <c r="D70" s="815">
        <v>0.5</v>
      </c>
      <c r="E70" s="768"/>
      <c r="F70" s="768"/>
    </row>
    <row r="71" spans="1:6" ht="14.25">
      <c r="A71" s="814">
        <v>5</v>
      </c>
      <c r="B71" s="814" t="s">
        <v>1157</v>
      </c>
      <c r="C71" s="814" t="s">
        <v>1155</v>
      </c>
      <c r="D71" s="815">
        <v>0.75</v>
      </c>
      <c r="E71" s="768"/>
      <c r="F71" s="768"/>
    </row>
    <row r="72" spans="1:6" ht="15" thickBot="1">
      <c r="A72" s="816">
        <v>6</v>
      </c>
      <c r="B72" s="816" t="s">
        <v>1158</v>
      </c>
      <c r="C72" s="816" t="s">
        <v>1159</v>
      </c>
      <c r="D72" s="817">
        <v>1</v>
      </c>
      <c r="E72" s="768"/>
      <c r="F72" s="768"/>
    </row>
    <row r="73" spans="1:6" ht="14.25">
      <c r="A73" s="752"/>
      <c r="B73" s="768"/>
      <c r="C73" s="768"/>
      <c r="D73" s="768"/>
      <c r="E73" s="768"/>
      <c r="F73" s="768"/>
    </row>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10">
      <selection activeCell="A34" sqref="A34:I34"/>
    </sheetView>
  </sheetViews>
  <sheetFormatPr defaultColWidth="11.421875" defaultRowHeight="15"/>
  <cols>
    <col min="5" max="5" width="52.140625" style="0" bestFit="1" customWidth="1"/>
    <col min="11" max="11" width="12.00390625" style="0" bestFit="1" customWidth="1"/>
  </cols>
  <sheetData>
    <row r="1" spans="1:9" ht="14.25">
      <c r="A1" s="590"/>
      <c r="B1" s="590"/>
      <c r="C1" s="590"/>
      <c r="D1" s="590"/>
      <c r="E1" s="590"/>
      <c r="F1" s="590"/>
      <c r="G1" s="590"/>
      <c r="H1" s="590"/>
      <c r="I1" s="590"/>
    </row>
    <row r="2" spans="1:9" ht="15">
      <c r="A2" s="509" t="s">
        <v>1028</v>
      </c>
      <c r="B2" s="508"/>
      <c r="C2" s="508"/>
      <c r="D2" s="508"/>
      <c r="E2" s="508"/>
      <c r="F2" s="508"/>
      <c r="G2" s="508"/>
      <c r="H2" s="508"/>
      <c r="I2" s="508"/>
    </row>
    <row r="3" spans="1:9" ht="15">
      <c r="A3" s="508"/>
      <c r="B3" s="508"/>
      <c r="C3" s="508"/>
      <c r="D3" s="590"/>
      <c r="E3" s="509"/>
      <c r="F3" s="509"/>
      <c r="G3" s="509"/>
      <c r="H3" s="508"/>
      <c r="I3" s="508"/>
    </row>
    <row r="4" spans="1:9" ht="14.25">
      <c r="A4" s="508"/>
      <c r="B4" s="508"/>
      <c r="C4" s="508"/>
      <c r="D4" s="508"/>
      <c r="E4" s="508"/>
      <c r="F4" s="508"/>
      <c r="G4" s="508"/>
      <c r="H4" s="508"/>
      <c r="I4" s="508"/>
    </row>
    <row r="5" spans="1:9" ht="18" thickBot="1">
      <c r="A5" s="1019" t="s">
        <v>1029</v>
      </c>
      <c r="B5" s="1020"/>
      <c r="C5" s="1020"/>
      <c r="D5" s="1020"/>
      <c r="E5" s="1020"/>
      <c r="F5" s="1020"/>
      <c r="G5" s="1020"/>
      <c r="H5" s="1020"/>
      <c r="I5" s="1021"/>
    </row>
    <row r="6" spans="1:9" ht="14.25">
      <c r="A6" s="1022" t="s">
        <v>1211</v>
      </c>
      <c r="B6" s="1023"/>
      <c r="C6" s="1023"/>
      <c r="D6" s="1023"/>
      <c r="E6" s="1023"/>
      <c r="F6" s="1023"/>
      <c r="G6" s="1023"/>
      <c r="H6" s="1023"/>
      <c r="I6" s="1024"/>
    </row>
    <row r="7" spans="1:9" ht="14.25">
      <c r="A7" s="510"/>
      <c r="B7" s="511"/>
      <c r="C7" s="511"/>
      <c r="D7" s="511"/>
      <c r="E7" s="511"/>
      <c r="F7" s="511"/>
      <c r="G7" s="511"/>
      <c r="H7" s="511"/>
      <c r="I7" s="512"/>
    </row>
    <row r="8" spans="1:9" ht="14.25">
      <c r="A8" s="513" t="s">
        <v>1030</v>
      </c>
      <c r="B8" s="514"/>
      <c r="C8" s="514"/>
      <c r="D8" s="514"/>
      <c r="E8" s="515"/>
      <c r="F8" s="515"/>
      <c r="G8" s="515"/>
      <c r="H8" s="515"/>
      <c r="I8" s="516"/>
    </row>
    <row r="9" spans="1:9" ht="14.25">
      <c r="A9" s="517"/>
      <c r="B9" s="518"/>
      <c r="C9" s="518"/>
      <c r="D9" s="518"/>
      <c r="E9" s="519"/>
      <c r="F9" s="519"/>
      <c r="G9" s="519"/>
      <c r="H9" s="519"/>
      <c r="I9" s="520"/>
    </row>
    <row r="10" spans="1:9" ht="14.25">
      <c r="A10" s="517" t="s">
        <v>1031</v>
      </c>
      <c r="B10" s="521"/>
      <c r="C10" s="521"/>
      <c r="D10" s="521"/>
      <c r="E10" s="521"/>
      <c r="F10" s="519"/>
      <c r="G10" s="519"/>
      <c r="H10" s="519"/>
      <c r="I10" s="520"/>
    </row>
    <row r="11" spans="1:9" ht="14.25">
      <c r="A11" s="522" t="s">
        <v>1032</v>
      </c>
      <c r="B11" s="519"/>
      <c r="C11" s="519"/>
      <c r="D11" s="519"/>
      <c r="E11" s="519"/>
      <c r="F11" s="519"/>
      <c r="G11" s="519"/>
      <c r="H11" s="519"/>
      <c r="I11" s="520"/>
    </row>
    <row r="12" spans="1:9" ht="14.25">
      <c r="A12" s="523" t="s">
        <v>1033</v>
      </c>
      <c r="B12" s="519"/>
      <c r="C12" s="519"/>
      <c r="D12" s="519"/>
      <c r="E12" s="519"/>
      <c r="F12" s="519"/>
      <c r="G12" s="519"/>
      <c r="H12" s="519"/>
      <c r="I12" s="520"/>
    </row>
    <row r="13" spans="1:9" ht="14.25">
      <c r="A13" s="523" t="s">
        <v>1034</v>
      </c>
      <c r="B13" s="519"/>
      <c r="C13" s="519"/>
      <c r="D13" s="519"/>
      <c r="E13" s="519"/>
      <c r="F13" s="519"/>
      <c r="G13" s="519"/>
      <c r="H13" s="519"/>
      <c r="I13" s="520"/>
    </row>
    <row r="14" spans="1:9" ht="14.25">
      <c r="A14" s="524" t="s">
        <v>1412</v>
      </c>
      <c r="B14" s="525"/>
      <c r="C14" s="525"/>
      <c r="D14" s="525"/>
      <c r="E14" s="525"/>
      <c r="F14" s="525"/>
      <c r="G14" s="525"/>
      <c r="H14" s="525"/>
      <c r="I14" s="520"/>
    </row>
    <row r="15" spans="1:9" ht="14.25">
      <c r="A15" s="524" t="s">
        <v>1035</v>
      </c>
      <c r="B15" s="525"/>
      <c r="C15" s="525"/>
      <c r="D15" s="525"/>
      <c r="E15" s="525"/>
      <c r="F15" s="525"/>
      <c r="G15" s="525"/>
      <c r="H15" s="525"/>
      <c r="I15" s="520"/>
    </row>
    <row r="16" spans="1:9" ht="14.25">
      <c r="A16" s="526" t="s">
        <v>1036</v>
      </c>
      <c r="B16" s="525"/>
      <c r="C16" s="525"/>
      <c r="D16" s="525"/>
      <c r="E16" s="525"/>
      <c r="F16" s="525"/>
      <c r="G16" s="525"/>
      <c r="H16" s="525"/>
      <c r="I16" s="520"/>
    </row>
    <row r="17" spans="1:9" ht="14.25">
      <c r="A17" s="524" t="s">
        <v>1037</v>
      </c>
      <c r="B17" s="525"/>
      <c r="C17" s="525"/>
      <c r="D17" s="525"/>
      <c r="E17" s="525"/>
      <c r="F17" s="519"/>
      <c r="G17" s="519"/>
      <c r="H17" s="519"/>
      <c r="I17" s="520"/>
    </row>
    <row r="18" spans="1:9" ht="14.25">
      <c r="A18" s="517"/>
      <c r="B18" s="519"/>
      <c r="C18" s="519"/>
      <c r="D18" s="519"/>
      <c r="E18" s="519"/>
      <c r="F18" s="519"/>
      <c r="G18" s="519"/>
      <c r="H18" s="519"/>
      <c r="I18" s="520"/>
    </row>
    <row r="19" spans="1:9" ht="14.25">
      <c r="A19" s="1005" t="s">
        <v>1038</v>
      </c>
      <c r="B19" s="1006"/>
      <c r="C19" s="1006"/>
      <c r="D19" s="1006"/>
      <c r="E19" s="1006"/>
      <c r="F19" s="1006"/>
      <c r="G19" s="1006"/>
      <c r="H19" s="1006"/>
      <c r="I19" s="1007"/>
    </row>
    <row r="20" spans="1:9" ht="14.25">
      <c r="A20" s="1008" t="s">
        <v>1039</v>
      </c>
      <c r="B20" s="1008"/>
      <c r="C20" s="1008"/>
      <c r="D20" s="1008" t="s">
        <v>1040</v>
      </c>
      <c r="E20" s="1008"/>
      <c r="F20" s="1008" t="s">
        <v>1041</v>
      </c>
      <c r="G20" s="1008"/>
      <c r="H20" s="1011" t="s">
        <v>1042</v>
      </c>
      <c r="I20" s="1011"/>
    </row>
    <row r="21" spans="1:9" ht="14.25">
      <c r="A21" s="994" t="s">
        <v>1043</v>
      </c>
      <c r="B21" s="994"/>
      <c r="C21" s="994"/>
      <c r="D21" s="1012">
        <v>997000</v>
      </c>
      <c r="E21" s="1013"/>
      <c r="F21" s="994" t="s">
        <v>1044</v>
      </c>
      <c r="G21" s="994"/>
      <c r="H21" s="1014">
        <v>0.997</v>
      </c>
      <c r="I21" s="1014"/>
    </row>
    <row r="22" spans="1:9" ht="14.25">
      <c r="A22" s="1015" t="s">
        <v>1127</v>
      </c>
      <c r="B22" s="1015" t="s">
        <v>952</v>
      </c>
      <c r="C22" s="1015"/>
      <c r="D22" s="1016">
        <v>471125</v>
      </c>
      <c r="E22" s="1017"/>
      <c r="F22" s="1015" t="s">
        <v>1044</v>
      </c>
      <c r="G22" s="1015"/>
      <c r="H22" s="1018">
        <v>0.28</v>
      </c>
      <c r="I22" s="1018"/>
    </row>
    <row r="23" spans="1:9" ht="14.25">
      <c r="A23" s="1015" t="s">
        <v>1405</v>
      </c>
      <c r="B23" s="1015"/>
      <c r="C23" s="1015"/>
      <c r="D23" s="1016">
        <v>20000</v>
      </c>
      <c r="E23" s="1017"/>
      <c r="F23" s="1015" t="s">
        <v>1044</v>
      </c>
      <c r="G23" s="1015"/>
      <c r="H23" s="1018">
        <v>0.67</v>
      </c>
      <c r="I23" s="1018"/>
    </row>
    <row r="24" spans="1:9" s="868" customFormat="1" ht="14.25">
      <c r="A24" s="874"/>
      <c r="B24" s="875"/>
      <c r="C24" s="875"/>
      <c r="D24" s="876"/>
      <c r="E24" s="876"/>
      <c r="F24" s="875"/>
      <c r="G24" s="875"/>
      <c r="H24" s="877"/>
      <c r="I24" s="878"/>
    </row>
    <row r="25" spans="1:9" ht="14.25">
      <c r="A25" s="530" t="s">
        <v>1045</v>
      </c>
      <c r="B25" s="531"/>
      <c r="C25" s="531"/>
      <c r="D25" s="531"/>
      <c r="E25" s="531"/>
      <c r="F25" s="531"/>
      <c r="G25" s="531"/>
      <c r="H25" s="519"/>
      <c r="I25" s="520"/>
    </row>
    <row r="26" spans="1:9" ht="14.25">
      <c r="A26" s="530"/>
      <c r="B26" s="531"/>
      <c r="C26" s="531"/>
      <c r="D26" s="531"/>
      <c r="E26" s="531"/>
      <c r="F26" s="531"/>
      <c r="G26" s="531"/>
      <c r="H26" s="519"/>
      <c r="I26" s="520"/>
    </row>
    <row r="27" spans="1:9" ht="14.25">
      <c r="A27" s="1005" t="s">
        <v>1046</v>
      </c>
      <c r="B27" s="1006"/>
      <c r="C27" s="1006"/>
      <c r="D27" s="1006"/>
      <c r="E27" s="1006"/>
      <c r="F27" s="1006"/>
      <c r="G27" s="1006"/>
      <c r="H27" s="1006"/>
      <c r="I27" s="1007"/>
    </row>
    <row r="28" spans="1:9" ht="14.25">
      <c r="A28" s="1008" t="s">
        <v>1039</v>
      </c>
      <c r="B28" s="1008"/>
      <c r="C28" s="1008"/>
      <c r="D28" s="1008" t="s">
        <v>1047</v>
      </c>
      <c r="E28" s="1008"/>
      <c r="F28" s="1008" t="s">
        <v>1048</v>
      </c>
      <c r="G28" s="1008"/>
      <c r="H28" s="1009" t="s">
        <v>1049</v>
      </c>
      <c r="I28" s="1010"/>
    </row>
    <row r="29" spans="1:9" ht="14.25">
      <c r="A29" s="994"/>
      <c r="B29" s="994"/>
      <c r="C29" s="994"/>
      <c r="D29" s="994"/>
      <c r="E29" s="994"/>
      <c r="F29" s="994"/>
      <c r="G29" s="994"/>
      <c r="H29" s="994"/>
      <c r="I29" s="994"/>
    </row>
    <row r="30" spans="1:9" ht="14.25">
      <c r="A30" s="527" t="s">
        <v>1050</v>
      </c>
      <c r="B30" s="528"/>
      <c r="C30" s="529"/>
      <c r="D30" s="527"/>
      <c r="E30" s="529"/>
      <c r="F30" s="527"/>
      <c r="G30" s="529"/>
      <c r="H30" s="527"/>
      <c r="I30" s="529"/>
    </row>
    <row r="31" spans="1:9" ht="14.25">
      <c r="A31" s="994"/>
      <c r="B31" s="994"/>
      <c r="C31" s="994"/>
      <c r="D31" s="994"/>
      <c r="E31" s="994"/>
      <c r="F31" s="994"/>
      <c r="G31" s="994"/>
      <c r="H31" s="994"/>
      <c r="I31" s="994"/>
    </row>
    <row r="32" spans="1:9" ht="14.25">
      <c r="A32" s="530" t="s">
        <v>1051</v>
      </c>
      <c r="B32" s="519"/>
      <c r="C32" s="519"/>
      <c r="D32" s="519"/>
      <c r="E32" s="519"/>
      <c r="F32" s="519"/>
      <c r="G32" s="519"/>
      <c r="H32" s="519"/>
      <c r="I32" s="520"/>
    </row>
    <row r="33" spans="1:9" ht="14.25">
      <c r="A33" s="530"/>
      <c r="B33" s="519"/>
      <c r="C33" s="519"/>
      <c r="D33" s="519"/>
      <c r="E33" s="519"/>
      <c r="F33" s="519"/>
      <c r="G33" s="519"/>
      <c r="H33" s="519"/>
      <c r="I33" s="520"/>
    </row>
    <row r="34" spans="1:9" ht="14.25">
      <c r="A34" s="997" t="s">
        <v>1052</v>
      </c>
      <c r="B34" s="998"/>
      <c r="C34" s="998"/>
      <c r="D34" s="998"/>
      <c r="E34" s="998"/>
      <c r="F34" s="998"/>
      <c r="G34" s="998"/>
      <c r="H34" s="998"/>
      <c r="I34" s="999"/>
    </row>
    <row r="35" spans="1:9" ht="14.25">
      <c r="A35" s="1000" t="s">
        <v>1053</v>
      </c>
      <c r="B35" s="1001"/>
      <c r="C35" s="1001"/>
      <c r="D35" s="1001"/>
      <c r="E35" s="1002"/>
      <c r="F35" s="1000" t="s">
        <v>1054</v>
      </c>
      <c r="G35" s="1001"/>
      <c r="H35" s="1003"/>
      <c r="I35" s="1004"/>
    </row>
    <row r="36" spans="1:9" ht="14.25">
      <c r="A36" s="532"/>
      <c r="B36" s="533"/>
      <c r="C36" s="534" t="s">
        <v>961</v>
      </c>
      <c r="D36" s="532"/>
      <c r="E36" s="533"/>
      <c r="F36" s="532"/>
      <c r="G36" s="534" t="s">
        <v>961</v>
      </c>
      <c r="H36" s="532"/>
      <c r="I36" s="534"/>
    </row>
    <row r="37" spans="1:9" ht="14.25">
      <c r="A37" s="994"/>
      <c r="B37" s="994"/>
      <c r="C37" s="994"/>
      <c r="D37" s="994"/>
      <c r="E37" s="994"/>
      <c r="F37" s="994"/>
      <c r="G37" s="994"/>
      <c r="H37" s="994"/>
      <c r="I37" s="994"/>
    </row>
    <row r="38" spans="1:9" ht="14.25">
      <c r="A38" s="522"/>
      <c r="B38" s="519"/>
      <c r="C38" s="519"/>
      <c r="D38" s="531"/>
      <c r="E38" s="519"/>
      <c r="F38" s="519"/>
      <c r="G38" s="519"/>
      <c r="H38" s="519"/>
      <c r="I38" s="520"/>
    </row>
    <row r="39" spans="1:9" ht="14.25">
      <c r="A39" s="535"/>
      <c r="B39" s="536"/>
      <c r="C39" s="536"/>
      <c r="D39" s="536"/>
      <c r="E39" s="536"/>
      <c r="F39" s="536"/>
      <c r="G39" s="519"/>
      <c r="H39" s="519"/>
      <c r="I39" s="520"/>
    </row>
    <row r="40" spans="1:9" ht="14.25">
      <c r="A40" s="517" t="s">
        <v>1055</v>
      </c>
      <c r="B40" s="531"/>
      <c r="C40" s="531"/>
      <c r="D40" s="531"/>
      <c r="E40" s="995"/>
      <c r="F40" s="996"/>
      <c r="G40" s="996"/>
      <c r="H40" s="996"/>
      <c r="I40" s="520"/>
    </row>
    <row r="41" spans="1:9" ht="14.25">
      <c r="A41" s="522"/>
      <c r="B41" s="519"/>
      <c r="C41" s="519"/>
      <c r="D41" s="519"/>
      <c r="E41" s="519" t="s">
        <v>1056</v>
      </c>
      <c r="F41" s="608">
        <v>44926</v>
      </c>
      <c r="G41" s="608">
        <v>44561</v>
      </c>
      <c r="H41" s="519"/>
      <c r="I41" s="520"/>
    </row>
    <row r="42" spans="1:9" s="590" customFormat="1" ht="14.25">
      <c r="A42" s="522"/>
      <c r="B42" s="519"/>
      <c r="C42" s="531" t="s">
        <v>1057</v>
      </c>
      <c r="D42" s="519"/>
      <c r="E42" s="519"/>
      <c r="F42" s="536"/>
      <c r="G42" s="536"/>
      <c r="H42" s="519"/>
      <c r="I42" s="520"/>
    </row>
    <row r="43" spans="1:9" ht="14.25">
      <c r="A43" s="517" t="s">
        <v>1058</v>
      </c>
      <c r="B43" s="519"/>
      <c r="C43" s="519"/>
      <c r="D43" s="519"/>
      <c r="E43" s="519"/>
      <c r="F43" s="536"/>
      <c r="G43" s="536"/>
      <c r="H43" s="519"/>
      <c r="I43" s="520"/>
    </row>
    <row r="44" spans="1:9" ht="14.25">
      <c r="A44" s="530" t="s">
        <v>1059</v>
      </c>
      <c r="B44" s="519"/>
      <c r="C44" s="519"/>
      <c r="D44" s="519"/>
      <c r="E44" s="519"/>
      <c r="F44" s="536"/>
      <c r="G44" s="536"/>
      <c r="H44" s="519"/>
      <c r="I44" s="520"/>
    </row>
    <row r="45" spans="1:9" ht="14.25">
      <c r="A45" s="523" t="s">
        <v>1060</v>
      </c>
      <c r="B45" s="519"/>
      <c r="C45" s="519"/>
      <c r="D45" s="519"/>
      <c r="E45" s="519"/>
      <c r="F45" s="536"/>
      <c r="G45" s="536"/>
      <c r="H45" s="519"/>
      <c r="I45" s="520"/>
    </row>
    <row r="46" spans="1:9" ht="14.25">
      <c r="A46" s="524" t="s">
        <v>1061</v>
      </c>
      <c r="B46" s="519"/>
      <c r="C46" s="537"/>
      <c r="D46" s="519"/>
      <c r="E46" s="519"/>
      <c r="F46" s="536"/>
      <c r="G46" s="536"/>
      <c r="H46" s="519"/>
      <c r="I46" s="520"/>
    </row>
    <row r="47" spans="1:9" ht="14.25">
      <c r="A47" s="526"/>
      <c r="B47" s="519"/>
      <c r="C47" s="537"/>
      <c r="D47" s="519"/>
      <c r="E47" s="519"/>
      <c r="F47" s="536"/>
      <c r="G47" s="536"/>
      <c r="H47" s="519"/>
      <c r="I47" s="520"/>
    </row>
    <row r="48" spans="1:9" ht="14.25">
      <c r="A48" s="517" t="s">
        <v>1062</v>
      </c>
      <c r="B48" s="519"/>
      <c r="C48" s="519"/>
      <c r="D48" s="519"/>
      <c r="E48" s="519"/>
      <c r="F48" s="536"/>
      <c r="G48" s="536"/>
      <c r="H48" s="519"/>
      <c r="I48" s="520"/>
    </row>
    <row r="49" spans="1:9" ht="14.25">
      <c r="A49" s="523" t="s">
        <v>1060</v>
      </c>
      <c r="B49" s="519"/>
      <c r="C49" s="519"/>
      <c r="D49" s="519"/>
      <c r="E49" s="519"/>
      <c r="F49" s="536"/>
      <c r="G49" s="536"/>
      <c r="H49" s="519"/>
      <c r="I49" s="520"/>
    </row>
    <row r="50" spans="1:9" ht="14.25">
      <c r="A50" s="523" t="s">
        <v>1063</v>
      </c>
      <c r="B50" s="519"/>
      <c r="C50" s="519"/>
      <c r="D50" s="519"/>
      <c r="E50" s="519"/>
      <c r="F50" s="536"/>
      <c r="G50" s="536"/>
      <c r="H50" s="519"/>
      <c r="I50" s="520"/>
    </row>
    <row r="51" spans="1:9" ht="14.25">
      <c r="A51" s="538" t="s">
        <v>1064</v>
      </c>
      <c r="B51" s="519"/>
      <c r="C51" s="590"/>
      <c r="D51" s="519"/>
      <c r="E51" s="519"/>
      <c r="F51" s="609">
        <v>0</v>
      </c>
      <c r="G51" s="537">
        <v>1265</v>
      </c>
      <c r="H51" s="519"/>
      <c r="I51" s="520"/>
    </row>
    <row r="52" spans="1:9" ht="14.25">
      <c r="A52" s="526" t="s">
        <v>1065</v>
      </c>
      <c r="B52" s="519"/>
      <c r="C52" s="590"/>
      <c r="D52" s="519"/>
      <c r="E52" s="519"/>
      <c r="F52" s="609">
        <v>0</v>
      </c>
      <c r="G52" s="537">
        <v>855</v>
      </c>
      <c r="H52" s="519"/>
      <c r="I52" s="520"/>
    </row>
    <row r="53" spans="1:9" ht="14.25">
      <c r="A53" s="522"/>
      <c r="B53" s="519"/>
      <c r="C53" s="519"/>
      <c r="D53" s="519"/>
      <c r="E53" s="519"/>
      <c r="F53" s="536"/>
      <c r="G53" s="536"/>
      <c r="H53" s="519"/>
      <c r="I53" s="520"/>
    </row>
    <row r="54" spans="1:9" ht="14.25">
      <c r="A54" s="523" t="s">
        <v>1066</v>
      </c>
      <c r="B54" s="519"/>
      <c r="C54" s="519"/>
      <c r="D54" s="519"/>
      <c r="E54" s="519"/>
      <c r="F54" s="536"/>
      <c r="G54" s="536"/>
      <c r="H54" s="519"/>
      <c r="I54" s="520"/>
    </row>
    <row r="55" spans="1:9" ht="14.25">
      <c r="A55" s="523"/>
      <c r="B55" s="519"/>
      <c r="C55" s="519"/>
      <c r="D55" s="519"/>
      <c r="E55" s="519"/>
      <c r="F55" s="536"/>
      <c r="G55" s="536"/>
      <c r="H55" s="519"/>
      <c r="I55" s="520"/>
    </row>
    <row r="56" spans="1:9" ht="14.25">
      <c r="A56" s="523" t="s">
        <v>1067</v>
      </c>
      <c r="B56" s="519"/>
      <c r="C56" s="519"/>
      <c r="D56" s="519"/>
      <c r="E56" s="519"/>
      <c r="F56" s="536"/>
      <c r="G56" s="536"/>
      <c r="H56" s="519"/>
      <c r="I56" s="520"/>
    </row>
    <row r="57" spans="1:9" ht="14.25">
      <c r="A57" s="524" t="s">
        <v>1068</v>
      </c>
      <c r="B57" s="519"/>
      <c r="C57" s="539" t="s">
        <v>1368</v>
      </c>
      <c r="D57" s="519"/>
      <c r="E57" s="519"/>
      <c r="F57" s="610">
        <v>11383029.284</v>
      </c>
      <c r="G57" s="609">
        <v>13820628</v>
      </c>
      <c r="H57" s="537"/>
      <c r="I57" s="540"/>
    </row>
    <row r="58" spans="1:9" ht="14.25">
      <c r="A58" s="524" t="s">
        <v>1068</v>
      </c>
      <c r="B58" s="519"/>
      <c r="C58" s="539" t="s">
        <v>1369</v>
      </c>
      <c r="D58" s="519"/>
      <c r="E58" s="519"/>
      <c r="F58" s="610">
        <v>348628.716</v>
      </c>
      <c r="G58" s="609">
        <v>296510</v>
      </c>
      <c r="H58" s="537"/>
      <c r="I58" s="540"/>
    </row>
    <row r="59" spans="1:9" ht="14.25">
      <c r="A59" s="524" t="s">
        <v>1069</v>
      </c>
      <c r="B59" s="519"/>
      <c r="C59" s="539" t="s">
        <v>1368</v>
      </c>
      <c r="D59" s="519"/>
      <c r="E59" s="519"/>
      <c r="F59" s="610">
        <v>9369651.016</v>
      </c>
      <c r="G59" s="609">
        <v>8987527</v>
      </c>
      <c r="H59" s="537"/>
      <c r="I59" s="540"/>
    </row>
    <row r="60" spans="1:9" ht="14.25">
      <c r="A60" s="524" t="s">
        <v>1069</v>
      </c>
      <c r="B60" s="519"/>
      <c r="C60" s="539" t="s">
        <v>1369</v>
      </c>
      <c r="D60" s="519"/>
      <c r="E60" s="519"/>
      <c r="F60" s="610">
        <v>315425.984</v>
      </c>
      <c r="G60" s="610">
        <v>187307</v>
      </c>
      <c r="H60" s="537"/>
      <c r="I60" s="540"/>
    </row>
    <row r="61" spans="1:9" ht="14.25">
      <c r="A61" s="524" t="s">
        <v>1070</v>
      </c>
      <c r="B61" s="519"/>
      <c r="C61" s="539" t="s">
        <v>1370</v>
      </c>
      <c r="D61" s="519"/>
      <c r="E61" s="519"/>
      <c r="F61" s="610">
        <v>2580000</v>
      </c>
      <c r="G61" s="609">
        <v>14386119</v>
      </c>
      <c r="H61" s="537"/>
      <c r="I61" s="540"/>
    </row>
    <row r="62" spans="1:9" s="732" customFormat="1" ht="14.25">
      <c r="A62" s="524" t="s">
        <v>1359</v>
      </c>
      <c r="B62" s="519"/>
      <c r="C62" s="539" t="s">
        <v>1368</v>
      </c>
      <c r="D62" s="519"/>
      <c r="E62" s="519"/>
      <c r="F62" s="610">
        <v>150000</v>
      </c>
      <c r="G62" s="609">
        <v>423000</v>
      </c>
      <c r="H62" s="537"/>
      <c r="I62" s="540"/>
    </row>
    <row r="63" spans="1:13" ht="14.25">
      <c r="A63" s="524" t="s">
        <v>1071</v>
      </c>
      <c r="B63" s="525"/>
      <c r="C63" s="541" t="s">
        <v>1375</v>
      </c>
      <c r="D63" s="525"/>
      <c r="E63" s="525"/>
      <c r="F63" s="820">
        <v>90000</v>
      </c>
      <c r="G63" s="609">
        <v>300000</v>
      </c>
      <c r="H63" s="537"/>
      <c r="I63" s="540"/>
      <c r="J63" s="609"/>
      <c r="K63" s="609"/>
      <c r="L63" s="609"/>
      <c r="M63" s="609"/>
    </row>
    <row r="64" spans="1:13" s="732" customFormat="1" ht="14.25">
      <c r="A64" s="524" t="s">
        <v>1071</v>
      </c>
      <c r="B64" s="519"/>
      <c r="C64" s="541" t="s">
        <v>1368</v>
      </c>
      <c r="D64" s="519"/>
      <c r="E64" s="519"/>
      <c r="F64" s="820">
        <v>450000</v>
      </c>
      <c r="G64" s="609">
        <v>0</v>
      </c>
      <c r="H64" s="537"/>
      <c r="I64" s="540"/>
      <c r="J64" s="609"/>
      <c r="K64" s="609"/>
      <c r="L64" s="609"/>
      <c r="M64" s="609"/>
    </row>
    <row r="65" spans="1:13" ht="14.25">
      <c r="A65" s="542" t="s">
        <v>1072</v>
      </c>
      <c r="B65" s="519"/>
      <c r="C65" s="541" t="s">
        <v>1375</v>
      </c>
      <c r="D65" s="519"/>
      <c r="E65" s="519"/>
      <c r="F65" s="820">
        <v>156000</v>
      </c>
      <c r="G65" s="609">
        <v>120000</v>
      </c>
      <c r="H65" s="537"/>
      <c r="I65" s="520"/>
      <c r="J65" s="609"/>
      <c r="K65" s="609"/>
      <c r="L65" s="609"/>
      <c r="M65" s="609"/>
    </row>
    <row r="66" spans="1:13" ht="14.25">
      <c r="A66" s="542" t="s">
        <v>1072</v>
      </c>
      <c r="B66" s="519"/>
      <c r="C66" s="539" t="s">
        <v>1371</v>
      </c>
      <c r="D66" s="519"/>
      <c r="E66" s="519"/>
      <c r="F66" s="820">
        <v>0</v>
      </c>
      <c r="G66" s="609">
        <v>266667</v>
      </c>
      <c r="H66" s="519"/>
      <c r="I66" s="520"/>
      <c r="J66" s="609"/>
      <c r="K66" s="609"/>
      <c r="L66" s="609"/>
      <c r="M66" s="609"/>
    </row>
    <row r="67" spans="1:13" ht="14.25">
      <c r="A67" s="542" t="s">
        <v>1073</v>
      </c>
      <c r="B67" s="519"/>
      <c r="C67" s="541" t="s">
        <v>1375</v>
      </c>
      <c r="D67" s="519"/>
      <c r="E67" s="519"/>
      <c r="F67" s="820">
        <v>180000</v>
      </c>
      <c r="G67" s="609">
        <v>180000</v>
      </c>
      <c r="H67" s="519"/>
      <c r="I67" s="520"/>
      <c r="J67" s="609"/>
      <c r="K67" s="609"/>
      <c r="L67" s="609"/>
      <c r="M67" s="609"/>
    </row>
    <row r="68" spans="1:14" ht="14.25">
      <c r="A68" s="542" t="s">
        <v>1074</v>
      </c>
      <c r="B68" s="519"/>
      <c r="C68" s="539" t="s">
        <v>1368</v>
      </c>
      <c r="D68" s="519"/>
      <c r="E68" s="519"/>
      <c r="F68" s="820">
        <v>29000</v>
      </c>
      <c r="G68" s="609">
        <v>21000</v>
      </c>
      <c r="H68" s="519"/>
      <c r="I68" s="520"/>
      <c r="J68" s="609"/>
      <c r="K68" s="609"/>
      <c r="L68" s="609"/>
      <c r="M68" s="609"/>
      <c r="N68" s="682"/>
    </row>
    <row r="69" spans="1:13" ht="14.25">
      <c r="A69" s="542"/>
      <c r="B69" s="519"/>
      <c r="C69" s="519"/>
      <c r="D69" s="519"/>
      <c r="E69" s="519"/>
      <c r="F69" s="539"/>
      <c r="G69" s="519"/>
      <c r="H69" s="519"/>
      <c r="I69" s="520"/>
      <c r="J69" s="609"/>
      <c r="K69" s="609"/>
      <c r="L69" s="609"/>
      <c r="M69" s="609"/>
    </row>
    <row r="70" spans="1:9" ht="14.25">
      <c r="A70" s="522" t="s">
        <v>1075</v>
      </c>
      <c r="B70" s="519"/>
      <c r="C70" s="519"/>
      <c r="D70" s="519"/>
      <c r="E70" s="519"/>
      <c r="F70" s="519"/>
      <c r="G70" s="519"/>
      <c r="H70" s="519"/>
      <c r="I70" s="520"/>
    </row>
    <row r="71" spans="1:11" ht="14.25">
      <c r="A71" s="523" t="s">
        <v>1076</v>
      </c>
      <c r="B71" s="519"/>
      <c r="C71" s="519"/>
      <c r="D71" s="519"/>
      <c r="E71" s="519"/>
      <c r="F71" s="519"/>
      <c r="G71" s="519"/>
      <c r="H71" s="519"/>
      <c r="I71" s="520"/>
      <c r="K71" s="682"/>
    </row>
    <row r="72" spans="1:9" ht="14.25">
      <c r="A72" s="543"/>
      <c r="B72" s="544"/>
      <c r="C72" s="544"/>
      <c r="D72" s="544"/>
      <c r="E72" s="544"/>
      <c r="F72" s="544"/>
      <c r="G72" s="544"/>
      <c r="H72" s="544"/>
      <c r="I72" s="545"/>
    </row>
    <row r="73" spans="1:9" ht="14.25">
      <c r="A73" s="541" t="s">
        <v>1077</v>
      </c>
      <c r="B73" s="519"/>
      <c r="C73" s="519"/>
      <c r="D73" s="519"/>
      <c r="E73" s="519"/>
      <c r="F73" s="519"/>
      <c r="G73" s="519"/>
      <c r="H73" s="519"/>
      <c r="I73" s="519"/>
    </row>
    <row r="74" spans="1:9" ht="14.25">
      <c r="A74" s="508"/>
      <c r="B74" s="508"/>
      <c r="C74" s="508"/>
      <c r="D74" s="508"/>
      <c r="E74" s="508"/>
      <c r="F74" s="508"/>
      <c r="G74" s="508"/>
      <c r="H74" s="508"/>
      <c r="I74" s="508"/>
    </row>
    <row r="75" spans="1:9" ht="14.25">
      <c r="A75" s="508"/>
      <c r="B75" s="508"/>
      <c r="C75" s="508"/>
      <c r="D75" s="508"/>
      <c r="E75" s="508"/>
      <c r="F75" s="508"/>
      <c r="G75" s="508"/>
      <c r="H75" s="508"/>
      <c r="I75" s="508"/>
    </row>
    <row r="76" spans="1:9" ht="14.25">
      <c r="A76" s="508"/>
      <c r="B76" s="508"/>
      <c r="C76" s="508"/>
      <c r="D76" s="508"/>
      <c r="E76" s="508"/>
      <c r="F76" s="508"/>
      <c r="G76" s="508"/>
      <c r="H76" s="508"/>
      <c r="I76" s="508"/>
    </row>
    <row r="77" spans="1:9" ht="14.25">
      <c r="A77" s="531" t="s">
        <v>1078</v>
      </c>
      <c r="B77" s="519"/>
      <c r="C77" s="519"/>
      <c r="D77" s="519"/>
      <c r="E77" s="519"/>
      <c r="F77" s="519"/>
      <c r="G77" s="519"/>
      <c r="H77" s="519"/>
      <c r="I77" s="519"/>
    </row>
  </sheetData>
  <sheetProtection/>
  <mergeCells count="42">
    <mergeCell ref="A5:I5"/>
    <mergeCell ref="A6:I6"/>
    <mergeCell ref="A19:I19"/>
    <mergeCell ref="A20:C20"/>
    <mergeCell ref="D20:E20"/>
    <mergeCell ref="F20:G20"/>
    <mergeCell ref="F22:G22"/>
    <mergeCell ref="H22:I22"/>
    <mergeCell ref="A23:C23"/>
    <mergeCell ref="D23:E23"/>
    <mergeCell ref="F23:G23"/>
    <mergeCell ref="H23:I23"/>
    <mergeCell ref="D28:E28"/>
    <mergeCell ref="F28:G28"/>
    <mergeCell ref="H28:I28"/>
    <mergeCell ref="H20:I20"/>
    <mergeCell ref="A21:C21"/>
    <mergeCell ref="D21:E21"/>
    <mergeCell ref="F21:G21"/>
    <mergeCell ref="H21:I21"/>
    <mergeCell ref="A22:C22"/>
    <mergeCell ref="D22:E22"/>
    <mergeCell ref="A37:C37"/>
    <mergeCell ref="D37:E37"/>
    <mergeCell ref="F37:G37"/>
    <mergeCell ref="H37:I37"/>
    <mergeCell ref="A27:I27"/>
    <mergeCell ref="A29:C29"/>
    <mergeCell ref="D29:E29"/>
    <mergeCell ref="F29:G29"/>
    <mergeCell ref="H29:I29"/>
    <mergeCell ref="A28:C28"/>
    <mergeCell ref="A31:C31"/>
    <mergeCell ref="D31:E31"/>
    <mergeCell ref="F31:G31"/>
    <mergeCell ref="H31:I31"/>
    <mergeCell ref="E40:H40"/>
    <mergeCell ref="A34:I34"/>
    <mergeCell ref="A35:C35"/>
    <mergeCell ref="D35:E35"/>
    <mergeCell ref="F35:G35"/>
    <mergeCell ref="H35:I35"/>
  </mergeCells>
  <printOptions/>
  <pageMargins left="0.7" right="0.7" top="0.75" bottom="0.75" header="0.3" footer="0.3"/>
  <pageSetup fitToHeight="1" fitToWidth="1"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dimension ref="A1:F50"/>
  <sheetViews>
    <sheetView showGridLines="0" zoomScale="90" zoomScaleNormal="90" zoomScalePageLayoutView="0" workbookViewId="0" topLeftCell="A18">
      <selection activeCell="L45" sqref="L45"/>
    </sheetView>
  </sheetViews>
  <sheetFormatPr defaultColWidth="10.8515625" defaultRowHeight="15"/>
  <cols>
    <col min="1" max="1" width="78.00390625" style="576" customWidth="1"/>
    <col min="2" max="2" width="21.140625" style="69" customWidth="1"/>
    <col min="3" max="3" width="27.57421875" style="69" customWidth="1"/>
    <col min="4" max="4" width="2.421875" style="414" customWidth="1"/>
    <col min="5" max="5" width="10.140625" style="414" bestFit="1" customWidth="1"/>
    <col min="6" max="6" width="2.28125" style="414" customWidth="1"/>
    <col min="7" max="7" width="4.421875" style="414" customWidth="1"/>
    <col min="8" max="16384" width="10.8515625" style="414" customWidth="1"/>
  </cols>
  <sheetData>
    <row r="1" ht="13.5">
      <c r="A1" s="576" t="str">
        <f>'[1]Indice'!C1</f>
        <v>NEGOFIN S.A.E.C.A.</v>
      </c>
    </row>
    <row r="2" spans="1:3" ht="13.5">
      <c r="A2" s="57"/>
      <c r="B2" s="58"/>
      <c r="C2" s="58"/>
    </row>
    <row r="3" spans="1:3" ht="13.5" customHeight="1" hidden="1">
      <c r="A3" s="904"/>
      <c r="B3" s="904"/>
      <c r="C3" s="904"/>
    </row>
    <row r="4" spans="1:3" ht="13.5">
      <c r="A4" s="57"/>
      <c r="B4" s="58"/>
      <c r="C4" s="58"/>
    </row>
    <row r="5" spans="1:3" s="2" customFormat="1" ht="13.5">
      <c r="A5" s="905" t="s">
        <v>872</v>
      </c>
      <c r="B5" s="905"/>
      <c r="C5" s="905"/>
    </row>
    <row r="6" spans="1:3" s="2" customFormat="1" ht="13.5">
      <c r="A6" s="905" t="s">
        <v>1376</v>
      </c>
      <c r="B6" s="905"/>
      <c r="C6" s="905"/>
    </row>
    <row r="7" spans="1:3" s="2" customFormat="1" ht="13.5">
      <c r="A7" s="906" t="s">
        <v>300</v>
      </c>
      <c r="B7" s="906"/>
      <c r="C7" s="906"/>
    </row>
    <row r="8" spans="1:3" s="2" customFormat="1" ht="13.5">
      <c r="A8" s="906" t="s">
        <v>272</v>
      </c>
      <c r="B8" s="906"/>
      <c r="C8" s="906"/>
    </row>
    <row r="9" spans="1:3" s="2" customFormat="1" ht="13.5">
      <c r="A9" s="487"/>
      <c r="B9" s="487"/>
      <c r="C9" s="487"/>
    </row>
    <row r="10" spans="1:3" s="2" customFormat="1" ht="13.5">
      <c r="A10" s="487"/>
      <c r="B10" s="487"/>
      <c r="C10" s="487"/>
    </row>
    <row r="11" spans="1:3" s="2" customFormat="1" ht="15.75">
      <c r="A11" s="100"/>
      <c r="B11" s="287">
        <v>2022</v>
      </c>
      <c r="C11" s="287">
        <v>2021</v>
      </c>
    </row>
    <row r="12" spans="1:3" s="2" customFormat="1" ht="13.5">
      <c r="A12" s="576"/>
      <c r="B12" s="76"/>
      <c r="C12" s="76"/>
    </row>
    <row r="13" spans="1:3" s="2" customFormat="1" ht="13.5">
      <c r="A13" s="77" t="s">
        <v>274</v>
      </c>
      <c r="B13" s="69"/>
      <c r="C13" s="483"/>
    </row>
    <row r="14" spans="1:3" s="2" customFormat="1" ht="13.5">
      <c r="A14" s="576" t="s">
        <v>422</v>
      </c>
      <c r="B14" s="18">
        <v>216438995</v>
      </c>
      <c r="C14" s="506">
        <v>113305888</v>
      </c>
    </row>
    <row r="15" spans="1:6" s="2" customFormat="1" ht="13.5">
      <c r="A15" s="576" t="s">
        <v>49</v>
      </c>
      <c r="B15" s="18">
        <v>-85846950</v>
      </c>
      <c r="C15" s="18">
        <v>-100329611</v>
      </c>
      <c r="E15" s="483"/>
      <c r="F15" s="44"/>
    </row>
    <row r="16" spans="1:6" s="2" customFormat="1" ht="13.5">
      <c r="A16" s="576" t="s">
        <v>50</v>
      </c>
      <c r="B16" s="18">
        <v>-97493293</v>
      </c>
      <c r="C16" s="18">
        <v>-71098812</v>
      </c>
      <c r="F16" s="44"/>
    </row>
    <row r="17" spans="1:6" s="2" customFormat="1" ht="13.5">
      <c r="A17" s="576" t="s">
        <v>88</v>
      </c>
      <c r="B17" s="18">
        <v>-23869458</v>
      </c>
      <c r="C17" s="18">
        <v>-21808670</v>
      </c>
      <c r="F17" s="44"/>
    </row>
    <row r="18" spans="1:6" s="2" customFormat="1" ht="13.5">
      <c r="A18" s="576" t="s">
        <v>423</v>
      </c>
      <c r="B18" s="483">
        <v>0</v>
      </c>
      <c r="C18" s="18">
        <v>0</v>
      </c>
      <c r="F18" s="44"/>
    </row>
    <row r="19" spans="1:6" s="2" customFormat="1" ht="13.5">
      <c r="A19" s="576"/>
      <c r="C19" s="506"/>
      <c r="F19" s="44"/>
    </row>
    <row r="20" spans="1:6" s="2" customFormat="1" ht="13.5">
      <c r="A20" s="576" t="s">
        <v>273</v>
      </c>
      <c r="B20" s="18">
        <v>-27185663</v>
      </c>
      <c r="C20" s="18">
        <v>-4951567</v>
      </c>
      <c r="F20" s="44"/>
    </row>
    <row r="21" spans="1:3" s="2" customFormat="1" ht="13.5">
      <c r="A21" s="387" t="s">
        <v>51</v>
      </c>
      <c r="B21" s="388">
        <f>SUM(B14:B20)</f>
        <v>-17956369</v>
      </c>
      <c r="C21" s="388">
        <f>SUM(C14:C20)</f>
        <v>-84882772</v>
      </c>
    </row>
    <row r="22" spans="1:3" s="2" customFormat="1" ht="13.5">
      <c r="A22" s="576"/>
      <c r="B22" s="69"/>
      <c r="C22" s="69"/>
    </row>
    <row r="23" spans="1:3" s="2" customFormat="1" ht="13.5">
      <c r="A23" s="77" t="s">
        <v>275</v>
      </c>
      <c r="B23" s="69"/>
      <c r="C23" s="69"/>
    </row>
    <row r="24" spans="1:6" s="2" customFormat="1" ht="13.5">
      <c r="A24" s="576" t="s">
        <v>424</v>
      </c>
      <c r="B24" s="18">
        <v>454083</v>
      </c>
      <c r="C24" s="18">
        <v>-1015604</v>
      </c>
      <c r="F24" s="44"/>
    </row>
    <row r="25" spans="1:6" s="2" customFormat="1" ht="13.5" customHeight="1" hidden="1">
      <c r="A25" s="576" t="s">
        <v>52</v>
      </c>
      <c r="B25" s="18">
        <v>0</v>
      </c>
      <c r="C25" s="18" t="s">
        <v>1377</v>
      </c>
      <c r="F25" s="44"/>
    </row>
    <row r="26" spans="1:3" s="2" customFormat="1" ht="13.5" customHeight="1" hidden="1">
      <c r="A26" s="576" t="s">
        <v>53</v>
      </c>
      <c r="B26" s="18">
        <v>357665</v>
      </c>
      <c r="C26" s="18">
        <v>52059</v>
      </c>
    </row>
    <row r="27" spans="1:3" s="2" customFormat="1" ht="13.5">
      <c r="A27" s="576" t="s">
        <v>89</v>
      </c>
      <c r="B27" s="18">
        <v>19968572</v>
      </c>
      <c r="C27" s="18" t="s">
        <v>1377</v>
      </c>
    </row>
    <row r="28" spans="1:3" s="2" customFormat="1" ht="13.5">
      <c r="A28" s="576" t="s">
        <v>90</v>
      </c>
      <c r="B28" s="18">
        <v>890446</v>
      </c>
      <c r="C28" s="18">
        <v>110244</v>
      </c>
    </row>
    <row r="29" spans="1:3" s="2" customFormat="1" ht="13.5">
      <c r="A29" s="576" t="s">
        <v>276</v>
      </c>
      <c r="B29" s="18">
        <v>-3259678</v>
      </c>
      <c r="C29" s="18">
        <v>-60719.23100000061</v>
      </c>
    </row>
    <row r="30" spans="1:3" s="2" customFormat="1" ht="13.5">
      <c r="A30" s="576" t="s">
        <v>1169</v>
      </c>
      <c r="B30" s="18">
        <v>383690.7300000002</v>
      </c>
      <c r="C30" s="18">
        <v>-127570.65800000029</v>
      </c>
    </row>
    <row r="31" spans="1:3" s="2" customFormat="1" ht="13.5">
      <c r="A31" s="576" t="s">
        <v>1356</v>
      </c>
      <c r="B31" s="18">
        <v>-1551873.4440000001</v>
      </c>
      <c r="C31" s="18">
        <v>0</v>
      </c>
    </row>
    <row r="32" spans="1:3" s="2" customFormat="1" ht="13.5">
      <c r="A32" s="387" t="s">
        <v>54</v>
      </c>
      <c r="B32" s="388">
        <f>SUM(B24:B31)</f>
        <v>17242905.286</v>
      </c>
      <c r="C32" s="388">
        <f>SUM(C24:C31)</f>
        <v>-1041590.8890000009</v>
      </c>
    </row>
    <row r="33" spans="1:3" s="2" customFormat="1" ht="13.5">
      <c r="A33" s="576"/>
      <c r="B33" s="69"/>
      <c r="C33" s="69"/>
    </row>
    <row r="34" spans="1:3" s="2" customFormat="1" ht="13.5">
      <c r="A34" s="77" t="s">
        <v>277</v>
      </c>
      <c r="B34" s="69"/>
      <c r="C34" s="69"/>
    </row>
    <row r="35" spans="1:3" s="2" customFormat="1" ht="13.5">
      <c r="A35" s="576" t="s">
        <v>425</v>
      </c>
      <c r="B35" s="18">
        <v>71754129</v>
      </c>
      <c r="C35" s="18">
        <v>91740678</v>
      </c>
    </row>
    <row r="36" spans="1:3" s="2" customFormat="1" ht="13.5">
      <c r="A36" s="576" t="s">
        <v>92</v>
      </c>
      <c r="B36" s="18">
        <v>8092936</v>
      </c>
      <c r="C36" s="18">
        <v>14682000</v>
      </c>
    </row>
    <row r="37" spans="1:3" s="2" customFormat="1" ht="13.5">
      <c r="A37" s="576" t="s">
        <v>91</v>
      </c>
      <c r="B37" s="18">
        <v>-41020144</v>
      </c>
      <c r="C37" s="18">
        <v>-30156774</v>
      </c>
    </row>
    <row r="38" spans="1:3" s="2" customFormat="1" ht="13.5">
      <c r="A38" s="387" t="s">
        <v>426</v>
      </c>
      <c r="B38" s="388">
        <f>+B35+B36+B37</f>
        <v>38826921</v>
      </c>
      <c r="C38" s="388">
        <f>SUM(C35:C37)</f>
        <v>76265904</v>
      </c>
    </row>
    <row r="39" spans="1:3" s="29" customFormat="1" ht="14.25">
      <c r="A39" s="349" t="s">
        <v>1298</v>
      </c>
      <c r="B39" s="680" t="s">
        <v>968</v>
      </c>
      <c r="C39" s="69">
        <v>0</v>
      </c>
    </row>
    <row r="40" spans="1:3" s="29" customFormat="1" ht="14.25">
      <c r="A40" s="349" t="s">
        <v>1170</v>
      </c>
      <c r="B40" s="18">
        <v>-25471754</v>
      </c>
      <c r="C40" s="18">
        <v>-473382</v>
      </c>
    </row>
    <row r="41" spans="1:3" s="2" customFormat="1" ht="14.25">
      <c r="A41" s="349" t="s">
        <v>93</v>
      </c>
      <c r="B41" s="18">
        <v>4879599</v>
      </c>
      <c r="C41" s="18">
        <v>-9943551</v>
      </c>
    </row>
    <row r="42" spans="1:3" ht="14.25">
      <c r="A42" s="349" t="s">
        <v>94</v>
      </c>
      <c r="C42" s="69" t="s">
        <v>1377</v>
      </c>
    </row>
    <row r="43" spans="1:3" s="2" customFormat="1" ht="14.25">
      <c r="A43" s="349" t="s">
        <v>95</v>
      </c>
      <c r="B43" s="69">
        <v>8930286</v>
      </c>
      <c r="C43" s="650">
        <v>18873837</v>
      </c>
    </row>
    <row r="44" spans="1:3" s="2" customFormat="1" ht="13.5">
      <c r="A44" s="576"/>
      <c r="B44" s="69"/>
      <c r="C44" s="69"/>
    </row>
    <row r="45" spans="1:3" s="2" customFormat="1" ht="17.25">
      <c r="A45" s="101" t="s">
        <v>55</v>
      </c>
      <c r="B45" s="111">
        <f>+B41+B43</f>
        <v>13809885</v>
      </c>
      <c r="C45" s="111">
        <f>+C41+C43</f>
        <v>8930286</v>
      </c>
    </row>
    <row r="46" spans="1:3" s="2" customFormat="1" ht="13.5">
      <c r="A46" s="576"/>
      <c r="B46" s="78">
        <v>21753585.599999998</v>
      </c>
      <c r="C46" s="79"/>
    </row>
    <row r="47" spans="1:3" ht="13.5">
      <c r="A47" s="576" t="s">
        <v>409</v>
      </c>
      <c r="B47" s="53"/>
      <c r="C47" s="53"/>
    </row>
    <row r="48" spans="2:3" ht="13.5">
      <c r="B48" s="53"/>
      <c r="C48" s="53"/>
    </row>
    <row r="49" spans="2:3" ht="13.5">
      <c r="B49" s="53"/>
      <c r="C49" s="53"/>
    </row>
    <row r="50" spans="2:3" ht="13.5">
      <c r="B50" s="53"/>
      <c r="C50" s="53"/>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F202"/>
  <sheetViews>
    <sheetView showGridLines="0" zoomScalePageLayoutView="0" workbookViewId="0" topLeftCell="A106">
      <selection activeCell="B59" sqref="B58:C59"/>
    </sheetView>
  </sheetViews>
  <sheetFormatPr defaultColWidth="11.421875" defaultRowHeight="15"/>
  <cols>
    <col min="1" max="1" width="46.140625" style="24" customWidth="1"/>
    <col min="2" max="2" width="29.8515625" style="24" bestFit="1" customWidth="1"/>
    <col min="3" max="3" width="28.8515625" style="24" bestFit="1" customWidth="1"/>
    <col min="4" max="4" width="15.7109375" style="24" bestFit="1" customWidth="1"/>
    <col min="5" max="5" width="27.421875" style="24" bestFit="1" customWidth="1"/>
    <col min="6" max="6" width="12.421875" style="24" customWidth="1"/>
    <col min="7" max="7" width="9.8515625" style="24" customWidth="1"/>
    <col min="8" max="8" width="16.140625" style="563" bestFit="1" customWidth="1"/>
    <col min="9" max="9" width="11.421875" style="24" customWidth="1"/>
    <col min="10" max="10" width="18.140625" style="24" bestFit="1" customWidth="1"/>
    <col min="11" max="11" width="11.421875" style="24" customWidth="1"/>
    <col min="12" max="12" width="18.140625" style="24" bestFit="1" customWidth="1"/>
    <col min="13" max="13" width="14.7109375" style="24" bestFit="1" customWidth="1"/>
    <col min="14" max="16384" width="11.421875" style="24" customWidth="1"/>
  </cols>
  <sheetData>
    <row r="1" ht="15" customHeight="1">
      <c r="A1" s="24" t="str">
        <f>Indice!C1</f>
        <v>NEGOFIN S.A.E.C.A.</v>
      </c>
    </row>
    <row r="5" spans="1:5" ht="15" customHeight="1">
      <c r="A5" s="25"/>
      <c r="B5" s="25"/>
      <c r="C5" s="25"/>
      <c r="D5" s="25"/>
      <c r="E5" s="25"/>
    </row>
    <row r="6" spans="1:8" ht="15" customHeight="1">
      <c r="A6" s="322" t="s">
        <v>854</v>
      </c>
      <c r="B6" s="322"/>
      <c r="C6" s="322"/>
      <c r="D6" s="322"/>
      <c r="E6" s="322"/>
      <c r="F6" s="3"/>
      <c r="G6" s="3"/>
      <c r="H6" s="564"/>
    </row>
    <row r="7" spans="1:8" ht="15" customHeight="1">
      <c r="A7" s="323" t="s">
        <v>855</v>
      </c>
      <c r="B7" s="323"/>
      <c r="C7" s="323"/>
      <c r="D7" s="323"/>
      <c r="E7" s="348" t="s">
        <v>1372</v>
      </c>
      <c r="F7" s="348"/>
      <c r="G7" s="3"/>
      <c r="H7" s="564"/>
    </row>
    <row r="8" spans="1:8" ht="15" customHeight="1">
      <c r="A8" s="910" t="s">
        <v>45</v>
      </c>
      <c r="B8" s="910"/>
      <c r="C8" s="910"/>
      <c r="D8" s="910"/>
      <c r="E8" s="910"/>
      <c r="F8" s="1"/>
      <c r="G8" s="1"/>
      <c r="H8" s="565"/>
    </row>
    <row r="9" spans="1:8" ht="15" customHeight="1">
      <c r="A9" s="23"/>
      <c r="B9" s="23"/>
      <c r="C9" s="23"/>
      <c r="D9" s="23"/>
      <c r="E9" s="23"/>
      <c r="F9" s="1"/>
      <c r="G9" s="1"/>
      <c r="H9" s="565"/>
    </row>
    <row r="10" spans="1:5" ht="15" customHeight="1">
      <c r="A10" s="25"/>
      <c r="B10" s="25"/>
      <c r="C10" s="25"/>
      <c r="D10" s="25"/>
      <c r="E10" s="25"/>
    </row>
    <row r="11" spans="1:8" ht="15" customHeight="1">
      <c r="A11" s="320" t="s">
        <v>0</v>
      </c>
      <c r="B11" s="321"/>
      <c r="C11" s="321"/>
      <c r="D11" s="321"/>
      <c r="E11" s="321"/>
      <c r="F11" s="911"/>
      <c r="G11" s="911"/>
      <c r="H11" s="911"/>
    </row>
    <row r="12" spans="1:5" ht="15" customHeight="1">
      <c r="A12" s="913" t="s">
        <v>163</v>
      </c>
      <c r="B12" s="913"/>
      <c r="C12" s="913"/>
      <c r="D12" s="913"/>
      <c r="E12" s="913"/>
    </row>
    <row r="13" spans="1:14" ht="15" customHeight="1">
      <c r="A13" s="553"/>
      <c r="B13" s="554"/>
      <c r="C13" s="554"/>
      <c r="D13" s="554"/>
      <c r="E13" s="554"/>
      <c r="F13" s="1"/>
      <c r="G13" s="1"/>
      <c r="H13" s="565"/>
      <c r="I13" s="907"/>
      <c r="J13" s="908"/>
      <c r="K13" s="908"/>
      <c r="L13" s="908"/>
      <c r="M13" s="908"/>
      <c r="N13" s="908"/>
    </row>
    <row r="14" spans="1:14" ht="15" customHeight="1">
      <c r="A14" s="555" t="s">
        <v>1016</v>
      </c>
      <c r="B14" s="554"/>
      <c r="C14" s="554"/>
      <c r="D14" s="554"/>
      <c r="E14" s="554"/>
      <c r="I14" s="908"/>
      <c r="J14" s="908"/>
      <c r="K14" s="908"/>
      <c r="L14" s="908"/>
      <c r="M14" s="908"/>
      <c r="N14" s="908"/>
    </row>
    <row r="15" spans="1:14" ht="15" customHeight="1">
      <c r="A15" s="556" t="s">
        <v>1017</v>
      </c>
      <c r="B15" s="556"/>
      <c r="C15" s="556"/>
      <c r="D15" s="556"/>
      <c r="E15" s="556"/>
      <c r="I15" s="413"/>
      <c r="J15" s="413"/>
      <c r="K15" s="413"/>
      <c r="L15" s="413"/>
      <c r="M15" s="413"/>
      <c r="N15" s="413"/>
    </row>
    <row r="16" spans="1:14" ht="15.75" customHeight="1">
      <c r="A16" s="556" t="s">
        <v>1018</v>
      </c>
      <c r="B16" s="556"/>
      <c r="C16" s="556"/>
      <c r="D16" s="556"/>
      <c r="E16" s="556"/>
      <c r="I16" s="909"/>
      <c r="J16" s="909"/>
      <c r="K16" s="909"/>
      <c r="L16" s="909"/>
      <c r="M16" s="909"/>
      <c r="N16" s="909"/>
    </row>
    <row r="17" spans="1:14" ht="15" customHeight="1">
      <c r="A17" s="554"/>
      <c r="B17" s="554"/>
      <c r="C17" s="554"/>
      <c r="D17" s="554"/>
      <c r="E17" s="554"/>
      <c r="I17" s="909"/>
      <c r="J17" s="909"/>
      <c r="K17" s="909"/>
      <c r="L17" s="909"/>
      <c r="M17" s="909"/>
      <c r="N17" s="909"/>
    </row>
    <row r="18" spans="1:14" ht="15" customHeight="1">
      <c r="A18" s="600" t="s">
        <v>1162</v>
      </c>
      <c r="B18" s="601"/>
      <c r="C18" s="601"/>
      <c r="D18" s="601"/>
      <c r="E18" s="601"/>
      <c r="I18" s="909"/>
      <c r="J18" s="909"/>
      <c r="K18" s="909"/>
      <c r="L18" s="909"/>
      <c r="M18" s="909"/>
      <c r="N18" s="909"/>
    </row>
    <row r="19" spans="1:14" ht="15" customHeight="1">
      <c r="A19" s="914" t="s">
        <v>1163</v>
      </c>
      <c r="B19" s="914"/>
      <c r="C19" s="914"/>
      <c r="D19" s="914"/>
      <c r="E19" s="601"/>
      <c r="I19" s="909"/>
      <c r="J19" s="909"/>
      <c r="K19" s="909"/>
      <c r="L19" s="909"/>
      <c r="M19" s="909"/>
      <c r="N19" s="909"/>
    </row>
    <row r="20" spans="1:14" ht="15" customHeight="1">
      <c r="A20" s="914"/>
      <c r="B20" s="914"/>
      <c r="C20" s="914"/>
      <c r="D20" s="914"/>
      <c r="E20" s="601"/>
      <c r="I20" s="909"/>
      <c r="J20" s="909"/>
      <c r="K20" s="909"/>
      <c r="L20" s="909"/>
      <c r="M20" s="909"/>
      <c r="N20" s="909"/>
    </row>
    <row r="21" spans="1:14" ht="15" customHeight="1">
      <c r="A21" s="914"/>
      <c r="B21" s="914"/>
      <c r="C21" s="914"/>
      <c r="D21" s="914"/>
      <c r="E21" s="601"/>
      <c r="I21" s="909"/>
      <c r="J21" s="909"/>
      <c r="K21" s="909"/>
      <c r="L21" s="909"/>
      <c r="M21" s="909"/>
      <c r="N21" s="909"/>
    </row>
    <row r="22" spans="1:14" ht="15" customHeight="1">
      <c r="A22" s="914"/>
      <c r="B22" s="914"/>
      <c r="C22" s="914"/>
      <c r="D22" s="914"/>
      <c r="E22" s="601"/>
      <c r="I22" s="909"/>
      <c r="J22" s="909"/>
      <c r="K22" s="909"/>
      <c r="L22" s="909"/>
      <c r="M22" s="909"/>
      <c r="N22" s="909"/>
    </row>
    <row r="23" spans="1:14" ht="15" customHeight="1">
      <c r="A23" s="914"/>
      <c r="B23" s="914"/>
      <c r="C23" s="914"/>
      <c r="D23" s="914"/>
      <c r="E23" s="601"/>
      <c r="I23" s="909"/>
      <c r="J23" s="909"/>
      <c r="K23" s="909"/>
      <c r="L23" s="909"/>
      <c r="M23" s="909"/>
      <c r="N23" s="909"/>
    </row>
    <row r="24" spans="1:14" ht="15" customHeight="1">
      <c r="A24" s="914"/>
      <c r="B24" s="914"/>
      <c r="C24" s="914"/>
      <c r="D24" s="914"/>
      <c r="E24" s="601"/>
      <c r="I24" s="909"/>
      <c r="J24" s="909"/>
      <c r="K24" s="909"/>
      <c r="L24" s="909"/>
      <c r="M24" s="909"/>
      <c r="N24" s="909"/>
    </row>
    <row r="25" spans="1:14" ht="15" customHeight="1">
      <c r="A25" s="914"/>
      <c r="B25" s="914"/>
      <c r="C25" s="914"/>
      <c r="D25" s="914"/>
      <c r="E25" s="601"/>
      <c r="I25" s="909"/>
      <c r="J25" s="909"/>
      <c r="K25" s="909"/>
      <c r="L25" s="909"/>
      <c r="M25" s="909"/>
      <c r="N25" s="909"/>
    </row>
    <row r="26" spans="1:14" ht="15" customHeight="1">
      <c r="A26" s="914"/>
      <c r="B26" s="914"/>
      <c r="C26" s="914"/>
      <c r="D26" s="914"/>
      <c r="E26" s="601"/>
      <c r="I26" s="909"/>
      <c r="J26" s="909"/>
      <c r="K26" s="909"/>
      <c r="L26" s="909"/>
      <c r="M26" s="909"/>
      <c r="N26" s="909"/>
    </row>
    <row r="27" spans="1:5" ht="15" customHeight="1">
      <c r="A27" s="415" t="s">
        <v>1019</v>
      </c>
      <c r="B27" s="415"/>
      <c r="C27" s="415"/>
      <c r="D27" s="415"/>
      <c r="E27" s="415"/>
    </row>
    <row r="28" spans="1:14" ht="15" customHeight="1">
      <c r="A28" s="915" t="s">
        <v>1020</v>
      </c>
      <c r="B28" s="915"/>
      <c r="C28" s="915"/>
      <c r="D28" s="915"/>
      <c r="E28" s="915"/>
      <c r="I28" s="912"/>
      <c r="J28" s="912"/>
      <c r="K28" s="912"/>
      <c r="L28" s="912"/>
      <c r="M28" s="912"/>
      <c r="N28" s="912"/>
    </row>
    <row r="29" spans="1:14" ht="15" customHeight="1">
      <c r="A29" s="915" t="s">
        <v>1021</v>
      </c>
      <c r="B29" s="915"/>
      <c r="C29" s="915"/>
      <c r="D29" s="915"/>
      <c r="E29" s="915"/>
      <c r="I29" s="912"/>
      <c r="J29" s="912"/>
      <c r="K29" s="912"/>
      <c r="L29" s="912"/>
      <c r="M29" s="912"/>
      <c r="N29" s="912"/>
    </row>
    <row r="30" spans="1:14" ht="15" customHeight="1">
      <c r="A30" s="915" t="s">
        <v>1022</v>
      </c>
      <c r="B30" s="915"/>
      <c r="C30" s="915"/>
      <c r="D30" s="915"/>
      <c r="E30" s="915"/>
      <c r="I30" s="413"/>
      <c r="J30" s="413"/>
      <c r="K30" s="413"/>
      <c r="L30" s="413"/>
      <c r="M30" s="413"/>
      <c r="N30" s="413"/>
    </row>
    <row r="31" spans="1:14" ht="15" customHeight="1">
      <c r="A31" s="915" t="s">
        <v>1023</v>
      </c>
      <c r="B31" s="915"/>
      <c r="C31" s="915"/>
      <c r="D31" s="915"/>
      <c r="E31" s="915"/>
      <c r="I31" s="912"/>
      <c r="J31" s="912"/>
      <c r="K31" s="912"/>
      <c r="L31" s="912"/>
      <c r="M31" s="912"/>
      <c r="N31" s="912"/>
    </row>
    <row r="32" spans="1:14" ht="15" customHeight="1">
      <c r="A32" s="915" t="s">
        <v>1027</v>
      </c>
      <c r="B32" s="915"/>
      <c r="C32" s="915"/>
      <c r="D32" s="915"/>
      <c r="E32" s="915"/>
      <c r="I32" s="912"/>
      <c r="J32" s="912"/>
      <c r="K32" s="912"/>
      <c r="L32" s="912"/>
      <c r="M32" s="912"/>
      <c r="N32" s="912"/>
    </row>
    <row r="33" spans="1:5" ht="15" customHeight="1">
      <c r="A33" s="415" t="s">
        <v>1025</v>
      </c>
      <c r="B33" s="415"/>
      <c r="C33" s="415"/>
      <c r="D33" s="415"/>
      <c r="E33" s="415"/>
    </row>
    <row r="34" spans="1:5" ht="15" customHeight="1">
      <c r="A34" s="415" t="s">
        <v>1026</v>
      </c>
      <c r="B34" s="415"/>
      <c r="C34" s="415"/>
      <c r="D34" s="415"/>
      <c r="E34" s="415"/>
    </row>
    <row r="35" spans="1:5" ht="15" customHeight="1">
      <c r="A35" s="415"/>
      <c r="B35" s="415"/>
      <c r="C35" s="415"/>
      <c r="D35" s="415"/>
      <c r="E35" s="415"/>
    </row>
    <row r="36" spans="1:5" ht="15" customHeight="1">
      <c r="A36" s="557" t="s">
        <v>1024</v>
      </c>
      <c r="B36" s="415"/>
      <c r="C36" s="415"/>
      <c r="D36" s="415"/>
      <c r="E36" s="415"/>
    </row>
    <row r="37" spans="1:5" ht="15" customHeight="1">
      <c r="A37" s="415"/>
      <c r="B37" s="415"/>
      <c r="C37" s="415"/>
      <c r="D37" s="415"/>
      <c r="E37" s="415"/>
    </row>
    <row r="38" spans="1:5" ht="15" customHeight="1">
      <c r="A38" s="415"/>
      <c r="B38" s="547" t="s">
        <v>1079</v>
      </c>
      <c r="C38" s="547" t="s">
        <v>1080</v>
      </c>
      <c r="D38" s="415"/>
      <c r="E38" s="415"/>
    </row>
    <row r="39" spans="1:5" ht="15" customHeight="1">
      <c r="A39" s="415"/>
      <c r="B39" s="558" t="s">
        <v>1081</v>
      </c>
      <c r="C39" s="559" t="s">
        <v>1082</v>
      </c>
      <c r="D39" s="415"/>
      <c r="E39" s="415"/>
    </row>
    <row r="40" spans="1:5" ht="15" customHeight="1">
      <c r="A40" s="415"/>
      <c r="B40" s="558" t="s">
        <v>1083</v>
      </c>
      <c r="C40" s="559" t="s">
        <v>1082</v>
      </c>
      <c r="D40" s="415"/>
      <c r="E40" s="415"/>
    </row>
    <row r="41" spans="1:5" ht="15" customHeight="1">
      <c r="A41" s="415"/>
      <c r="B41" s="558" t="s">
        <v>1084</v>
      </c>
      <c r="C41" s="559" t="s">
        <v>1085</v>
      </c>
      <c r="D41" s="415"/>
      <c r="E41" s="415"/>
    </row>
    <row r="42" spans="1:5" ht="15" customHeight="1">
      <c r="A42" s="415"/>
      <c r="B42" s="558" t="s">
        <v>1084</v>
      </c>
      <c r="C42" s="561" t="s">
        <v>1088</v>
      </c>
      <c r="D42" s="415"/>
      <c r="E42" s="415"/>
    </row>
    <row r="43" spans="1:5" ht="15" customHeight="1">
      <c r="A43" s="415"/>
      <c r="B43" s="558" t="s">
        <v>1404</v>
      </c>
      <c r="C43" s="559" t="s">
        <v>1177</v>
      </c>
      <c r="D43" s="415"/>
      <c r="E43" s="415"/>
    </row>
    <row r="44" spans="1:5" ht="15" customHeight="1">
      <c r="A44" s="415"/>
      <c r="B44" s="555" t="s">
        <v>1086</v>
      </c>
      <c r="C44" s="556"/>
      <c r="D44" s="415"/>
      <c r="E44" s="415"/>
    </row>
    <row r="45" spans="1:5" ht="15" customHeight="1">
      <c r="A45" s="415"/>
      <c r="B45" s="560" t="s">
        <v>1087</v>
      </c>
      <c r="C45" s="561" t="str">
        <f>+'[2]Hoja1'!$C$6</f>
        <v>Widilfo Escobar Cikel</v>
      </c>
      <c r="D45" s="415"/>
      <c r="E45" s="415"/>
    </row>
    <row r="46" spans="1:5" ht="15" customHeight="1">
      <c r="A46" s="415"/>
      <c r="B46" s="560" t="str">
        <f>+'[3]Hoja1'!$L$6</f>
        <v>Gerente Financiero</v>
      </c>
      <c r="C46" s="561" t="s">
        <v>1089</v>
      </c>
      <c r="D46" s="415"/>
      <c r="E46" s="415"/>
    </row>
    <row r="47" spans="1:5" ht="15" customHeight="1">
      <c r="A47" s="415"/>
      <c r="B47" s="560" t="s">
        <v>1090</v>
      </c>
      <c r="C47" s="561" t="s">
        <v>1091</v>
      </c>
      <c r="D47" s="415"/>
      <c r="E47" s="415"/>
    </row>
    <row r="48" spans="1:5" ht="15" customHeight="1">
      <c r="A48" s="415"/>
      <c r="B48" s="560" t="str">
        <f>+'[4]Hoja1'!$L$6</f>
        <v>Gte. RRHH.</v>
      </c>
      <c r="C48" s="561" t="s">
        <v>1092</v>
      </c>
      <c r="D48" s="415"/>
      <c r="E48" s="415"/>
    </row>
    <row r="49" spans="1:5" ht="15" customHeight="1">
      <c r="A49" s="415"/>
      <c r="B49" s="560" t="s">
        <v>1093</v>
      </c>
      <c r="C49" s="562" t="s">
        <v>1094</v>
      </c>
      <c r="D49" s="415"/>
      <c r="E49" s="415"/>
    </row>
    <row r="50" spans="1:5" ht="15" customHeight="1">
      <c r="A50" s="415"/>
      <c r="B50" s="560" t="s">
        <v>1095</v>
      </c>
      <c r="C50" s="562" t="s">
        <v>1096</v>
      </c>
      <c r="D50" s="415"/>
      <c r="E50" s="415"/>
    </row>
    <row r="51" spans="1:8" s="576" customFormat="1" ht="15" customHeight="1">
      <c r="A51" s="415"/>
      <c r="B51" s="560" t="s">
        <v>1104</v>
      </c>
      <c r="C51" s="561" t="s">
        <v>1105</v>
      </c>
      <c r="D51" s="415"/>
      <c r="E51" s="415"/>
      <c r="H51" s="563"/>
    </row>
    <row r="52" spans="1:5" ht="15" customHeight="1">
      <c r="A52" s="415"/>
      <c r="B52" s="560" t="s">
        <v>1097</v>
      </c>
      <c r="C52" s="562" t="s">
        <v>1098</v>
      </c>
      <c r="D52" s="415"/>
      <c r="E52" s="415"/>
    </row>
    <row r="53" spans="1:8" s="576" customFormat="1" ht="15" customHeight="1">
      <c r="A53" s="415"/>
      <c r="B53" s="560" t="s">
        <v>1334</v>
      </c>
      <c r="C53" s="562" t="s">
        <v>1335</v>
      </c>
      <c r="D53" s="415"/>
      <c r="E53" s="415"/>
      <c r="H53" s="563"/>
    </row>
    <row r="54" spans="1:5" ht="15" customHeight="1">
      <c r="A54" s="415"/>
      <c r="B54" s="560" t="s">
        <v>1336</v>
      </c>
      <c r="C54" s="562" t="s">
        <v>1099</v>
      </c>
      <c r="D54" s="415"/>
      <c r="E54" s="415"/>
    </row>
    <row r="55" spans="1:5" ht="15" customHeight="1">
      <c r="A55" s="415"/>
      <c r="B55" s="560" t="s">
        <v>1100</v>
      </c>
      <c r="C55" s="561" t="s">
        <v>1101</v>
      </c>
      <c r="D55" s="415"/>
      <c r="E55" s="415"/>
    </row>
    <row r="56" spans="1:5" ht="15" customHeight="1">
      <c r="A56" s="415"/>
      <c r="B56" s="560" t="s">
        <v>1102</v>
      </c>
      <c r="C56" s="561" t="s">
        <v>1103</v>
      </c>
      <c r="D56" s="415"/>
      <c r="E56" s="415"/>
    </row>
    <row r="57" spans="1:5" ht="15" customHeight="1">
      <c r="A57" s="415"/>
      <c r="B57" s="560" t="s">
        <v>1106</v>
      </c>
      <c r="C57" s="561" t="s">
        <v>1107</v>
      </c>
      <c r="D57" s="415"/>
      <c r="E57" s="415"/>
    </row>
    <row r="58" spans="1:8" s="576" customFormat="1" ht="15" customHeight="1">
      <c r="A58" s="415"/>
      <c r="B58" s="560" t="s">
        <v>1406</v>
      </c>
      <c r="C58" s="561" t="s">
        <v>1407</v>
      </c>
      <c r="D58" s="415"/>
      <c r="E58" s="415"/>
      <c r="H58" s="563"/>
    </row>
    <row r="59" spans="1:8" s="576" customFormat="1" ht="15" customHeight="1">
      <c r="A59" s="415"/>
      <c r="B59" s="560" t="s">
        <v>1408</v>
      </c>
      <c r="C59" s="561" t="s">
        <v>1409</v>
      </c>
      <c r="D59" s="415"/>
      <c r="E59" s="415"/>
      <c r="H59" s="563"/>
    </row>
    <row r="60" spans="1:8" s="576" customFormat="1" ht="15" customHeight="1">
      <c r="A60" s="631"/>
      <c r="B60" s="631"/>
      <c r="C60" s="415"/>
      <c r="D60" s="415"/>
      <c r="E60" s="415"/>
      <c r="H60" s="563"/>
    </row>
    <row r="61" spans="1:5" ht="15" customHeight="1">
      <c r="A61" s="632" t="s">
        <v>1108</v>
      </c>
      <c r="B61" s="631"/>
      <c r="C61" s="415"/>
      <c r="D61" s="415"/>
      <c r="E61" s="415"/>
    </row>
    <row r="62" spans="1:5" ht="14.25" thickBot="1">
      <c r="A62" s="415"/>
      <c r="B62" s="415"/>
      <c r="C62" s="415"/>
      <c r="D62" s="415"/>
      <c r="E62" s="415"/>
    </row>
    <row r="63" spans="1:5" ht="15" thickBot="1">
      <c r="A63" s="916" t="s">
        <v>1109</v>
      </c>
      <c r="B63" s="917"/>
      <c r="C63" s="917"/>
      <c r="D63" s="917"/>
      <c r="E63" s="918"/>
    </row>
    <row r="64" spans="1:5" ht="15" thickBot="1">
      <c r="A64" s="546" t="s">
        <v>1110</v>
      </c>
      <c r="B64" s="548" t="s">
        <v>1111</v>
      </c>
      <c r="C64" s="548" t="s">
        <v>1112</v>
      </c>
      <c r="D64" s="548" t="s">
        <v>1113</v>
      </c>
      <c r="E64" s="548" t="s">
        <v>1114</v>
      </c>
    </row>
    <row r="65" spans="1:5" ht="14.25">
      <c r="A65" s="549"/>
      <c r="B65" s="550"/>
      <c r="C65" s="550"/>
      <c r="D65" s="550"/>
      <c r="E65" s="551"/>
    </row>
    <row r="66" spans="1:5" ht="14.25" thickBot="1">
      <c r="A66" s="552">
        <v>250000000000</v>
      </c>
      <c r="B66" s="552">
        <v>150000000000</v>
      </c>
      <c r="C66" s="552">
        <v>142643000000</v>
      </c>
      <c r="D66" s="552">
        <v>142643000000</v>
      </c>
      <c r="E66" s="552">
        <v>1000000</v>
      </c>
    </row>
    <row r="67" spans="1:5" ht="14.25" thickBot="1">
      <c r="A67" s="415"/>
      <c r="B67" s="415"/>
      <c r="C67" s="415"/>
      <c r="D67" s="415"/>
      <c r="E67" s="415"/>
    </row>
    <row r="68" spans="1:8" s="576" customFormat="1" ht="15" customHeight="1" thickBot="1">
      <c r="A68" s="919" t="s">
        <v>1118</v>
      </c>
      <c r="B68" s="920"/>
      <c r="C68" s="920"/>
      <c r="D68" s="920"/>
      <c r="E68" s="920"/>
      <c r="F68" s="920"/>
      <c r="G68" s="921"/>
      <c r="H68" s="563"/>
    </row>
    <row r="69" spans="1:32" s="576" customFormat="1" ht="15" thickBot="1">
      <c r="A69" s="721"/>
      <c r="B69" s="721"/>
      <c r="C69" s="821"/>
      <c r="D69" s="723"/>
      <c r="E69" s="723"/>
      <c r="F69" s="723"/>
      <c r="G69" s="723"/>
      <c r="H69" s="723"/>
      <c r="I69" s="723"/>
      <c r="J69" s="723"/>
      <c r="K69" s="722"/>
      <c r="L69" s="723"/>
      <c r="M69" s="723"/>
      <c r="N69" s="723"/>
      <c r="O69" s="723"/>
      <c r="P69" s="723"/>
      <c r="Q69" s="723"/>
      <c r="R69" s="415"/>
      <c r="S69" s="415"/>
      <c r="T69" s="415"/>
      <c r="U69" s="415"/>
      <c r="V69" s="415"/>
      <c r="W69" s="415"/>
      <c r="X69" s="415"/>
      <c r="Y69" s="415"/>
      <c r="Z69" s="415"/>
      <c r="AA69" s="415"/>
      <c r="AB69" s="415"/>
      <c r="AC69" s="415"/>
      <c r="AD69" s="415"/>
      <c r="AE69" s="415"/>
      <c r="AF69" s="415"/>
    </row>
    <row r="70" spans="1:17" s="415" customFormat="1" ht="15" thickBot="1">
      <c r="A70" s="828" t="s">
        <v>1378</v>
      </c>
      <c r="B70" s="825" t="s">
        <v>1379</v>
      </c>
      <c r="C70" s="825" t="s">
        <v>1380</v>
      </c>
      <c r="D70" s="825" t="s">
        <v>1185</v>
      </c>
      <c r="E70" s="833" t="s">
        <v>1337</v>
      </c>
      <c r="F70" s="823" t="s">
        <v>1381</v>
      </c>
      <c r="G70" s="833" t="s">
        <v>1382</v>
      </c>
      <c r="H70" s="833" t="s">
        <v>1383</v>
      </c>
      <c r="I70" s="825" t="s">
        <v>1338</v>
      </c>
      <c r="J70" s="833" t="s">
        <v>1339</v>
      </c>
      <c r="K70" s="843" t="s">
        <v>326</v>
      </c>
      <c r="L70" s="784"/>
      <c r="M70" s="685"/>
      <c r="N70" s="750"/>
      <c r="O70" s="750"/>
      <c r="P70" s="750"/>
      <c r="Q70" s="750"/>
    </row>
    <row r="71" spans="1:17" s="415" customFormat="1" ht="14.25">
      <c r="A71" s="829" t="s">
        <v>1384</v>
      </c>
      <c r="B71" s="831" t="s">
        <v>1385</v>
      </c>
      <c r="C71" s="831">
        <v>18429</v>
      </c>
      <c r="D71" s="831" t="s">
        <v>1186</v>
      </c>
      <c r="E71" s="834">
        <v>10500</v>
      </c>
      <c r="F71" s="822">
        <v>5</v>
      </c>
      <c r="G71" s="834">
        <v>52500</v>
      </c>
      <c r="H71" s="834">
        <v>10500000000</v>
      </c>
      <c r="I71" s="831" t="s">
        <v>1215</v>
      </c>
      <c r="J71" s="834" t="s">
        <v>879</v>
      </c>
      <c r="K71" s="844" t="s">
        <v>753</v>
      </c>
      <c r="L71" s="784"/>
      <c r="M71" s="685"/>
      <c r="N71" s="750"/>
      <c r="O71" s="750"/>
      <c r="P71" s="750"/>
      <c r="Q71" s="750"/>
    </row>
    <row r="72" spans="1:17" s="415" customFormat="1" ht="14.25">
      <c r="A72" s="829" t="s">
        <v>1386</v>
      </c>
      <c r="B72" s="831" t="s">
        <v>1387</v>
      </c>
      <c r="C72" s="831">
        <v>19929</v>
      </c>
      <c r="D72" s="831" t="s">
        <v>1186</v>
      </c>
      <c r="E72" s="834">
        <v>21500</v>
      </c>
      <c r="F72" s="822">
        <v>5</v>
      </c>
      <c r="G72" s="834">
        <v>107500</v>
      </c>
      <c r="H72" s="834">
        <v>21500000000</v>
      </c>
      <c r="I72" s="831" t="s">
        <v>1215</v>
      </c>
      <c r="J72" s="834" t="s">
        <v>879</v>
      </c>
      <c r="K72" s="844" t="s">
        <v>753</v>
      </c>
      <c r="L72" s="784"/>
      <c r="M72" s="685"/>
      <c r="N72" s="750"/>
      <c r="O72" s="750"/>
      <c r="P72" s="750"/>
      <c r="Q72" s="750"/>
    </row>
    <row r="73" spans="1:17" s="415" customFormat="1" ht="14.25">
      <c r="A73" s="829" t="s">
        <v>1388</v>
      </c>
      <c r="B73" s="831" t="s">
        <v>1389</v>
      </c>
      <c r="C73" s="831">
        <v>18574</v>
      </c>
      <c r="D73" s="831" t="s">
        <v>1186</v>
      </c>
      <c r="E73" s="834">
        <v>18000</v>
      </c>
      <c r="F73" s="822">
        <v>5</v>
      </c>
      <c r="G73" s="834">
        <v>90000</v>
      </c>
      <c r="H73" s="834">
        <v>18000000000</v>
      </c>
      <c r="I73" s="831" t="s">
        <v>1215</v>
      </c>
      <c r="J73" s="834" t="s">
        <v>879</v>
      </c>
      <c r="K73" s="844" t="s">
        <v>753</v>
      </c>
      <c r="L73" s="784"/>
      <c r="M73" s="685"/>
      <c r="N73" s="750"/>
      <c r="O73" s="750"/>
      <c r="P73" s="750"/>
      <c r="Q73" s="750"/>
    </row>
    <row r="74" spans="1:17" s="415" customFormat="1" ht="14.25">
      <c r="A74" s="829" t="s">
        <v>1299</v>
      </c>
      <c r="B74" s="831">
        <v>1602784</v>
      </c>
      <c r="C74" s="831">
        <v>536</v>
      </c>
      <c r="D74" s="831" t="s">
        <v>1174</v>
      </c>
      <c r="E74" s="834">
        <v>50</v>
      </c>
      <c r="F74" s="822">
        <v>0</v>
      </c>
      <c r="G74" s="834">
        <v>0</v>
      </c>
      <c r="H74" s="834">
        <v>50000000</v>
      </c>
      <c r="I74" s="831" t="s">
        <v>1216</v>
      </c>
      <c r="J74" s="834" t="s">
        <v>1209</v>
      </c>
      <c r="K74" s="844" t="s">
        <v>753</v>
      </c>
      <c r="L74" s="784"/>
      <c r="M74" s="685"/>
      <c r="N74" s="750"/>
      <c r="O74" s="750"/>
      <c r="P74" s="750"/>
      <c r="Q74" s="750"/>
    </row>
    <row r="75" spans="1:17" s="415" customFormat="1" ht="14.25">
      <c r="A75" s="829" t="s">
        <v>1300</v>
      </c>
      <c r="B75" s="831">
        <v>609940</v>
      </c>
      <c r="C75" s="831">
        <v>576</v>
      </c>
      <c r="D75" s="831" t="s">
        <v>1188</v>
      </c>
      <c r="E75" s="834">
        <v>85</v>
      </c>
      <c r="F75" s="822">
        <v>0</v>
      </c>
      <c r="G75" s="834">
        <v>0</v>
      </c>
      <c r="H75" s="834">
        <v>85000000</v>
      </c>
      <c r="I75" s="831" t="s">
        <v>1216</v>
      </c>
      <c r="J75" s="834" t="s">
        <v>1189</v>
      </c>
      <c r="K75" s="844" t="s">
        <v>753</v>
      </c>
      <c r="L75" s="784"/>
      <c r="M75" s="685"/>
      <c r="N75" s="750"/>
      <c r="O75" s="750"/>
      <c r="P75" s="750"/>
      <c r="Q75" s="750"/>
    </row>
    <row r="76" spans="1:17" s="415" customFormat="1" ht="14.25">
      <c r="A76" s="829" t="s">
        <v>1390</v>
      </c>
      <c r="B76" s="831">
        <v>381222</v>
      </c>
      <c r="C76" s="831">
        <v>586</v>
      </c>
      <c r="D76" s="831" t="s">
        <v>1174</v>
      </c>
      <c r="E76" s="834">
        <v>17</v>
      </c>
      <c r="F76" s="822">
        <v>0</v>
      </c>
      <c r="G76" s="834">
        <v>0</v>
      </c>
      <c r="H76" s="834">
        <v>17000000</v>
      </c>
      <c r="I76" s="831" t="s">
        <v>1216</v>
      </c>
      <c r="J76" s="834" t="s">
        <v>1209</v>
      </c>
      <c r="K76" s="844" t="s">
        <v>753</v>
      </c>
      <c r="L76" s="784"/>
      <c r="M76" s="685"/>
      <c r="N76" s="750"/>
      <c r="O76" s="750"/>
      <c r="P76" s="750"/>
      <c r="Q76" s="750"/>
    </row>
    <row r="77" spans="1:17" s="415" customFormat="1" ht="14.25">
      <c r="A77" s="829" t="s">
        <v>1340</v>
      </c>
      <c r="B77" s="831">
        <v>844055</v>
      </c>
      <c r="C77" s="831">
        <v>617</v>
      </c>
      <c r="D77" s="831" t="s">
        <v>1174</v>
      </c>
      <c r="E77" s="834">
        <v>20</v>
      </c>
      <c r="F77" s="822">
        <v>0</v>
      </c>
      <c r="G77" s="834">
        <v>0</v>
      </c>
      <c r="H77" s="834">
        <v>20000000</v>
      </c>
      <c r="I77" s="831" t="s">
        <v>1216</v>
      </c>
      <c r="J77" s="834" t="s">
        <v>1209</v>
      </c>
      <c r="K77" s="844" t="s">
        <v>753</v>
      </c>
      <c r="L77" s="784"/>
      <c r="M77" s="685"/>
      <c r="N77" s="750"/>
      <c r="O77" s="750"/>
      <c r="P77" s="750"/>
      <c r="Q77" s="750"/>
    </row>
    <row r="78" spans="1:17" s="415" customFormat="1" ht="14.25">
      <c r="A78" s="829" t="s">
        <v>1301</v>
      </c>
      <c r="B78" s="831" t="s">
        <v>1391</v>
      </c>
      <c r="C78" s="831">
        <v>1836</v>
      </c>
      <c r="D78" s="831" t="s">
        <v>1174</v>
      </c>
      <c r="E78" s="834">
        <v>2299</v>
      </c>
      <c r="F78" s="822">
        <v>0</v>
      </c>
      <c r="G78" s="834">
        <v>0</v>
      </c>
      <c r="H78" s="834">
        <v>2299000000</v>
      </c>
      <c r="I78" s="831" t="s">
        <v>1216</v>
      </c>
      <c r="J78" s="834" t="s">
        <v>1209</v>
      </c>
      <c r="K78" s="844" t="s">
        <v>753</v>
      </c>
      <c r="L78" s="784"/>
      <c r="M78" s="685"/>
      <c r="N78" s="750"/>
      <c r="O78" s="750"/>
      <c r="P78" s="750"/>
      <c r="Q78" s="750"/>
    </row>
    <row r="79" spans="1:17" s="415" customFormat="1" ht="14.25">
      <c r="A79" s="829" t="s">
        <v>1301</v>
      </c>
      <c r="B79" s="831" t="s">
        <v>1391</v>
      </c>
      <c r="C79" s="831">
        <v>1836</v>
      </c>
      <c r="D79" s="831" t="s">
        <v>1171</v>
      </c>
      <c r="E79" s="834">
        <v>2643</v>
      </c>
      <c r="F79" s="822">
        <v>0</v>
      </c>
      <c r="G79" s="834">
        <v>0</v>
      </c>
      <c r="H79" s="834">
        <v>2643000000</v>
      </c>
      <c r="I79" s="831" t="s">
        <v>1216</v>
      </c>
      <c r="J79" s="834" t="s">
        <v>1190</v>
      </c>
      <c r="K79" s="844" t="s">
        <v>753</v>
      </c>
      <c r="L79" s="784"/>
      <c r="M79" s="685"/>
      <c r="N79" s="750"/>
      <c r="O79" s="750"/>
      <c r="P79" s="750"/>
      <c r="Q79" s="750"/>
    </row>
    <row r="80" spans="1:17" s="415" customFormat="1" ht="14.25">
      <c r="A80" s="829" t="s">
        <v>1301</v>
      </c>
      <c r="B80" s="831" t="s">
        <v>1391</v>
      </c>
      <c r="C80" s="831">
        <v>1836</v>
      </c>
      <c r="D80" s="831" t="s">
        <v>1191</v>
      </c>
      <c r="E80" s="834">
        <v>5000</v>
      </c>
      <c r="F80" s="822">
        <v>0</v>
      </c>
      <c r="G80" s="834">
        <v>0</v>
      </c>
      <c r="H80" s="834">
        <v>5000000000</v>
      </c>
      <c r="I80" s="831" t="s">
        <v>1216</v>
      </c>
      <c r="J80" s="834" t="s">
        <v>1192</v>
      </c>
      <c r="K80" s="844" t="s">
        <v>753</v>
      </c>
      <c r="L80" s="784"/>
      <c r="M80" s="685"/>
      <c r="N80" s="750"/>
      <c r="O80" s="750"/>
      <c r="P80" s="750"/>
      <c r="Q80" s="750"/>
    </row>
    <row r="81" spans="1:17" s="415" customFormat="1" ht="14.25">
      <c r="A81" s="829" t="s">
        <v>1302</v>
      </c>
      <c r="B81" s="831" t="s">
        <v>1392</v>
      </c>
      <c r="C81" s="831">
        <v>2576</v>
      </c>
      <c r="D81" s="831" t="s">
        <v>1174</v>
      </c>
      <c r="E81" s="834">
        <v>80</v>
      </c>
      <c r="F81" s="822">
        <v>0</v>
      </c>
      <c r="G81" s="834">
        <v>0</v>
      </c>
      <c r="H81" s="834">
        <v>80000000</v>
      </c>
      <c r="I81" s="831" t="s">
        <v>1216</v>
      </c>
      <c r="J81" s="834" t="s">
        <v>1209</v>
      </c>
      <c r="K81" s="844" t="s">
        <v>753</v>
      </c>
      <c r="L81" s="784"/>
      <c r="M81" s="685"/>
      <c r="N81" s="750"/>
      <c r="O81" s="750"/>
      <c r="P81" s="750"/>
      <c r="Q81" s="750"/>
    </row>
    <row r="82" spans="1:17" s="415" customFormat="1" ht="14.25">
      <c r="A82" s="829" t="s">
        <v>1341</v>
      </c>
      <c r="B82" s="831">
        <v>1246789</v>
      </c>
      <c r="C82" s="831">
        <v>3022</v>
      </c>
      <c r="D82" s="831" t="s">
        <v>1174</v>
      </c>
      <c r="E82" s="834">
        <v>50</v>
      </c>
      <c r="F82" s="822">
        <v>0</v>
      </c>
      <c r="G82" s="834">
        <v>0</v>
      </c>
      <c r="H82" s="834">
        <v>50000000</v>
      </c>
      <c r="I82" s="831" t="s">
        <v>1216</v>
      </c>
      <c r="J82" s="834" t="s">
        <v>1209</v>
      </c>
      <c r="K82" s="844" t="s">
        <v>753</v>
      </c>
      <c r="L82" s="784"/>
      <c r="M82" s="685"/>
      <c r="N82" s="750"/>
      <c r="O82" s="750"/>
      <c r="P82" s="750"/>
      <c r="Q82" s="750"/>
    </row>
    <row r="83" spans="1:17" s="415" customFormat="1" ht="14.25">
      <c r="A83" s="829" t="s">
        <v>1393</v>
      </c>
      <c r="B83" s="831">
        <v>1248000</v>
      </c>
      <c r="C83" s="831">
        <v>3763</v>
      </c>
      <c r="D83" s="831" t="s">
        <v>1174</v>
      </c>
      <c r="E83" s="834">
        <v>100</v>
      </c>
      <c r="F83" s="822">
        <v>0</v>
      </c>
      <c r="G83" s="834">
        <v>0</v>
      </c>
      <c r="H83" s="834">
        <v>100000000</v>
      </c>
      <c r="I83" s="831" t="s">
        <v>1216</v>
      </c>
      <c r="J83" s="834" t="s">
        <v>1209</v>
      </c>
      <c r="K83" s="844" t="s">
        <v>753</v>
      </c>
      <c r="L83" s="784"/>
      <c r="M83" s="685"/>
      <c r="N83" s="750"/>
      <c r="O83" s="750"/>
      <c r="P83" s="750"/>
      <c r="Q83" s="750"/>
    </row>
    <row r="84" spans="1:17" s="415" customFormat="1" ht="14.25">
      <c r="A84" s="829" t="s">
        <v>1342</v>
      </c>
      <c r="B84" s="831">
        <v>3773882</v>
      </c>
      <c r="C84" s="831">
        <v>3891</v>
      </c>
      <c r="D84" s="831" t="s">
        <v>1188</v>
      </c>
      <c r="E84" s="834">
        <v>280</v>
      </c>
      <c r="F84" s="822">
        <v>0</v>
      </c>
      <c r="G84" s="834">
        <v>0</v>
      </c>
      <c r="H84" s="834">
        <v>280000000</v>
      </c>
      <c r="I84" s="831" t="s">
        <v>1216</v>
      </c>
      <c r="J84" s="834" t="s">
        <v>1189</v>
      </c>
      <c r="K84" s="844" t="s">
        <v>753</v>
      </c>
      <c r="L84" s="784"/>
      <c r="M84" s="685"/>
      <c r="N84" s="750"/>
      <c r="O84" s="750"/>
      <c r="P84" s="750"/>
      <c r="Q84" s="750"/>
    </row>
    <row r="85" spans="1:17" s="415" customFormat="1" ht="14.25">
      <c r="A85" s="829" t="s">
        <v>1303</v>
      </c>
      <c r="B85" s="831">
        <v>1315526</v>
      </c>
      <c r="C85" s="831">
        <v>4378</v>
      </c>
      <c r="D85" s="831" t="s">
        <v>1174</v>
      </c>
      <c r="E85" s="834">
        <v>100</v>
      </c>
      <c r="F85" s="822">
        <v>0</v>
      </c>
      <c r="G85" s="834">
        <v>0</v>
      </c>
      <c r="H85" s="834">
        <v>100000000</v>
      </c>
      <c r="I85" s="831" t="s">
        <v>1216</v>
      </c>
      <c r="J85" s="834" t="s">
        <v>1209</v>
      </c>
      <c r="K85" s="844" t="s">
        <v>753</v>
      </c>
      <c r="L85" s="784"/>
      <c r="M85" s="685"/>
      <c r="N85" s="750"/>
      <c r="O85" s="750"/>
      <c r="P85" s="750"/>
      <c r="Q85" s="750"/>
    </row>
    <row r="86" spans="1:17" s="415" customFormat="1" ht="14.25">
      <c r="A86" s="829" t="s">
        <v>1343</v>
      </c>
      <c r="B86" s="831">
        <v>1278340</v>
      </c>
      <c r="C86" s="831">
        <v>4710</v>
      </c>
      <c r="D86" s="831" t="s">
        <v>1174</v>
      </c>
      <c r="E86" s="834">
        <v>50</v>
      </c>
      <c r="F86" s="822">
        <v>0</v>
      </c>
      <c r="G86" s="834">
        <v>0</v>
      </c>
      <c r="H86" s="834">
        <v>50000000</v>
      </c>
      <c r="I86" s="831" t="s">
        <v>1216</v>
      </c>
      <c r="J86" s="834" t="s">
        <v>1209</v>
      </c>
      <c r="K86" s="844" t="s">
        <v>753</v>
      </c>
      <c r="L86" s="784"/>
      <c r="M86" s="685"/>
      <c r="N86" s="750"/>
      <c r="O86" s="750"/>
      <c r="P86" s="750"/>
      <c r="Q86" s="750"/>
    </row>
    <row r="87" spans="1:17" s="415" customFormat="1" ht="14.25">
      <c r="A87" s="829" t="s">
        <v>1304</v>
      </c>
      <c r="B87" s="831">
        <v>1654786</v>
      </c>
      <c r="C87" s="831">
        <v>5913</v>
      </c>
      <c r="D87" s="831" t="s">
        <v>1174</v>
      </c>
      <c r="E87" s="834">
        <v>5</v>
      </c>
      <c r="F87" s="822">
        <v>0</v>
      </c>
      <c r="G87" s="834">
        <v>0</v>
      </c>
      <c r="H87" s="834">
        <v>5000000</v>
      </c>
      <c r="I87" s="831" t="s">
        <v>1216</v>
      </c>
      <c r="J87" s="834" t="s">
        <v>1209</v>
      </c>
      <c r="K87" s="844" t="s">
        <v>753</v>
      </c>
      <c r="L87" s="784"/>
      <c r="M87" s="685"/>
      <c r="N87" s="750"/>
      <c r="O87" s="750"/>
      <c r="P87" s="750"/>
      <c r="Q87" s="750"/>
    </row>
    <row r="88" spans="1:17" s="415" customFormat="1" ht="14.25">
      <c r="A88" s="829" t="s">
        <v>1305</v>
      </c>
      <c r="B88" s="831">
        <v>1814491</v>
      </c>
      <c r="C88" s="831">
        <v>6138</v>
      </c>
      <c r="D88" s="831" t="s">
        <v>1174</v>
      </c>
      <c r="E88" s="834">
        <v>50</v>
      </c>
      <c r="F88" s="822">
        <v>0</v>
      </c>
      <c r="G88" s="834">
        <v>0</v>
      </c>
      <c r="H88" s="834">
        <v>50000000</v>
      </c>
      <c r="I88" s="831" t="s">
        <v>1216</v>
      </c>
      <c r="J88" s="834" t="s">
        <v>1209</v>
      </c>
      <c r="K88" s="844" t="s">
        <v>753</v>
      </c>
      <c r="L88" s="784"/>
      <c r="M88" s="685"/>
      <c r="N88" s="750"/>
      <c r="O88" s="750"/>
      <c r="P88" s="750"/>
      <c r="Q88" s="750"/>
    </row>
    <row r="89" spans="1:17" s="415" customFormat="1" ht="14.25">
      <c r="A89" s="829" t="s">
        <v>1306</v>
      </c>
      <c r="B89" s="831">
        <v>863342</v>
      </c>
      <c r="C89" s="831">
        <v>6217</v>
      </c>
      <c r="D89" s="831" t="s">
        <v>1174</v>
      </c>
      <c r="E89" s="834">
        <v>200</v>
      </c>
      <c r="F89" s="822">
        <v>0</v>
      </c>
      <c r="G89" s="834">
        <v>0</v>
      </c>
      <c r="H89" s="834">
        <v>200000000</v>
      </c>
      <c r="I89" s="831" t="s">
        <v>1216</v>
      </c>
      <c r="J89" s="834" t="s">
        <v>1209</v>
      </c>
      <c r="K89" s="844" t="s">
        <v>753</v>
      </c>
      <c r="L89" s="784"/>
      <c r="M89" s="685"/>
      <c r="N89" s="750"/>
      <c r="O89" s="750"/>
      <c r="P89" s="750"/>
      <c r="Q89" s="750"/>
    </row>
    <row r="90" spans="1:17" s="415" customFormat="1" ht="14.25">
      <c r="A90" s="829" t="s">
        <v>1308</v>
      </c>
      <c r="B90" s="831">
        <v>251082</v>
      </c>
      <c r="C90" s="831">
        <v>6581</v>
      </c>
      <c r="D90" s="831" t="s">
        <v>1174</v>
      </c>
      <c r="E90" s="834">
        <v>300</v>
      </c>
      <c r="F90" s="822">
        <v>0</v>
      </c>
      <c r="G90" s="834">
        <v>0</v>
      </c>
      <c r="H90" s="834">
        <v>300000000</v>
      </c>
      <c r="I90" s="831" t="s">
        <v>1216</v>
      </c>
      <c r="J90" s="834" t="s">
        <v>1209</v>
      </c>
      <c r="K90" s="844" t="s">
        <v>753</v>
      </c>
      <c r="L90" s="784"/>
      <c r="M90" s="685"/>
      <c r="N90" s="750"/>
      <c r="O90" s="750"/>
      <c r="P90" s="750"/>
      <c r="Q90" s="750"/>
    </row>
    <row r="91" spans="1:17" s="415" customFormat="1" ht="14.25">
      <c r="A91" s="829" t="s">
        <v>1309</v>
      </c>
      <c r="B91" s="831">
        <v>2204687</v>
      </c>
      <c r="C91" s="831">
        <v>6639</v>
      </c>
      <c r="D91" s="831" t="s">
        <v>1174</v>
      </c>
      <c r="E91" s="834">
        <v>90</v>
      </c>
      <c r="F91" s="822">
        <v>0</v>
      </c>
      <c r="G91" s="834">
        <v>0</v>
      </c>
      <c r="H91" s="834">
        <v>90000000</v>
      </c>
      <c r="I91" s="831" t="s">
        <v>1216</v>
      </c>
      <c r="J91" s="834" t="s">
        <v>1209</v>
      </c>
      <c r="K91" s="844" t="s">
        <v>753</v>
      </c>
      <c r="L91" s="784"/>
      <c r="M91" s="685"/>
      <c r="N91" s="750"/>
      <c r="O91" s="750"/>
      <c r="P91" s="750"/>
      <c r="Q91" s="750"/>
    </row>
    <row r="92" spans="1:17" s="415" customFormat="1" ht="14.25">
      <c r="A92" s="829" t="s">
        <v>1344</v>
      </c>
      <c r="B92" s="831">
        <v>1087507</v>
      </c>
      <c r="C92" s="831">
        <v>7632</v>
      </c>
      <c r="D92" s="831" t="s">
        <v>1174</v>
      </c>
      <c r="E92" s="834">
        <v>50</v>
      </c>
      <c r="F92" s="822">
        <v>0</v>
      </c>
      <c r="G92" s="834">
        <v>0</v>
      </c>
      <c r="H92" s="834">
        <v>50000000</v>
      </c>
      <c r="I92" s="831" t="s">
        <v>1216</v>
      </c>
      <c r="J92" s="834" t="s">
        <v>1209</v>
      </c>
      <c r="K92" s="844" t="s">
        <v>753</v>
      </c>
      <c r="L92" s="784"/>
      <c r="M92" s="685"/>
      <c r="N92" s="750"/>
      <c r="O92" s="750"/>
      <c r="P92" s="750"/>
      <c r="Q92" s="750"/>
    </row>
    <row r="93" spans="1:17" s="415" customFormat="1" ht="14.25">
      <c r="A93" s="829" t="s">
        <v>1310</v>
      </c>
      <c r="B93" s="831">
        <v>644632</v>
      </c>
      <c r="C93" s="831">
        <v>8683</v>
      </c>
      <c r="D93" s="831" t="s">
        <v>1204</v>
      </c>
      <c r="E93" s="834">
        <v>1200</v>
      </c>
      <c r="F93" s="822">
        <v>0</v>
      </c>
      <c r="G93" s="834">
        <v>0</v>
      </c>
      <c r="H93" s="834">
        <v>1200000000</v>
      </c>
      <c r="I93" s="831" t="s">
        <v>1216</v>
      </c>
      <c r="J93" s="834" t="s">
        <v>1205</v>
      </c>
      <c r="K93" s="844" t="s">
        <v>753</v>
      </c>
      <c r="L93" s="784"/>
      <c r="M93" s="685"/>
      <c r="N93" s="750"/>
      <c r="O93" s="750"/>
      <c r="P93" s="750"/>
      <c r="Q93" s="750"/>
    </row>
    <row r="94" spans="1:17" s="415" customFormat="1" ht="14.25">
      <c r="A94" s="829" t="s">
        <v>1311</v>
      </c>
      <c r="B94" s="831">
        <v>1501324</v>
      </c>
      <c r="C94" s="831">
        <v>9957</v>
      </c>
      <c r="D94" s="831" t="s">
        <v>1174</v>
      </c>
      <c r="E94" s="834">
        <v>50</v>
      </c>
      <c r="F94" s="822">
        <v>0</v>
      </c>
      <c r="G94" s="834">
        <v>0</v>
      </c>
      <c r="H94" s="834">
        <v>50000000</v>
      </c>
      <c r="I94" s="831" t="s">
        <v>1216</v>
      </c>
      <c r="J94" s="834" t="s">
        <v>1209</v>
      </c>
      <c r="K94" s="844" t="s">
        <v>753</v>
      </c>
      <c r="L94" s="784"/>
      <c r="M94" s="685"/>
      <c r="N94" s="750"/>
      <c r="O94" s="750"/>
      <c r="P94" s="750"/>
      <c r="Q94" s="750"/>
    </row>
    <row r="95" spans="1:17" s="415" customFormat="1" ht="14.25">
      <c r="A95" s="829" t="s">
        <v>1345</v>
      </c>
      <c r="B95" s="831">
        <v>1698913</v>
      </c>
      <c r="C95" s="831">
        <v>10974</v>
      </c>
      <c r="D95" s="831" t="s">
        <v>1174</v>
      </c>
      <c r="E95" s="834">
        <v>200</v>
      </c>
      <c r="F95" s="822">
        <v>0</v>
      </c>
      <c r="G95" s="834">
        <v>0</v>
      </c>
      <c r="H95" s="834">
        <v>200000000</v>
      </c>
      <c r="I95" s="831" t="s">
        <v>1216</v>
      </c>
      <c r="J95" s="834" t="s">
        <v>1209</v>
      </c>
      <c r="K95" s="844" t="s">
        <v>753</v>
      </c>
      <c r="L95" s="784"/>
      <c r="M95" s="685"/>
      <c r="N95" s="750"/>
      <c r="O95" s="750"/>
      <c r="P95" s="750"/>
      <c r="Q95" s="750"/>
    </row>
    <row r="96" spans="1:17" s="415" customFormat="1" ht="14.25">
      <c r="A96" s="829" t="s">
        <v>1312</v>
      </c>
      <c r="B96" s="831">
        <v>3518156</v>
      </c>
      <c r="C96" s="831">
        <v>11351</v>
      </c>
      <c r="D96" s="831" t="s">
        <v>1174</v>
      </c>
      <c r="E96" s="834">
        <v>115</v>
      </c>
      <c r="F96" s="822">
        <v>0</v>
      </c>
      <c r="G96" s="834">
        <v>0</v>
      </c>
      <c r="H96" s="834">
        <v>115000000</v>
      </c>
      <c r="I96" s="831" t="s">
        <v>1216</v>
      </c>
      <c r="J96" s="834" t="s">
        <v>1209</v>
      </c>
      <c r="K96" s="844" t="s">
        <v>753</v>
      </c>
      <c r="L96" s="784"/>
      <c r="M96" s="685"/>
      <c r="N96" s="750"/>
      <c r="O96" s="750"/>
      <c r="P96" s="750"/>
      <c r="Q96" s="750"/>
    </row>
    <row r="97" spans="1:17" s="415" customFormat="1" ht="14.25">
      <c r="A97" s="829" t="s">
        <v>1313</v>
      </c>
      <c r="B97" s="831">
        <v>1158233</v>
      </c>
      <c r="C97" s="831">
        <v>11470</v>
      </c>
      <c r="D97" s="831" t="s">
        <v>1174</v>
      </c>
      <c r="E97" s="834">
        <v>100</v>
      </c>
      <c r="F97" s="822">
        <v>0</v>
      </c>
      <c r="G97" s="834">
        <v>0</v>
      </c>
      <c r="H97" s="834">
        <v>100000000</v>
      </c>
      <c r="I97" s="831" t="s">
        <v>1216</v>
      </c>
      <c r="J97" s="834" t="s">
        <v>1209</v>
      </c>
      <c r="K97" s="844" t="s">
        <v>753</v>
      </c>
      <c r="L97" s="784"/>
      <c r="M97" s="685"/>
      <c r="N97" s="750"/>
      <c r="O97" s="750"/>
      <c r="P97" s="750"/>
      <c r="Q97" s="750"/>
    </row>
    <row r="98" spans="1:17" s="415" customFormat="1" ht="14.25">
      <c r="A98" s="829" t="s">
        <v>1314</v>
      </c>
      <c r="B98" s="831">
        <v>457733</v>
      </c>
      <c r="C98" s="831">
        <v>13984</v>
      </c>
      <c r="D98" s="831" t="s">
        <v>1174</v>
      </c>
      <c r="E98" s="834">
        <v>500</v>
      </c>
      <c r="F98" s="822">
        <v>0</v>
      </c>
      <c r="G98" s="834">
        <v>0</v>
      </c>
      <c r="H98" s="834">
        <v>500000000</v>
      </c>
      <c r="I98" s="831" t="s">
        <v>1216</v>
      </c>
      <c r="J98" s="834" t="s">
        <v>1209</v>
      </c>
      <c r="K98" s="844" t="s">
        <v>753</v>
      </c>
      <c r="L98" s="784"/>
      <c r="M98" s="685"/>
      <c r="N98" s="750"/>
      <c r="O98" s="750"/>
      <c r="P98" s="750"/>
      <c r="Q98" s="750"/>
    </row>
    <row r="99" spans="1:17" s="415" customFormat="1" ht="14.25">
      <c r="A99" s="829" t="s">
        <v>1314</v>
      </c>
      <c r="B99" s="831">
        <v>457733</v>
      </c>
      <c r="C99" s="831">
        <v>13984</v>
      </c>
      <c r="D99" s="831" t="s">
        <v>1307</v>
      </c>
      <c r="E99" s="834">
        <v>200</v>
      </c>
      <c r="F99" s="822">
        <v>0</v>
      </c>
      <c r="G99" s="834">
        <v>0</v>
      </c>
      <c r="H99" s="834">
        <v>200000000</v>
      </c>
      <c r="I99" s="831" t="s">
        <v>1216</v>
      </c>
      <c r="J99" s="834" t="s">
        <v>1195</v>
      </c>
      <c r="K99" s="844" t="s">
        <v>753</v>
      </c>
      <c r="L99" s="784"/>
      <c r="M99" s="685"/>
      <c r="N99" s="750"/>
      <c r="O99" s="750"/>
      <c r="P99" s="750"/>
      <c r="Q99" s="750"/>
    </row>
    <row r="100" spans="1:17" s="415" customFormat="1" ht="14.25">
      <c r="A100" s="829" t="s">
        <v>1315</v>
      </c>
      <c r="B100" s="831">
        <v>381414</v>
      </c>
      <c r="C100" s="831">
        <v>13985</v>
      </c>
      <c r="D100" s="831" t="s">
        <v>1206</v>
      </c>
      <c r="E100" s="834">
        <v>2410</v>
      </c>
      <c r="F100" s="822">
        <v>0</v>
      </c>
      <c r="G100" s="834">
        <v>0</v>
      </c>
      <c r="H100" s="834">
        <v>2410000000</v>
      </c>
      <c r="I100" s="831" t="s">
        <v>1216</v>
      </c>
      <c r="J100" s="834" t="s">
        <v>1207</v>
      </c>
      <c r="K100" s="844" t="s">
        <v>753</v>
      </c>
      <c r="L100" s="784"/>
      <c r="M100" s="685"/>
      <c r="N100" s="750"/>
      <c r="O100" s="750"/>
      <c r="P100" s="750"/>
      <c r="Q100" s="750"/>
    </row>
    <row r="101" spans="1:17" s="415" customFormat="1" ht="14.25">
      <c r="A101" s="829" t="s">
        <v>1316</v>
      </c>
      <c r="B101" s="831">
        <v>1469258</v>
      </c>
      <c r="C101" s="831">
        <v>13986</v>
      </c>
      <c r="D101" s="831" t="s">
        <v>1173</v>
      </c>
      <c r="E101" s="834">
        <v>3750</v>
      </c>
      <c r="F101" s="822">
        <v>0</v>
      </c>
      <c r="G101" s="834">
        <v>0</v>
      </c>
      <c r="H101" s="834">
        <v>3750000000</v>
      </c>
      <c r="I101" s="831" t="s">
        <v>1216</v>
      </c>
      <c r="J101" s="834" t="s">
        <v>1208</v>
      </c>
      <c r="K101" s="844" t="s">
        <v>753</v>
      </c>
      <c r="L101" s="784"/>
      <c r="M101" s="685"/>
      <c r="N101" s="750"/>
      <c r="O101" s="750"/>
      <c r="P101" s="750"/>
      <c r="Q101" s="750"/>
    </row>
    <row r="102" spans="1:17" s="415" customFormat="1" ht="14.25">
      <c r="A102" s="829" t="s">
        <v>1394</v>
      </c>
      <c r="B102" s="831">
        <v>590484</v>
      </c>
      <c r="C102" s="831">
        <v>13987</v>
      </c>
      <c r="D102" s="831" t="s">
        <v>1202</v>
      </c>
      <c r="E102" s="834">
        <v>7816</v>
      </c>
      <c r="F102" s="822">
        <v>0</v>
      </c>
      <c r="G102" s="834">
        <v>0</v>
      </c>
      <c r="H102" s="834">
        <v>7816000000</v>
      </c>
      <c r="I102" s="831" t="s">
        <v>1216</v>
      </c>
      <c r="J102" s="834" t="s">
        <v>1203</v>
      </c>
      <c r="K102" s="844" t="s">
        <v>753</v>
      </c>
      <c r="L102" s="784"/>
      <c r="M102" s="685"/>
      <c r="N102" s="750"/>
      <c r="O102" s="750"/>
      <c r="P102" s="750"/>
      <c r="Q102" s="750"/>
    </row>
    <row r="103" spans="1:17" s="415" customFormat="1" ht="14.25">
      <c r="A103" s="829" t="s">
        <v>1394</v>
      </c>
      <c r="B103" s="831">
        <v>590484</v>
      </c>
      <c r="C103" s="831">
        <v>13987</v>
      </c>
      <c r="D103" s="831" t="s">
        <v>1173</v>
      </c>
      <c r="E103" s="834">
        <v>1950</v>
      </c>
      <c r="F103" s="822">
        <v>0</v>
      </c>
      <c r="G103" s="834">
        <v>0</v>
      </c>
      <c r="H103" s="834">
        <v>1950000000</v>
      </c>
      <c r="I103" s="831" t="s">
        <v>1216</v>
      </c>
      <c r="J103" s="834" t="s">
        <v>1208</v>
      </c>
      <c r="K103" s="844" t="s">
        <v>753</v>
      </c>
      <c r="L103" s="784"/>
      <c r="M103" s="685"/>
      <c r="N103" s="750"/>
      <c r="O103" s="750"/>
      <c r="P103" s="750"/>
      <c r="Q103" s="750"/>
    </row>
    <row r="104" spans="1:17" s="415" customFormat="1" ht="14.25">
      <c r="A104" s="829" t="s">
        <v>1317</v>
      </c>
      <c r="B104" s="831">
        <v>651398</v>
      </c>
      <c r="C104" s="831">
        <v>13988</v>
      </c>
      <c r="D104" s="831" t="s">
        <v>1172</v>
      </c>
      <c r="E104" s="834">
        <v>700</v>
      </c>
      <c r="F104" s="822">
        <v>0</v>
      </c>
      <c r="G104" s="834">
        <v>0</v>
      </c>
      <c r="H104" s="834">
        <v>700000000</v>
      </c>
      <c r="I104" s="831" t="s">
        <v>1216</v>
      </c>
      <c r="J104" s="834" t="s">
        <v>1193</v>
      </c>
      <c r="K104" s="844" t="s">
        <v>753</v>
      </c>
      <c r="L104" s="784"/>
      <c r="M104" s="685"/>
      <c r="N104" s="750"/>
      <c r="O104" s="750"/>
      <c r="P104" s="750"/>
      <c r="Q104" s="750"/>
    </row>
    <row r="105" spans="1:17" s="415" customFormat="1" ht="14.25">
      <c r="A105" s="829" t="s">
        <v>1318</v>
      </c>
      <c r="B105" s="831">
        <v>1057506</v>
      </c>
      <c r="C105" s="831">
        <v>13989</v>
      </c>
      <c r="D105" s="831" t="s">
        <v>1206</v>
      </c>
      <c r="E105" s="834">
        <v>200</v>
      </c>
      <c r="F105" s="822">
        <v>0</v>
      </c>
      <c r="G105" s="834">
        <v>0</v>
      </c>
      <c r="H105" s="834">
        <v>200000000</v>
      </c>
      <c r="I105" s="831" t="s">
        <v>1216</v>
      </c>
      <c r="J105" s="834" t="s">
        <v>1207</v>
      </c>
      <c r="K105" s="844" t="s">
        <v>753</v>
      </c>
      <c r="L105" s="784"/>
      <c r="M105" s="685"/>
      <c r="N105" s="750"/>
      <c r="O105" s="750"/>
      <c r="P105" s="750"/>
      <c r="Q105" s="750"/>
    </row>
    <row r="106" spans="1:17" s="415" customFormat="1" ht="14.25">
      <c r="A106" s="829" t="s">
        <v>1319</v>
      </c>
      <c r="B106" s="831">
        <v>203723</v>
      </c>
      <c r="C106" s="831">
        <v>13991</v>
      </c>
      <c r="D106" s="831" t="s">
        <v>1307</v>
      </c>
      <c r="E106" s="834">
        <v>1260</v>
      </c>
      <c r="F106" s="822">
        <v>0</v>
      </c>
      <c r="G106" s="834">
        <v>0</v>
      </c>
      <c r="H106" s="834">
        <v>1260000000</v>
      </c>
      <c r="I106" s="831" t="s">
        <v>1216</v>
      </c>
      <c r="J106" s="834" t="s">
        <v>1195</v>
      </c>
      <c r="K106" s="844" t="s">
        <v>753</v>
      </c>
      <c r="L106" s="784"/>
      <c r="M106" s="685"/>
      <c r="N106" s="750"/>
      <c r="O106" s="750"/>
      <c r="P106" s="750"/>
      <c r="Q106" s="750"/>
    </row>
    <row r="107" spans="1:17" s="415" customFormat="1" ht="14.25">
      <c r="A107" s="829" t="s">
        <v>1320</v>
      </c>
      <c r="B107" s="831">
        <v>1828334</v>
      </c>
      <c r="C107" s="831">
        <v>13992</v>
      </c>
      <c r="D107" s="831" t="s">
        <v>1206</v>
      </c>
      <c r="E107" s="834">
        <v>200</v>
      </c>
      <c r="F107" s="822">
        <v>0</v>
      </c>
      <c r="G107" s="834">
        <v>0</v>
      </c>
      <c r="H107" s="834">
        <v>200000000</v>
      </c>
      <c r="I107" s="831" t="s">
        <v>1216</v>
      </c>
      <c r="J107" s="834" t="s">
        <v>1207</v>
      </c>
      <c r="K107" s="844" t="s">
        <v>753</v>
      </c>
      <c r="L107" s="784"/>
      <c r="M107" s="685"/>
      <c r="N107" s="750"/>
      <c r="O107" s="750"/>
      <c r="P107" s="750"/>
      <c r="Q107" s="750"/>
    </row>
    <row r="108" spans="1:17" s="415" customFormat="1" ht="14.25">
      <c r="A108" s="829" t="s">
        <v>1321</v>
      </c>
      <c r="B108" s="831">
        <v>2431985</v>
      </c>
      <c r="C108" s="831">
        <v>13993</v>
      </c>
      <c r="D108" s="831" t="s">
        <v>1206</v>
      </c>
      <c r="E108" s="834">
        <v>220</v>
      </c>
      <c r="F108" s="822">
        <v>0</v>
      </c>
      <c r="G108" s="834">
        <v>0</v>
      </c>
      <c r="H108" s="834">
        <v>220000000</v>
      </c>
      <c r="I108" s="831" t="s">
        <v>1216</v>
      </c>
      <c r="J108" s="834" t="s">
        <v>1207</v>
      </c>
      <c r="K108" s="844" t="s">
        <v>753</v>
      </c>
      <c r="L108" s="784"/>
      <c r="M108" s="685"/>
      <c r="N108" s="750"/>
      <c r="O108" s="750"/>
      <c r="P108" s="750"/>
      <c r="Q108" s="750"/>
    </row>
    <row r="109" spans="1:17" s="415" customFormat="1" ht="15" customHeight="1">
      <c r="A109" s="829" t="s">
        <v>1322</v>
      </c>
      <c r="B109" s="831">
        <v>458119</v>
      </c>
      <c r="C109" s="831">
        <v>13994</v>
      </c>
      <c r="D109" s="831" t="s">
        <v>1206</v>
      </c>
      <c r="E109" s="834">
        <v>270</v>
      </c>
      <c r="F109" s="822">
        <v>0</v>
      </c>
      <c r="G109" s="834">
        <v>0</v>
      </c>
      <c r="H109" s="834">
        <v>270000000</v>
      </c>
      <c r="I109" s="831" t="s">
        <v>1216</v>
      </c>
      <c r="J109" s="834" t="s">
        <v>1207</v>
      </c>
      <c r="K109" s="844" t="s">
        <v>753</v>
      </c>
      <c r="L109" s="784"/>
      <c r="M109" s="685"/>
      <c r="N109" s="750"/>
      <c r="O109" s="750"/>
      <c r="P109" s="750"/>
      <c r="Q109" s="750"/>
    </row>
    <row r="110" spans="1:17" s="415" customFormat="1" ht="14.25">
      <c r="A110" s="829" t="s">
        <v>1187</v>
      </c>
      <c r="B110" s="831" t="s">
        <v>1395</v>
      </c>
      <c r="C110" s="831">
        <v>14002</v>
      </c>
      <c r="D110" s="831" t="s">
        <v>1194</v>
      </c>
      <c r="E110" s="834">
        <v>1100</v>
      </c>
      <c r="F110" s="822">
        <v>0</v>
      </c>
      <c r="G110" s="834">
        <v>0</v>
      </c>
      <c r="H110" s="834">
        <v>1100000000</v>
      </c>
      <c r="I110" s="831" t="s">
        <v>1216</v>
      </c>
      <c r="J110" s="834" t="s">
        <v>879</v>
      </c>
      <c r="K110" s="844" t="s">
        <v>753</v>
      </c>
      <c r="L110" s="784"/>
      <c r="M110" s="685"/>
      <c r="N110" s="750"/>
      <c r="O110" s="750"/>
      <c r="P110" s="750"/>
      <c r="Q110" s="750"/>
    </row>
    <row r="111" spans="1:17" s="415" customFormat="1" ht="14.25">
      <c r="A111" s="829" t="s">
        <v>1187</v>
      </c>
      <c r="B111" s="831" t="s">
        <v>1395</v>
      </c>
      <c r="C111" s="831">
        <v>14002</v>
      </c>
      <c r="D111" s="831" t="s">
        <v>1175</v>
      </c>
      <c r="E111" s="834">
        <v>2788</v>
      </c>
      <c r="F111" s="822">
        <v>0</v>
      </c>
      <c r="G111" s="834">
        <v>0</v>
      </c>
      <c r="H111" s="834">
        <v>2788000000</v>
      </c>
      <c r="I111" s="831" t="s">
        <v>1216</v>
      </c>
      <c r="J111" s="834" t="s">
        <v>1210</v>
      </c>
      <c r="K111" s="844" t="s">
        <v>753</v>
      </c>
      <c r="L111" s="784"/>
      <c r="M111" s="685"/>
      <c r="N111" s="750"/>
      <c r="O111" s="750"/>
      <c r="P111" s="750"/>
      <c r="Q111" s="750"/>
    </row>
    <row r="112" spans="1:17" s="415" customFormat="1" ht="14.25">
      <c r="A112" s="829" t="s">
        <v>1187</v>
      </c>
      <c r="B112" s="831" t="s">
        <v>1395</v>
      </c>
      <c r="C112" s="831">
        <v>14002</v>
      </c>
      <c r="D112" s="831" t="s">
        <v>1172</v>
      </c>
      <c r="E112" s="834">
        <v>812</v>
      </c>
      <c r="F112" s="822">
        <v>0</v>
      </c>
      <c r="G112" s="834">
        <v>0</v>
      </c>
      <c r="H112" s="834">
        <v>812000000</v>
      </c>
      <c r="I112" s="831" t="s">
        <v>1216</v>
      </c>
      <c r="J112" s="834" t="s">
        <v>1193</v>
      </c>
      <c r="K112" s="844" t="s">
        <v>753</v>
      </c>
      <c r="L112" s="784"/>
      <c r="M112" s="685"/>
      <c r="N112" s="750"/>
      <c r="O112" s="750"/>
      <c r="P112" s="750"/>
      <c r="Q112" s="750"/>
    </row>
    <row r="113" spans="1:17" s="415" customFormat="1" ht="14.25">
      <c r="A113" s="829" t="s">
        <v>1187</v>
      </c>
      <c r="B113" s="831" t="s">
        <v>1395</v>
      </c>
      <c r="C113" s="831">
        <v>14002</v>
      </c>
      <c r="D113" s="831" t="s">
        <v>1198</v>
      </c>
      <c r="E113" s="834">
        <v>10000</v>
      </c>
      <c r="F113" s="822">
        <v>0</v>
      </c>
      <c r="G113" s="834">
        <v>0</v>
      </c>
      <c r="H113" s="834">
        <v>10000000000</v>
      </c>
      <c r="I113" s="831" t="s">
        <v>1216</v>
      </c>
      <c r="J113" s="834" t="s">
        <v>1199</v>
      </c>
      <c r="K113" s="844" t="s">
        <v>753</v>
      </c>
      <c r="L113" s="784"/>
      <c r="M113" s="685"/>
      <c r="N113" s="750"/>
      <c r="O113" s="750"/>
      <c r="P113" s="750"/>
      <c r="Q113" s="750"/>
    </row>
    <row r="114" spans="1:17" s="415" customFormat="1" ht="14.25">
      <c r="A114" s="829" t="s">
        <v>1187</v>
      </c>
      <c r="B114" s="831" t="s">
        <v>1395</v>
      </c>
      <c r="C114" s="831">
        <v>14002</v>
      </c>
      <c r="D114" s="831" t="s">
        <v>1191</v>
      </c>
      <c r="E114" s="834">
        <v>2700</v>
      </c>
      <c r="F114" s="822">
        <v>0</v>
      </c>
      <c r="G114" s="834">
        <v>0</v>
      </c>
      <c r="H114" s="834">
        <v>2700000000</v>
      </c>
      <c r="I114" s="831" t="s">
        <v>1216</v>
      </c>
      <c r="J114" s="834" t="s">
        <v>1192</v>
      </c>
      <c r="K114" s="844" t="s">
        <v>753</v>
      </c>
      <c r="L114" s="784"/>
      <c r="M114" s="685"/>
      <c r="N114" s="750"/>
      <c r="O114" s="750"/>
      <c r="P114" s="750"/>
      <c r="Q114" s="750"/>
    </row>
    <row r="115" spans="1:17" s="415" customFormat="1" ht="14.25">
      <c r="A115" s="829" t="s">
        <v>1187</v>
      </c>
      <c r="B115" s="831" t="s">
        <v>1395</v>
      </c>
      <c r="C115" s="831">
        <v>14002</v>
      </c>
      <c r="D115" s="831" t="s">
        <v>1174</v>
      </c>
      <c r="E115" s="834">
        <v>3120</v>
      </c>
      <c r="F115" s="822">
        <v>0</v>
      </c>
      <c r="G115" s="834">
        <v>0</v>
      </c>
      <c r="H115" s="834">
        <v>3120000000</v>
      </c>
      <c r="I115" s="831" t="s">
        <v>1216</v>
      </c>
      <c r="J115" s="834" t="s">
        <v>1209</v>
      </c>
      <c r="K115" s="844" t="s">
        <v>753</v>
      </c>
      <c r="L115" s="784"/>
      <c r="M115" s="685"/>
      <c r="N115" s="750"/>
      <c r="O115" s="750"/>
      <c r="P115" s="750"/>
      <c r="Q115" s="750"/>
    </row>
    <row r="116" spans="1:17" s="415" customFormat="1" ht="14.25">
      <c r="A116" s="829" t="s">
        <v>1187</v>
      </c>
      <c r="B116" s="831" t="s">
        <v>1395</v>
      </c>
      <c r="C116" s="831">
        <v>14002</v>
      </c>
      <c r="D116" s="831" t="s">
        <v>1200</v>
      </c>
      <c r="E116" s="834">
        <v>15000</v>
      </c>
      <c r="F116" s="822">
        <v>0</v>
      </c>
      <c r="G116" s="834">
        <v>0</v>
      </c>
      <c r="H116" s="834">
        <v>15000000000</v>
      </c>
      <c r="I116" s="831" t="s">
        <v>1216</v>
      </c>
      <c r="J116" s="834" t="s">
        <v>1201</v>
      </c>
      <c r="K116" s="844" t="s">
        <v>753</v>
      </c>
      <c r="L116" s="784"/>
      <c r="M116" s="685"/>
      <c r="N116" s="750"/>
      <c r="O116" s="750"/>
      <c r="P116" s="750"/>
      <c r="Q116" s="750"/>
    </row>
    <row r="117" spans="1:17" s="415" customFormat="1" ht="14.25">
      <c r="A117" s="829" t="s">
        <v>1187</v>
      </c>
      <c r="B117" s="831" t="s">
        <v>1395</v>
      </c>
      <c r="C117" s="831">
        <v>14002</v>
      </c>
      <c r="D117" s="831" t="s">
        <v>1196</v>
      </c>
      <c r="E117" s="834">
        <v>9211</v>
      </c>
      <c r="F117" s="822">
        <v>0</v>
      </c>
      <c r="G117" s="834">
        <v>0</v>
      </c>
      <c r="H117" s="834">
        <v>9211000000</v>
      </c>
      <c r="I117" s="831" t="s">
        <v>1216</v>
      </c>
      <c r="J117" s="834" t="s">
        <v>1197</v>
      </c>
      <c r="K117" s="844" t="s">
        <v>753</v>
      </c>
      <c r="L117" s="784"/>
      <c r="M117" s="685"/>
      <c r="N117" s="750"/>
      <c r="O117" s="750"/>
      <c r="P117" s="750"/>
      <c r="Q117" s="750"/>
    </row>
    <row r="118" spans="1:17" s="415" customFormat="1" ht="14.25">
      <c r="A118" s="829" t="s">
        <v>1323</v>
      </c>
      <c r="B118" s="831" t="s">
        <v>1396</v>
      </c>
      <c r="C118" s="831">
        <v>14497</v>
      </c>
      <c r="D118" s="831" t="s">
        <v>1174</v>
      </c>
      <c r="E118" s="834">
        <v>100</v>
      </c>
      <c r="F118" s="822">
        <v>0</v>
      </c>
      <c r="G118" s="834">
        <v>0</v>
      </c>
      <c r="H118" s="834">
        <v>100000000</v>
      </c>
      <c r="I118" s="831" t="s">
        <v>1216</v>
      </c>
      <c r="J118" s="834" t="s">
        <v>1209</v>
      </c>
      <c r="K118" s="844" t="s">
        <v>753</v>
      </c>
      <c r="L118" s="784"/>
      <c r="M118" s="685"/>
      <c r="N118" s="750"/>
      <c r="O118" s="750"/>
      <c r="P118" s="750"/>
      <c r="Q118" s="750"/>
    </row>
    <row r="119" spans="1:17" s="415" customFormat="1" ht="14.25">
      <c r="A119" s="829" t="s">
        <v>1324</v>
      </c>
      <c r="B119" s="831">
        <v>383864</v>
      </c>
      <c r="C119" s="831">
        <v>15206</v>
      </c>
      <c r="D119" s="831" t="s">
        <v>1191</v>
      </c>
      <c r="E119" s="834">
        <v>300</v>
      </c>
      <c r="F119" s="822">
        <v>0</v>
      </c>
      <c r="G119" s="834">
        <v>0</v>
      </c>
      <c r="H119" s="834">
        <v>300000000</v>
      </c>
      <c r="I119" s="831" t="s">
        <v>1216</v>
      </c>
      <c r="J119" s="834" t="s">
        <v>1192</v>
      </c>
      <c r="K119" s="844" t="s">
        <v>753</v>
      </c>
      <c r="L119" s="784"/>
      <c r="M119" s="685"/>
      <c r="N119" s="750"/>
      <c r="O119" s="750"/>
      <c r="P119" s="750"/>
      <c r="Q119" s="750"/>
    </row>
    <row r="120" spans="1:17" s="415" customFormat="1" ht="14.25">
      <c r="A120" s="829" t="s">
        <v>1346</v>
      </c>
      <c r="B120" s="831">
        <v>1465188</v>
      </c>
      <c r="C120" s="831">
        <v>15289</v>
      </c>
      <c r="D120" s="831" t="s">
        <v>1174</v>
      </c>
      <c r="E120" s="834">
        <v>220</v>
      </c>
      <c r="F120" s="822">
        <v>0</v>
      </c>
      <c r="G120" s="834">
        <v>0</v>
      </c>
      <c r="H120" s="834">
        <v>220000000</v>
      </c>
      <c r="I120" s="831" t="s">
        <v>1216</v>
      </c>
      <c r="J120" s="834" t="s">
        <v>1209</v>
      </c>
      <c r="K120" s="844" t="s">
        <v>753</v>
      </c>
      <c r="L120" s="784"/>
      <c r="M120" s="685"/>
      <c r="N120" s="750"/>
      <c r="O120" s="750"/>
      <c r="P120" s="750"/>
      <c r="Q120" s="750"/>
    </row>
    <row r="121" spans="1:17" s="415" customFormat="1" ht="14.25">
      <c r="A121" s="829" t="s">
        <v>1325</v>
      </c>
      <c r="B121" s="831">
        <v>310174</v>
      </c>
      <c r="C121" s="831">
        <v>15989</v>
      </c>
      <c r="D121" s="831" t="s">
        <v>1196</v>
      </c>
      <c r="E121" s="834">
        <v>812</v>
      </c>
      <c r="F121" s="822">
        <v>0</v>
      </c>
      <c r="G121" s="834">
        <v>0</v>
      </c>
      <c r="H121" s="834">
        <v>812000000</v>
      </c>
      <c r="I121" s="831" t="s">
        <v>1216</v>
      </c>
      <c r="J121" s="834" t="s">
        <v>1197</v>
      </c>
      <c r="K121" s="844" t="s">
        <v>753</v>
      </c>
      <c r="L121" s="784"/>
      <c r="M121" s="685"/>
      <c r="N121" s="750"/>
      <c r="O121" s="750"/>
      <c r="P121" s="750"/>
      <c r="Q121" s="750"/>
    </row>
    <row r="122" spans="1:17" s="415" customFormat="1" ht="14.25">
      <c r="A122" s="829" t="s">
        <v>1326</v>
      </c>
      <c r="B122" s="831" t="s">
        <v>1397</v>
      </c>
      <c r="C122" s="831">
        <v>16137</v>
      </c>
      <c r="D122" s="831" t="s">
        <v>1202</v>
      </c>
      <c r="E122" s="834">
        <v>2201</v>
      </c>
      <c r="F122" s="822">
        <v>0</v>
      </c>
      <c r="G122" s="834">
        <v>0</v>
      </c>
      <c r="H122" s="834">
        <v>2201000000</v>
      </c>
      <c r="I122" s="831" t="s">
        <v>1216</v>
      </c>
      <c r="J122" s="834" t="s">
        <v>1203</v>
      </c>
      <c r="K122" s="844" t="s">
        <v>753</v>
      </c>
      <c r="L122" s="784"/>
      <c r="M122" s="685"/>
      <c r="N122" s="750"/>
      <c r="O122" s="750"/>
      <c r="P122" s="750"/>
      <c r="Q122" s="750"/>
    </row>
    <row r="123" spans="1:17" s="415" customFormat="1" ht="14.25">
      <c r="A123" s="829" t="s">
        <v>1327</v>
      </c>
      <c r="B123" s="831">
        <v>1242340</v>
      </c>
      <c r="C123" s="831">
        <v>16174</v>
      </c>
      <c r="D123" s="831" t="s">
        <v>1202</v>
      </c>
      <c r="E123" s="834">
        <v>1389</v>
      </c>
      <c r="F123" s="822">
        <v>0</v>
      </c>
      <c r="G123" s="834">
        <v>0</v>
      </c>
      <c r="H123" s="834">
        <v>1389000000</v>
      </c>
      <c r="I123" s="831" t="s">
        <v>1216</v>
      </c>
      <c r="J123" s="834" t="s">
        <v>1203</v>
      </c>
      <c r="K123" s="844" t="s">
        <v>753</v>
      </c>
      <c r="L123" s="784"/>
      <c r="M123" s="685"/>
      <c r="N123" s="750"/>
      <c r="O123" s="750"/>
      <c r="P123" s="750"/>
      <c r="Q123" s="750"/>
    </row>
    <row r="124" spans="1:17" s="415" customFormat="1" ht="14.25">
      <c r="A124" s="829" t="s">
        <v>1328</v>
      </c>
      <c r="B124" s="831">
        <v>87258</v>
      </c>
      <c r="C124" s="831">
        <v>16291</v>
      </c>
      <c r="D124" s="831" t="s">
        <v>1188</v>
      </c>
      <c r="E124" s="834">
        <v>135</v>
      </c>
      <c r="F124" s="822">
        <v>0</v>
      </c>
      <c r="G124" s="834">
        <v>0</v>
      </c>
      <c r="H124" s="834">
        <v>135000000</v>
      </c>
      <c r="I124" s="831" t="s">
        <v>1216</v>
      </c>
      <c r="J124" s="834" t="s">
        <v>1189</v>
      </c>
      <c r="K124" s="844" t="s">
        <v>753</v>
      </c>
      <c r="L124" s="784"/>
      <c r="M124" s="685"/>
      <c r="N124" s="750"/>
      <c r="O124" s="750"/>
      <c r="P124" s="750"/>
      <c r="Q124" s="750"/>
    </row>
    <row r="125" spans="1:17" s="415" customFormat="1" ht="14.25">
      <c r="A125" s="829" t="s">
        <v>1398</v>
      </c>
      <c r="B125" s="831">
        <v>490251</v>
      </c>
      <c r="C125" s="831">
        <v>16344</v>
      </c>
      <c r="D125" s="831" t="s">
        <v>1196</v>
      </c>
      <c r="E125" s="834">
        <v>1077</v>
      </c>
      <c r="F125" s="822">
        <v>0</v>
      </c>
      <c r="G125" s="834">
        <v>0</v>
      </c>
      <c r="H125" s="834">
        <v>1077000000</v>
      </c>
      <c r="I125" s="831" t="s">
        <v>1216</v>
      </c>
      <c r="J125" s="834" t="s">
        <v>1197</v>
      </c>
      <c r="K125" s="844" t="s">
        <v>753</v>
      </c>
      <c r="L125" s="784"/>
      <c r="M125" s="685"/>
      <c r="N125" s="750"/>
      <c r="O125" s="750"/>
      <c r="P125" s="750"/>
      <c r="Q125" s="750"/>
    </row>
    <row r="126" spans="1:17" s="415" customFormat="1" ht="14.25">
      <c r="A126" s="829" t="s">
        <v>1329</v>
      </c>
      <c r="B126" s="831">
        <v>3851809</v>
      </c>
      <c r="C126" s="831">
        <v>16786</v>
      </c>
      <c r="D126" s="831" t="s">
        <v>1174</v>
      </c>
      <c r="E126" s="834">
        <v>625</v>
      </c>
      <c r="F126" s="822">
        <v>0</v>
      </c>
      <c r="G126" s="834">
        <v>0</v>
      </c>
      <c r="H126" s="834">
        <v>625000000</v>
      </c>
      <c r="I126" s="831" t="s">
        <v>1216</v>
      </c>
      <c r="J126" s="834" t="s">
        <v>1209</v>
      </c>
      <c r="K126" s="844" t="s">
        <v>753</v>
      </c>
      <c r="L126" s="784"/>
      <c r="M126" s="685"/>
      <c r="N126" s="750"/>
      <c r="O126" s="750"/>
      <c r="P126" s="750"/>
      <c r="Q126" s="750"/>
    </row>
    <row r="127" spans="1:17" s="415" customFormat="1" ht="14.25">
      <c r="A127" s="829" t="s">
        <v>1330</v>
      </c>
      <c r="B127" s="831">
        <v>4363921</v>
      </c>
      <c r="C127" s="831">
        <v>16788</v>
      </c>
      <c r="D127" s="831" t="s">
        <v>1174</v>
      </c>
      <c r="E127" s="834">
        <v>873</v>
      </c>
      <c r="F127" s="822">
        <v>0</v>
      </c>
      <c r="G127" s="834">
        <v>0</v>
      </c>
      <c r="H127" s="834">
        <v>873000000</v>
      </c>
      <c r="I127" s="831" t="s">
        <v>1216</v>
      </c>
      <c r="J127" s="834" t="s">
        <v>1209</v>
      </c>
      <c r="K127" s="844" t="s">
        <v>753</v>
      </c>
      <c r="L127" s="784"/>
      <c r="M127" s="685"/>
      <c r="N127" s="750"/>
      <c r="O127" s="750"/>
      <c r="P127" s="750"/>
      <c r="Q127" s="750"/>
    </row>
    <row r="128" spans="1:17" s="415" customFormat="1" ht="14.25">
      <c r="A128" s="829" t="s">
        <v>1331</v>
      </c>
      <c r="B128" s="831">
        <v>2321061</v>
      </c>
      <c r="C128" s="831">
        <v>16805</v>
      </c>
      <c r="D128" s="831" t="s">
        <v>1202</v>
      </c>
      <c r="E128" s="834">
        <v>325</v>
      </c>
      <c r="F128" s="822">
        <v>0</v>
      </c>
      <c r="G128" s="834">
        <v>0</v>
      </c>
      <c r="H128" s="834">
        <v>325000000</v>
      </c>
      <c r="I128" s="831" t="s">
        <v>1216</v>
      </c>
      <c r="J128" s="834" t="s">
        <v>1203</v>
      </c>
      <c r="K128" s="844" t="s">
        <v>753</v>
      </c>
      <c r="L128" s="784"/>
      <c r="M128" s="685"/>
      <c r="N128" s="750"/>
      <c r="O128" s="750"/>
      <c r="P128" s="750"/>
      <c r="Q128" s="750"/>
    </row>
    <row r="129" spans="1:17" s="415" customFormat="1" ht="14.25">
      <c r="A129" s="829" t="s">
        <v>1332</v>
      </c>
      <c r="B129" s="831">
        <v>7503961</v>
      </c>
      <c r="C129" s="831">
        <v>17019</v>
      </c>
      <c r="D129" s="831" t="s">
        <v>1174</v>
      </c>
      <c r="E129" s="834">
        <v>486</v>
      </c>
      <c r="F129" s="822">
        <v>0</v>
      </c>
      <c r="G129" s="834">
        <v>0</v>
      </c>
      <c r="H129" s="834">
        <v>486000000</v>
      </c>
      <c r="I129" s="831" t="s">
        <v>1216</v>
      </c>
      <c r="J129" s="834" t="s">
        <v>1209</v>
      </c>
      <c r="K129" s="844" t="s">
        <v>753</v>
      </c>
      <c r="L129" s="784"/>
      <c r="M129" s="685"/>
      <c r="N129" s="750"/>
      <c r="O129" s="750"/>
      <c r="P129" s="750"/>
      <c r="Q129" s="750"/>
    </row>
    <row r="130" spans="1:17" s="415" customFormat="1" ht="14.25">
      <c r="A130" s="829" t="s">
        <v>1333</v>
      </c>
      <c r="B130" s="831">
        <v>3390956</v>
      </c>
      <c r="C130" s="831">
        <v>17507</v>
      </c>
      <c r="D130" s="831" t="s">
        <v>1174</v>
      </c>
      <c r="E130" s="834">
        <v>50</v>
      </c>
      <c r="F130" s="822">
        <v>0</v>
      </c>
      <c r="G130" s="834">
        <v>0</v>
      </c>
      <c r="H130" s="834">
        <v>50000000</v>
      </c>
      <c r="I130" s="831" t="s">
        <v>1216</v>
      </c>
      <c r="J130" s="834" t="s">
        <v>1209</v>
      </c>
      <c r="K130" s="844" t="s">
        <v>753</v>
      </c>
      <c r="L130" s="784"/>
      <c r="M130" s="685"/>
      <c r="N130" s="750"/>
      <c r="O130" s="750"/>
      <c r="P130" s="750"/>
      <c r="Q130" s="750"/>
    </row>
    <row r="131" spans="1:17" s="415" customFormat="1" ht="14.25">
      <c r="A131" s="829" t="s">
        <v>1399</v>
      </c>
      <c r="B131" s="831">
        <v>4063068</v>
      </c>
      <c r="C131" s="831">
        <v>18195</v>
      </c>
      <c r="D131" s="831" t="s">
        <v>1174</v>
      </c>
      <c r="E131" s="834">
        <v>100</v>
      </c>
      <c r="F131" s="822">
        <v>0</v>
      </c>
      <c r="G131" s="834">
        <v>0</v>
      </c>
      <c r="H131" s="834">
        <v>100000000</v>
      </c>
      <c r="I131" s="831" t="s">
        <v>1216</v>
      </c>
      <c r="J131" s="834" t="s">
        <v>1209</v>
      </c>
      <c r="K131" s="844" t="s">
        <v>753</v>
      </c>
      <c r="L131" s="784"/>
      <c r="M131" s="685"/>
      <c r="N131" s="750"/>
      <c r="O131" s="750"/>
      <c r="P131" s="750"/>
      <c r="Q131" s="750"/>
    </row>
    <row r="132" spans="1:17" s="415" customFormat="1" ht="14.25">
      <c r="A132" s="829" t="s">
        <v>1384</v>
      </c>
      <c r="B132" s="831" t="s">
        <v>1385</v>
      </c>
      <c r="C132" s="831">
        <v>18429</v>
      </c>
      <c r="D132" s="831" t="s">
        <v>1307</v>
      </c>
      <c r="E132" s="834">
        <v>940</v>
      </c>
      <c r="F132" s="822">
        <v>0</v>
      </c>
      <c r="G132" s="834">
        <v>0</v>
      </c>
      <c r="H132" s="834">
        <v>940000000</v>
      </c>
      <c r="I132" s="831" t="s">
        <v>1216</v>
      </c>
      <c r="J132" s="834" t="s">
        <v>1195</v>
      </c>
      <c r="K132" s="844" t="s">
        <v>753</v>
      </c>
      <c r="L132" s="784"/>
      <c r="M132" s="685"/>
      <c r="N132" s="750"/>
      <c r="O132" s="750"/>
      <c r="P132" s="750"/>
      <c r="Q132" s="750"/>
    </row>
    <row r="133" spans="1:17" s="415" customFormat="1" ht="14.25">
      <c r="A133" s="829" t="s">
        <v>1384</v>
      </c>
      <c r="B133" s="831" t="s">
        <v>1385</v>
      </c>
      <c r="C133" s="831">
        <v>18429</v>
      </c>
      <c r="D133" s="831" t="s">
        <v>1188</v>
      </c>
      <c r="E133" s="834">
        <v>400</v>
      </c>
      <c r="F133" s="822">
        <v>0</v>
      </c>
      <c r="G133" s="834">
        <v>0</v>
      </c>
      <c r="H133" s="834">
        <v>400000000</v>
      </c>
      <c r="I133" s="831" t="s">
        <v>1216</v>
      </c>
      <c r="J133" s="834" t="s">
        <v>1189</v>
      </c>
      <c r="K133" s="844" t="s">
        <v>753</v>
      </c>
      <c r="L133" s="784"/>
      <c r="M133" s="685"/>
      <c r="N133" s="750"/>
      <c r="O133" s="750"/>
      <c r="P133" s="750"/>
      <c r="Q133" s="750"/>
    </row>
    <row r="134" spans="1:17" s="415" customFormat="1" ht="15" thickBot="1">
      <c r="A134" s="830" t="s">
        <v>1384</v>
      </c>
      <c r="B134" s="832" t="s">
        <v>1385</v>
      </c>
      <c r="C134" s="832">
        <v>18429</v>
      </c>
      <c r="D134" s="832" t="s">
        <v>1202</v>
      </c>
      <c r="E134" s="835">
        <v>5269</v>
      </c>
      <c r="F134" s="838">
        <v>0</v>
      </c>
      <c r="G134" s="835">
        <v>0</v>
      </c>
      <c r="H134" s="834">
        <v>5269000000</v>
      </c>
      <c r="I134" s="831" t="s">
        <v>1216</v>
      </c>
      <c r="J134" s="835" t="s">
        <v>1203</v>
      </c>
      <c r="K134" s="845" t="s">
        <v>753</v>
      </c>
      <c r="L134" s="784"/>
      <c r="M134" s="685"/>
      <c r="N134" s="750"/>
      <c r="O134" s="750"/>
      <c r="P134" s="750"/>
      <c r="Q134" s="750"/>
    </row>
    <row r="135" spans="1:17" s="415" customFormat="1" ht="15" thickBot="1">
      <c r="A135" s="841"/>
      <c r="B135" s="847"/>
      <c r="C135" s="848"/>
      <c r="D135" s="849"/>
      <c r="E135" s="833">
        <f>SUM(E71:E134)</f>
        <v>142643</v>
      </c>
      <c r="F135" s="846"/>
      <c r="G135" s="840">
        <f>SUM(G71:G134)</f>
        <v>250000</v>
      </c>
      <c r="H135" s="833">
        <v>142643000000</v>
      </c>
      <c r="I135" s="841"/>
      <c r="J135" s="842"/>
      <c r="K135" s="810"/>
      <c r="L135" s="784"/>
      <c r="M135" s="685"/>
      <c r="N135" s="750"/>
      <c r="O135" s="750"/>
      <c r="P135" s="750"/>
      <c r="Q135" s="750"/>
    </row>
    <row r="136" spans="1:17" s="415" customFormat="1" ht="14.25">
      <c r="A136" s="718"/>
      <c r="B136" s="715"/>
      <c r="C136" s="716"/>
      <c r="D136" s="716"/>
      <c r="E136" s="717"/>
      <c r="F136" s="718"/>
      <c r="G136" s="718"/>
      <c r="H136" s="718"/>
      <c r="I136" s="718"/>
      <c r="J136" s="717"/>
      <c r="K136" s="784"/>
      <c r="L136" s="784"/>
      <c r="M136" s="685"/>
      <c r="N136" s="750"/>
      <c r="O136" s="750"/>
      <c r="P136" s="750"/>
      <c r="Q136" s="750"/>
    </row>
    <row r="137" spans="1:17" s="658" customFormat="1" ht="14.25">
      <c r="A137" s="652"/>
      <c r="B137" s="652"/>
      <c r="C137" s="653"/>
      <c r="D137" s="654"/>
      <c r="E137" s="655"/>
      <c r="F137" s="652"/>
      <c r="G137" s="656"/>
      <c r="H137" s="656"/>
      <c r="I137" s="652"/>
      <c r="J137" s="652"/>
      <c r="K137" s="657"/>
      <c r="L137" s="657"/>
      <c r="M137" s="657"/>
      <c r="N137" s="652"/>
      <c r="O137" s="652"/>
      <c r="P137" s="652"/>
      <c r="Q137" s="652"/>
    </row>
    <row r="138" s="576" customFormat="1" ht="13.5">
      <c r="H138" s="563"/>
    </row>
    <row r="139" spans="1:8" s="576" customFormat="1" ht="15">
      <c r="A139" s="644" t="s">
        <v>1115</v>
      </c>
      <c r="B139" s="644"/>
      <c r="C139" s="644"/>
      <c r="D139" s="644"/>
      <c r="E139" s="644"/>
      <c r="H139" s="563"/>
    </row>
    <row r="140" spans="1:14" s="415" customFormat="1" ht="15" thickBot="1">
      <c r="A140" s="555"/>
      <c r="B140" s="555"/>
      <c r="C140" s="555"/>
      <c r="D140" s="555"/>
      <c r="E140" s="555"/>
      <c r="F140" s="719"/>
      <c r="G140" s="555"/>
      <c r="H140" s="555"/>
      <c r="I140" s="555"/>
      <c r="J140" s="720"/>
      <c r="K140" s="555"/>
      <c r="L140" s="555"/>
      <c r="M140" s="555"/>
      <c r="N140" s="721"/>
    </row>
    <row r="141" spans="1:15" s="415" customFormat="1" ht="15" thickBot="1">
      <c r="A141" s="825" t="s">
        <v>1378</v>
      </c>
      <c r="B141" s="825" t="s">
        <v>1379</v>
      </c>
      <c r="C141" s="825" t="s">
        <v>1380</v>
      </c>
      <c r="D141" s="825" t="s">
        <v>1185</v>
      </c>
      <c r="E141" s="833" t="s">
        <v>1337</v>
      </c>
      <c r="F141" s="825" t="s">
        <v>1381</v>
      </c>
      <c r="G141" s="833" t="s">
        <v>1382</v>
      </c>
      <c r="H141" s="833" t="s">
        <v>1383</v>
      </c>
      <c r="I141" s="825" t="s">
        <v>1338</v>
      </c>
      <c r="J141" s="833" t="s">
        <v>1339</v>
      </c>
      <c r="K141" s="855" t="s">
        <v>326</v>
      </c>
      <c r="L141" s="548" t="s">
        <v>1400</v>
      </c>
      <c r="M141" s="857" t="s">
        <v>3</v>
      </c>
      <c r="N141" s="686"/>
      <c r="O141" s="686"/>
    </row>
    <row r="142" spans="1:15" s="415" customFormat="1" ht="14.25">
      <c r="A142" s="826" t="s">
        <v>1384</v>
      </c>
      <c r="B142" s="831" t="s">
        <v>1385</v>
      </c>
      <c r="C142" s="831">
        <v>18429</v>
      </c>
      <c r="D142" s="836" t="s">
        <v>1186</v>
      </c>
      <c r="E142" s="834">
        <v>10500</v>
      </c>
      <c r="F142" s="831">
        <v>5</v>
      </c>
      <c r="G142" s="834">
        <v>52500</v>
      </c>
      <c r="H142" s="834">
        <v>10500000000</v>
      </c>
      <c r="I142" s="831" t="s">
        <v>1215</v>
      </c>
      <c r="J142" s="834" t="s">
        <v>879</v>
      </c>
      <c r="K142" s="854" t="s">
        <v>753</v>
      </c>
      <c r="L142" s="853">
        <v>0.07361034190251187</v>
      </c>
      <c r="M142" s="854"/>
      <c r="N142" s="686"/>
      <c r="O142" s="686"/>
    </row>
    <row r="143" spans="1:15" s="415" customFormat="1" ht="14.25">
      <c r="A143" s="826" t="s">
        <v>1384</v>
      </c>
      <c r="B143" s="831" t="s">
        <v>1385</v>
      </c>
      <c r="C143" s="831">
        <v>18429</v>
      </c>
      <c r="D143" s="836" t="s">
        <v>1307</v>
      </c>
      <c r="E143" s="834">
        <v>940</v>
      </c>
      <c r="F143" s="831">
        <v>0</v>
      </c>
      <c r="G143" s="834">
        <v>0</v>
      </c>
      <c r="H143" s="834">
        <v>940000000</v>
      </c>
      <c r="I143" s="831" t="s">
        <v>1216</v>
      </c>
      <c r="J143" s="834" t="s">
        <v>1195</v>
      </c>
      <c r="K143" s="844" t="s">
        <v>753</v>
      </c>
      <c r="L143" s="854">
        <v>0.006589878227462967</v>
      </c>
      <c r="M143" s="861">
        <f>+L142+L143+L144+L145</f>
        <v>0.11994279424857862</v>
      </c>
      <c r="N143" s="686"/>
      <c r="O143" s="784"/>
    </row>
    <row r="144" spans="1:15" s="415" customFormat="1" ht="14.25">
      <c r="A144" s="826" t="s">
        <v>1384</v>
      </c>
      <c r="B144" s="831" t="s">
        <v>1385</v>
      </c>
      <c r="C144" s="831">
        <v>18429</v>
      </c>
      <c r="D144" s="836" t="s">
        <v>1188</v>
      </c>
      <c r="E144" s="834">
        <v>400</v>
      </c>
      <c r="F144" s="831">
        <v>0</v>
      </c>
      <c r="G144" s="834">
        <v>0</v>
      </c>
      <c r="H144" s="834">
        <v>400000000</v>
      </c>
      <c r="I144" s="831" t="s">
        <v>1216</v>
      </c>
      <c r="J144" s="834" t="s">
        <v>1189</v>
      </c>
      <c r="K144" s="844" t="s">
        <v>753</v>
      </c>
      <c r="L144" s="854">
        <v>0.002804203501048071</v>
      </c>
      <c r="M144" s="854"/>
      <c r="N144" s="686"/>
      <c r="O144" s="784"/>
    </row>
    <row r="145" spans="1:15" s="415" customFormat="1" ht="15" thickBot="1">
      <c r="A145" s="827" t="s">
        <v>1384</v>
      </c>
      <c r="B145" s="832" t="s">
        <v>1385</v>
      </c>
      <c r="C145" s="832">
        <v>18429</v>
      </c>
      <c r="D145" s="837" t="s">
        <v>1202</v>
      </c>
      <c r="E145" s="835">
        <v>5269</v>
      </c>
      <c r="F145" s="832">
        <v>0</v>
      </c>
      <c r="G145" s="835">
        <v>0</v>
      </c>
      <c r="H145" s="835">
        <v>5269000000</v>
      </c>
      <c r="I145" s="832" t="s">
        <v>1216</v>
      </c>
      <c r="J145" s="835" t="s">
        <v>1203</v>
      </c>
      <c r="K145" s="845" t="s">
        <v>753</v>
      </c>
      <c r="L145" s="856">
        <v>0.03693837061755571</v>
      </c>
      <c r="M145" s="854"/>
      <c r="N145" s="686"/>
      <c r="O145" s="784"/>
    </row>
    <row r="146" spans="1:15" s="415" customFormat="1" ht="15" thickBot="1">
      <c r="A146" s="858" t="s">
        <v>1386</v>
      </c>
      <c r="B146" s="846" t="s">
        <v>1387</v>
      </c>
      <c r="C146" s="846">
        <v>19929</v>
      </c>
      <c r="D146" s="859" t="s">
        <v>1186</v>
      </c>
      <c r="E146" s="839">
        <v>21500</v>
      </c>
      <c r="F146" s="846">
        <v>5</v>
      </c>
      <c r="G146" s="839">
        <v>107500</v>
      </c>
      <c r="H146" s="839">
        <v>21500000000</v>
      </c>
      <c r="I146" s="846" t="s">
        <v>1215</v>
      </c>
      <c r="J146" s="839" t="s">
        <v>879</v>
      </c>
      <c r="K146" s="843" t="s">
        <v>753</v>
      </c>
      <c r="L146" s="860">
        <v>0.1507259381813338</v>
      </c>
      <c r="M146" s="862">
        <f>+L146</f>
        <v>0.1507259381813338</v>
      </c>
      <c r="N146" s="686"/>
      <c r="O146" s="784"/>
    </row>
    <row r="147" spans="1:15" s="415" customFormat="1" ht="15" thickBot="1">
      <c r="A147" s="858" t="s">
        <v>1388</v>
      </c>
      <c r="B147" s="846" t="s">
        <v>1389</v>
      </c>
      <c r="C147" s="846">
        <v>18574</v>
      </c>
      <c r="D147" s="859" t="s">
        <v>1186</v>
      </c>
      <c r="E147" s="839">
        <v>18000</v>
      </c>
      <c r="F147" s="846">
        <v>5</v>
      </c>
      <c r="G147" s="839">
        <v>90000</v>
      </c>
      <c r="H147" s="839">
        <v>18000000000</v>
      </c>
      <c r="I147" s="846" t="s">
        <v>1215</v>
      </c>
      <c r="J147" s="839" t="s">
        <v>879</v>
      </c>
      <c r="K147" s="860" t="s">
        <v>753</v>
      </c>
      <c r="L147" s="860">
        <v>0.1261891575471632</v>
      </c>
      <c r="M147" s="862">
        <f>+L147</f>
        <v>0.1261891575471632</v>
      </c>
      <c r="N147" s="686"/>
      <c r="O147" s="784"/>
    </row>
    <row r="148" spans="1:15" s="415" customFormat="1" ht="14.25">
      <c r="A148" s="829" t="s">
        <v>1187</v>
      </c>
      <c r="B148" s="831" t="s">
        <v>1395</v>
      </c>
      <c r="C148" s="831">
        <v>14002</v>
      </c>
      <c r="D148" s="836" t="s">
        <v>1194</v>
      </c>
      <c r="E148" s="834">
        <v>1100</v>
      </c>
      <c r="F148" s="831">
        <v>0</v>
      </c>
      <c r="G148" s="834">
        <v>0</v>
      </c>
      <c r="H148" s="834">
        <v>1100000000</v>
      </c>
      <c r="I148" s="831" t="s">
        <v>1216</v>
      </c>
      <c r="J148" s="834" t="s">
        <v>879</v>
      </c>
      <c r="K148" s="844" t="s">
        <v>753</v>
      </c>
      <c r="L148" s="854">
        <v>0.007711559627882196</v>
      </c>
      <c r="M148" s="850"/>
      <c r="N148" s="686"/>
      <c r="O148" s="784"/>
    </row>
    <row r="149" spans="1:15" s="415" customFormat="1" ht="14.25">
      <c r="A149" s="829" t="s">
        <v>1187</v>
      </c>
      <c r="B149" s="831" t="s">
        <v>1395</v>
      </c>
      <c r="C149" s="831">
        <v>14002</v>
      </c>
      <c r="D149" s="836" t="s">
        <v>1175</v>
      </c>
      <c r="E149" s="834">
        <v>2788</v>
      </c>
      <c r="F149" s="831">
        <v>0</v>
      </c>
      <c r="G149" s="834">
        <v>0</v>
      </c>
      <c r="H149" s="834">
        <v>2788000000</v>
      </c>
      <c r="I149" s="831" t="s">
        <v>1216</v>
      </c>
      <c r="J149" s="834" t="s">
        <v>1210</v>
      </c>
      <c r="K149" s="844" t="s">
        <v>753</v>
      </c>
      <c r="L149" s="854">
        <v>0.019545298402305056</v>
      </c>
      <c r="M149" s="850"/>
      <c r="N149" s="686"/>
      <c r="O149" s="784"/>
    </row>
    <row r="150" spans="1:15" s="415" customFormat="1" ht="14.25">
      <c r="A150" s="829" t="s">
        <v>1187</v>
      </c>
      <c r="B150" s="831" t="s">
        <v>1395</v>
      </c>
      <c r="C150" s="831">
        <v>14002</v>
      </c>
      <c r="D150" s="836" t="s">
        <v>1172</v>
      </c>
      <c r="E150" s="834">
        <v>812</v>
      </c>
      <c r="F150" s="831">
        <v>0</v>
      </c>
      <c r="G150" s="834">
        <v>0</v>
      </c>
      <c r="H150" s="834">
        <v>812000000</v>
      </c>
      <c r="I150" s="831" t="s">
        <v>1216</v>
      </c>
      <c r="J150" s="834" t="s">
        <v>1193</v>
      </c>
      <c r="K150" s="844" t="s">
        <v>753</v>
      </c>
      <c r="L150" s="854">
        <v>0.005692533107127584</v>
      </c>
      <c r="M150" s="850"/>
      <c r="N150" s="686"/>
      <c r="O150" s="784"/>
    </row>
    <row r="151" spans="1:15" s="415" customFormat="1" ht="14.25">
      <c r="A151" s="829" t="s">
        <v>1187</v>
      </c>
      <c r="B151" s="831" t="s">
        <v>1395</v>
      </c>
      <c r="C151" s="831">
        <v>14002</v>
      </c>
      <c r="D151" s="836" t="s">
        <v>1198</v>
      </c>
      <c r="E151" s="834">
        <v>10000</v>
      </c>
      <c r="F151" s="831">
        <v>0</v>
      </c>
      <c r="G151" s="834">
        <v>0</v>
      </c>
      <c r="H151" s="834">
        <v>10000000000</v>
      </c>
      <c r="I151" s="831" t="s">
        <v>1216</v>
      </c>
      <c r="J151" s="834" t="s">
        <v>1199</v>
      </c>
      <c r="K151" s="844" t="s">
        <v>753</v>
      </c>
      <c r="L151" s="854">
        <v>0.07010508752620177</v>
      </c>
      <c r="M151" s="861">
        <f>+L148+L149+L150+L151+L152+L153+L154+L155</f>
        <v>0.3135870670134532</v>
      </c>
      <c r="N151" s="686"/>
      <c r="O151" s="686"/>
    </row>
    <row r="152" spans="1:15" s="415" customFormat="1" ht="14.25">
      <c r="A152" s="829" t="s">
        <v>1187</v>
      </c>
      <c r="B152" s="831" t="s">
        <v>1395</v>
      </c>
      <c r="C152" s="831">
        <v>14002</v>
      </c>
      <c r="D152" s="836" t="s">
        <v>1191</v>
      </c>
      <c r="E152" s="834">
        <v>2700</v>
      </c>
      <c r="F152" s="831">
        <v>0</v>
      </c>
      <c r="G152" s="834">
        <v>0</v>
      </c>
      <c r="H152" s="834">
        <v>2700000000</v>
      </c>
      <c r="I152" s="831" t="s">
        <v>1216</v>
      </c>
      <c r="J152" s="834" t="s">
        <v>1192</v>
      </c>
      <c r="K152" s="844" t="s">
        <v>753</v>
      </c>
      <c r="L152" s="854">
        <v>0.01892837363207448</v>
      </c>
      <c r="M152" s="850"/>
      <c r="N152" s="686"/>
      <c r="O152" s="686"/>
    </row>
    <row r="153" spans="1:13" s="415" customFormat="1" ht="14.25">
      <c r="A153" s="829" t="s">
        <v>1187</v>
      </c>
      <c r="B153" s="831" t="s">
        <v>1395</v>
      </c>
      <c r="C153" s="831">
        <v>14002</v>
      </c>
      <c r="D153" s="836" t="s">
        <v>1174</v>
      </c>
      <c r="E153" s="834">
        <v>3120</v>
      </c>
      <c r="F153" s="831">
        <v>0</v>
      </c>
      <c r="G153" s="834">
        <v>0</v>
      </c>
      <c r="H153" s="834">
        <v>3120000000</v>
      </c>
      <c r="I153" s="831" t="s">
        <v>1216</v>
      </c>
      <c r="J153" s="834" t="s">
        <v>1209</v>
      </c>
      <c r="K153" s="844" t="s">
        <v>753</v>
      </c>
      <c r="L153" s="854">
        <v>0.021872787308174955</v>
      </c>
      <c r="M153" s="851"/>
    </row>
    <row r="154" spans="1:13" s="415" customFormat="1" ht="14.25">
      <c r="A154" s="829" t="s">
        <v>1187</v>
      </c>
      <c r="B154" s="831" t="s">
        <v>1395</v>
      </c>
      <c r="C154" s="831">
        <v>14002</v>
      </c>
      <c r="D154" s="836" t="s">
        <v>1200</v>
      </c>
      <c r="E154" s="834">
        <v>15000</v>
      </c>
      <c r="F154" s="831">
        <v>0</v>
      </c>
      <c r="G154" s="834">
        <v>0</v>
      </c>
      <c r="H154" s="834">
        <v>15000000000</v>
      </c>
      <c r="I154" s="831" t="s">
        <v>1216</v>
      </c>
      <c r="J154" s="834" t="s">
        <v>1201</v>
      </c>
      <c r="K154" s="844" t="s">
        <v>753</v>
      </c>
      <c r="L154" s="854">
        <v>0.10515763128930267</v>
      </c>
      <c r="M154" s="851"/>
    </row>
    <row r="155" spans="1:13" s="576" customFormat="1" ht="15" thickBot="1">
      <c r="A155" s="830" t="s">
        <v>1187</v>
      </c>
      <c r="B155" s="832" t="s">
        <v>1395</v>
      </c>
      <c r="C155" s="832">
        <v>14002</v>
      </c>
      <c r="D155" s="837" t="s">
        <v>1196</v>
      </c>
      <c r="E155" s="835">
        <v>9211</v>
      </c>
      <c r="F155" s="832">
        <v>0</v>
      </c>
      <c r="G155" s="835">
        <v>0</v>
      </c>
      <c r="H155" s="835">
        <v>9211000000</v>
      </c>
      <c r="I155" s="832" t="s">
        <v>1216</v>
      </c>
      <c r="J155" s="835" t="s">
        <v>1197</v>
      </c>
      <c r="K155" s="845" t="s">
        <v>753</v>
      </c>
      <c r="L155" s="856">
        <v>0.06457379612038446</v>
      </c>
      <c r="M155" s="852"/>
    </row>
    <row r="156" spans="1:8" s="576" customFormat="1" ht="14.25">
      <c r="A156" s="824"/>
      <c r="B156" s="715"/>
      <c r="C156" s="718"/>
      <c r="D156" s="24"/>
      <c r="E156" s="24"/>
      <c r="F156" s="24"/>
      <c r="G156" s="24"/>
      <c r="H156" s="563"/>
    </row>
    <row r="157" spans="1:8" s="576" customFormat="1" ht="13.5">
      <c r="A157" s="24"/>
      <c r="B157" s="24"/>
      <c r="C157" s="24"/>
      <c r="D157" s="24"/>
      <c r="E157" s="24"/>
      <c r="F157" s="24"/>
      <c r="G157" s="24"/>
      <c r="H157" s="563"/>
    </row>
    <row r="158" spans="1:8" s="576" customFormat="1" ht="13.5">
      <c r="A158" s="24"/>
      <c r="B158" s="24"/>
      <c r="C158" s="24"/>
      <c r="D158" s="24"/>
      <c r="E158" s="24"/>
      <c r="F158" s="24"/>
      <c r="G158" s="24"/>
      <c r="H158" s="563"/>
    </row>
    <row r="159" spans="1:8" s="576" customFormat="1" ht="13.5">
      <c r="A159" s="24"/>
      <c r="B159" s="24"/>
      <c r="C159" s="24"/>
      <c r="D159" s="24"/>
      <c r="E159" s="24"/>
      <c r="F159" s="24"/>
      <c r="G159" s="24"/>
      <c r="H159" s="563"/>
    </row>
    <row r="177" spans="1:8" s="576" customFormat="1" ht="13.5">
      <c r="A177" s="24"/>
      <c r="B177" s="24"/>
      <c r="C177" s="24"/>
      <c r="D177" s="24"/>
      <c r="E177" s="24"/>
      <c r="F177" s="24"/>
      <c r="G177" s="24"/>
      <c r="H177" s="563"/>
    </row>
    <row r="178" spans="1:8" s="576" customFormat="1" ht="13.5">
      <c r="A178" s="24"/>
      <c r="B178" s="24"/>
      <c r="C178" s="24"/>
      <c r="D178" s="24"/>
      <c r="E178" s="24"/>
      <c r="F178" s="24"/>
      <c r="G178" s="24"/>
      <c r="H178" s="563"/>
    </row>
    <row r="188" spans="1:8" s="576" customFormat="1" ht="13.5">
      <c r="A188" s="24"/>
      <c r="B188" s="24"/>
      <c r="C188" s="24"/>
      <c r="D188" s="24"/>
      <c r="E188" s="24"/>
      <c r="F188" s="24"/>
      <c r="G188" s="24"/>
      <c r="H188" s="563"/>
    </row>
    <row r="189" spans="1:8" s="576" customFormat="1" ht="13.5">
      <c r="A189" s="24"/>
      <c r="B189" s="24"/>
      <c r="C189" s="24"/>
      <c r="D189" s="24"/>
      <c r="E189" s="24"/>
      <c r="F189" s="24"/>
      <c r="G189" s="24"/>
      <c r="H189" s="563"/>
    </row>
    <row r="200" ht="24" customHeight="1"/>
    <row r="202" spans="1:8" s="414" customFormat="1" ht="13.5">
      <c r="A202" s="24"/>
      <c r="B202" s="24"/>
      <c r="C202" s="24"/>
      <c r="D202" s="24"/>
      <c r="E202" s="24"/>
      <c r="F202" s="24"/>
      <c r="G202" s="24"/>
      <c r="H202" s="563"/>
    </row>
  </sheetData>
  <sheetProtection/>
  <mergeCells count="15">
    <mergeCell ref="A63:E63"/>
    <mergeCell ref="I31:N32"/>
    <mergeCell ref="A30:E30"/>
    <mergeCell ref="A31:E31"/>
    <mergeCell ref="A32:E32"/>
    <mergeCell ref="A68:G68"/>
    <mergeCell ref="I13:N14"/>
    <mergeCell ref="I16:N26"/>
    <mergeCell ref="A8:E8"/>
    <mergeCell ref="F11:H11"/>
    <mergeCell ref="I28:N29"/>
    <mergeCell ref="A12:E12"/>
    <mergeCell ref="A19:D26"/>
    <mergeCell ref="A28:E28"/>
    <mergeCell ref="A29:E29"/>
  </mergeCells>
  <printOptions/>
  <pageMargins left="0.25" right="0.25" top="0.75" bottom="0.75" header="0.3" footer="0.3"/>
  <pageSetup fitToHeight="0" fitToWidth="1" horizontalDpi="1200" verticalDpi="1200" orientation="portrait" paperSize="5" scale="40" r:id="rId1"/>
</worksheet>
</file>

<file path=xl/worksheets/sheet7.xml><?xml version="1.0" encoding="utf-8"?>
<worksheet xmlns="http://schemas.openxmlformats.org/spreadsheetml/2006/main" xmlns:r="http://schemas.openxmlformats.org/officeDocument/2006/relationships">
  <dimension ref="A1:N115"/>
  <sheetViews>
    <sheetView showGridLines="0" zoomScalePageLayoutView="0" workbookViewId="0" topLeftCell="A10">
      <selection activeCell="A16" sqref="A16:I16"/>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31.7109375" style="2" customWidth="1"/>
    <col min="10" max="10" width="11.421875" style="2" customWidth="1"/>
    <col min="11" max="11" width="15.28125" style="2" bestFit="1" customWidth="1"/>
    <col min="12" max="16384" width="11.421875" style="2" customWidth="1"/>
  </cols>
  <sheetData>
    <row r="1" ht="15" customHeight="1">
      <c r="I1" s="132" t="s">
        <v>131</v>
      </c>
    </row>
    <row r="2" ht="15" customHeight="1"/>
    <row r="3" ht="15" customHeight="1"/>
    <row r="4" ht="15" customHeight="1"/>
    <row r="5" ht="15" customHeight="1"/>
    <row r="6" spans="1:9" s="29" customFormat="1" ht="15" customHeight="1">
      <c r="A6" s="950" t="s">
        <v>1</v>
      </c>
      <c r="B6" s="951"/>
      <c r="C6" s="951"/>
      <c r="D6" s="951"/>
      <c r="E6" s="951"/>
      <c r="F6" s="951"/>
      <c r="G6" s="951"/>
      <c r="H6" s="951"/>
      <c r="I6" s="952"/>
    </row>
    <row r="7" spans="1:11" s="29" customFormat="1" ht="26.25" customHeight="1">
      <c r="A7" s="959" t="s">
        <v>164</v>
      </c>
      <c r="B7" s="960"/>
      <c r="C7" s="960"/>
      <c r="D7" s="960"/>
      <c r="E7" s="960"/>
      <c r="F7" s="960"/>
      <c r="G7" s="960"/>
      <c r="H7" s="960"/>
      <c r="I7" s="961"/>
      <c r="J7" s="48"/>
      <c r="K7" s="48"/>
    </row>
    <row r="8" spans="1:9" s="29" customFormat="1" ht="15" customHeight="1">
      <c r="A8" s="85"/>
      <c r="B8" s="46"/>
      <c r="C8" s="46"/>
      <c r="D8" s="46"/>
      <c r="E8" s="46"/>
      <c r="F8" s="46"/>
      <c r="G8" s="46"/>
      <c r="H8" s="46"/>
      <c r="I8" s="86"/>
    </row>
    <row r="9" spans="1:9" s="29" customFormat="1" ht="15" customHeight="1">
      <c r="A9" s="85"/>
      <c r="B9" s="46"/>
      <c r="C9" s="46"/>
      <c r="D9" s="46"/>
      <c r="E9" s="46"/>
      <c r="F9" s="46"/>
      <c r="G9" s="46"/>
      <c r="H9" s="46"/>
      <c r="I9" s="86"/>
    </row>
    <row r="10" spans="1:11" s="29" customFormat="1" ht="15" customHeight="1">
      <c r="A10" s="947" t="s">
        <v>217</v>
      </c>
      <c r="B10" s="948"/>
      <c r="C10" s="948"/>
      <c r="D10" s="948"/>
      <c r="E10" s="948"/>
      <c r="F10" s="948"/>
      <c r="G10" s="948"/>
      <c r="H10" s="948"/>
      <c r="I10" s="949"/>
      <c r="J10" s="48"/>
      <c r="K10" s="48"/>
    </row>
    <row r="11" spans="1:9" s="49" customFormat="1" ht="55.5" customHeight="1">
      <c r="A11" s="923" t="s">
        <v>900</v>
      </c>
      <c r="B11" s="924"/>
      <c r="C11" s="924"/>
      <c r="D11" s="924"/>
      <c r="E11" s="924"/>
      <c r="F11" s="924"/>
      <c r="G11" s="924"/>
      <c r="H11" s="924"/>
      <c r="I11" s="925"/>
    </row>
    <row r="12" spans="1:9" s="49" customFormat="1" ht="48" customHeight="1">
      <c r="A12" s="953" t="s">
        <v>1402</v>
      </c>
      <c r="B12" s="954"/>
      <c r="C12" s="954"/>
      <c r="D12" s="954"/>
      <c r="E12" s="954"/>
      <c r="F12" s="954"/>
      <c r="G12" s="954"/>
      <c r="H12" s="954"/>
      <c r="I12" s="955"/>
    </row>
    <row r="13" spans="1:9" s="49" customFormat="1" ht="15" customHeight="1">
      <c r="A13" s="221"/>
      <c r="B13" s="222"/>
      <c r="C13" s="222"/>
      <c r="D13" s="222"/>
      <c r="E13" s="222"/>
      <c r="F13" s="222"/>
      <c r="G13" s="222"/>
      <c r="H13" s="222"/>
      <c r="I13" s="223"/>
    </row>
    <row r="14" spans="1:9" s="29" customFormat="1" ht="15" customHeight="1">
      <c r="A14" s="926"/>
      <c r="B14" s="927"/>
      <c r="C14" s="927"/>
      <c r="D14" s="927"/>
      <c r="E14" s="927"/>
      <c r="F14" s="927"/>
      <c r="G14" s="927"/>
      <c r="H14" s="927"/>
      <c r="I14" s="928"/>
    </row>
    <row r="15" spans="1:11" s="29" customFormat="1" ht="15" customHeight="1">
      <c r="A15" s="929" t="s">
        <v>103</v>
      </c>
      <c r="B15" s="930"/>
      <c r="C15" s="930"/>
      <c r="D15" s="930"/>
      <c r="E15" s="930"/>
      <c r="F15" s="930"/>
      <c r="G15" s="930"/>
      <c r="H15" s="930"/>
      <c r="I15" s="931"/>
      <c r="J15" s="48"/>
      <c r="K15" s="48"/>
    </row>
    <row r="16" spans="1:9" s="29" customFormat="1" ht="42.75" customHeight="1">
      <c r="A16" s="953" t="s">
        <v>165</v>
      </c>
      <c r="B16" s="954"/>
      <c r="C16" s="954"/>
      <c r="D16" s="954"/>
      <c r="E16" s="954"/>
      <c r="F16" s="954"/>
      <c r="G16" s="954"/>
      <c r="H16" s="954"/>
      <c r="I16" s="955"/>
    </row>
    <row r="17" spans="1:9" s="29" customFormat="1" ht="15" customHeight="1">
      <c r="A17" s="926"/>
      <c r="B17" s="927"/>
      <c r="C17" s="927"/>
      <c r="D17" s="927"/>
      <c r="E17" s="927"/>
      <c r="F17" s="927"/>
      <c r="G17" s="927"/>
      <c r="H17" s="927"/>
      <c r="I17" s="928"/>
    </row>
    <row r="18" spans="1:11" s="29" customFormat="1" ht="15" customHeight="1">
      <c r="A18" s="929" t="s">
        <v>104</v>
      </c>
      <c r="B18" s="930"/>
      <c r="C18" s="930"/>
      <c r="D18" s="930"/>
      <c r="E18" s="930"/>
      <c r="F18" s="930"/>
      <c r="G18" s="930"/>
      <c r="H18" s="930"/>
      <c r="I18" s="931"/>
      <c r="J18" s="48"/>
      <c r="K18" s="48"/>
    </row>
    <row r="19" spans="1:9" s="29" customFormat="1" ht="15" customHeight="1">
      <c r="A19" s="953" t="s">
        <v>378</v>
      </c>
      <c r="B19" s="954"/>
      <c r="C19" s="954"/>
      <c r="D19" s="954"/>
      <c r="E19" s="954"/>
      <c r="F19" s="954"/>
      <c r="G19" s="954"/>
      <c r="H19" s="954"/>
      <c r="I19" s="955"/>
    </row>
    <row r="20" spans="1:9" s="29" customFormat="1" ht="28.5" customHeight="1">
      <c r="A20" s="953" t="s">
        <v>166</v>
      </c>
      <c r="B20" s="954"/>
      <c r="C20" s="954"/>
      <c r="D20" s="954"/>
      <c r="E20" s="954"/>
      <c r="F20" s="954"/>
      <c r="G20" s="954"/>
      <c r="H20" s="954"/>
      <c r="I20" s="955"/>
    </row>
    <row r="21" spans="1:9" s="29" customFormat="1" ht="15" customHeight="1">
      <c r="A21" s="246"/>
      <c r="B21" s="247"/>
      <c r="C21" s="247"/>
      <c r="D21" s="247"/>
      <c r="E21" s="247"/>
      <c r="F21" s="247"/>
      <c r="G21" s="247"/>
      <c r="H21" s="247"/>
      <c r="I21" s="248"/>
    </row>
    <row r="22" spans="1:9" s="29" customFormat="1" ht="15" customHeight="1">
      <c r="A22" s="162"/>
      <c r="B22" s="160"/>
      <c r="C22" s="46"/>
      <c r="D22" s="46"/>
      <c r="E22" s="46"/>
      <c r="F22" s="46"/>
      <c r="G22" s="160"/>
      <c r="H22" s="46"/>
      <c r="I22" s="86"/>
    </row>
    <row r="23" spans="1:11" s="29" customFormat="1" ht="15" customHeight="1">
      <c r="A23" s="162"/>
      <c r="B23" s="356"/>
      <c r="C23" s="356">
        <f>_xlfn.IFERROR(IF(Indice!B6="","2XX2",YEAR(Indice!B6)),"2XX2")</f>
        <v>2022</v>
      </c>
      <c r="D23" s="356"/>
      <c r="E23" s="254"/>
      <c r="F23" s="356"/>
      <c r="G23" s="356">
        <f>_xlfn.IFERROR(YEAR(Indice!B6-365),"2XX1")</f>
        <v>2021</v>
      </c>
      <c r="H23" s="356"/>
      <c r="I23" s="256"/>
      <c r="J23" s="254"/>
      <c r="K23" s="114"/>
    </row>
    <row r="24" spans="1:9" s="29" customFormat="1" ht="15" customHeight="1">
      <c r="A24" s="162"/>
      <c r="B24" s="116" t="s">
        <v>106</v>
      </c>
      <c r="C24" s="184" t="s">
        <v>179</v>
      </c>
      <c r="D24" s="184" t="s">
        <v>180</v>
      </c>
      <c r="E24" s="46"/>
      <c r="F24" s="116" t="s">
        <v>106</v>
      </c>
      <c r="G24" s="184" t="s">
        <v>179</v>
      </c>
      <c r="H24" s="184" t="s">
        <v>180</v>
      </c>
      <c r="I24" s="86"/>
    </row>
    <row r="25" spans="1:11" s="29" customFormat="1" ht="15" customHeight="1">
      <c r="A25" s="162" t="s">
        <v>105</v>
      </c>
      <c r="B25" s="160"/>
      <c r="C25" s="160"/>
      <c r="D25" s="160"/>
      <c r="E25" s="160"/>
      <c r="F25" s="257"/>
      <c r="G25" s="160"/>
      <c r="H25" s="160"/>
      <c r="I25" s="163"/>
      <c r="J25" s="114"/>
      <c r="K25" s="120"/>
    </row>
    <row r="26" spans="1:11" s="29" customFormat="1" ht="15" customHeight="1">
      <c r="A26" s="162"/>
      <c r="B26" s="160"/>
      <c r="C26" s="160"/>
      <c r="D26" s="160"/>
      <c r="E26" s="160"/>
      <c r="F26" s="257"/>
      <c r="G26" s="160"/>
      <c r="H26" s="160"/>
      <c r="I26" s="163"/>
      <c r="J26" s="114"/>
      <c r="K26" s="120"/>
    </row>
    <row r="27" spans="1:11" s="29" customFormat="1" ht="15" customHeight="1">
      <c r="A27" s="162" t="s">
        <v>107</v>
      </c>
      <c r="B27" s="160"/>
      <c r="C27" s="160"/>
      <c r="D27" s="160"/>
      <c r="E27" s="160"/>
      <c r="F27" s="257"/>
      <c r="G27" s="160"/>
      <c r="H27" s="160"/>
      <c r="I27" s="163"/>
      <c r="J27" s="114"/>
      <c r="K27" s="120"/>
    </row>
    <row r="28" spans="1:9" s="29" customFormat="1" ht="15" customHeight="1">
      <c r="A28" s="162"/>
      <c r="B28" s="115"/>
      <c r="C28" s="115"/>
      <c r="D28" s="161"/>
      <c r="E28" s="46"/>
      <c r="F28" s="115"/>
      <c r="G28" s="115"/>
      <c r="H28" s="161"/>
      <c r="I28" s="86"/>
    </row>
    <row r="29" spans="1:9" s="29" customFormat="1" ht="15" customHeight="1">
      <c r="A29" s="258" t="s">
        <v>108</v>
      </c>
      <c r="B29" s="259"/>
      <c r="C29" s="259"/>
      <c r="D29" s="260">
        <f>F25-F27</f>
        <v>0</v>
      </c>
      <c r="E29" s="46"/>
      <c r="F29" s="259"/>
      <c r="G29" s="259"/>
      <c r="H29" s="260">
        <f>K25-K27</f>
        <v>0</v>
      </c>
      <c r="I29" s="86"/>
    </row>
    <row r="30" spans="1:11" s="29" customFormat="1" ht="15" customHeight="1">
      <c r="A30" s="162"/>
      <c r="B30" s="160"/>
      <c r="C30" s="160"/>
      <c r="D30" s="160"/>
      <c r="E30" s="160"/>
      <c r="F30" s="160"/>
      <c r="G30" s="160"/>
      <c r="H30" s="160"/>
      <c r="I30" s="163"/>
      <c r="J30" s="114"/>
      <c r="K30" s="114"/>
    </row>
    <row r="31" spans="1:11" s="29" customFormat="1" ht="15" customHeight="1">
      <c r="A31" s="162"/>
      <c r="B31" s="160"/>
      <c r="C31" s="160"/>
      <c r="D31" s="160"/>
      <c r="E31" s="160"/>
      <c r="F31" s="160"/>
      <c r="G31" s="160"/>
      <c r="H31" s="160"/>
      <c r="I31" s="163"/>
      <c r="J31" s="114"/>
      <c r="K31" s="114"/>
    </row>
    <row r="32" spans="1:11" s="29" customFormat="1" ht="33" customHeight="1">
      <c r="A32" s="923" t="s">
        <v>379</v>
      </c>
      <c r="B32" s="924"/>
      <c r="C32" s="924"/>
      <c r="D32" s="924"/>
      <c r="E32" s="924"/>
      <c r="F32" s="924"/>
      <c r="G32" s="924"/>
      <c r="H32" s="924"/>
      <c r="I32" s="925"/>
      <c r="J32" s="255"/>
      <c r="K32" s="114"/>
    </row>
    <row r="33" spans="1:9" s="29" customFormat="1" ht="15" customHeight="1">
      <c r="A33" s="246"/>
      <c r="B33" s="247"/>
      <c r="C33" s="247"/>
      <c r="D33" s="247"/>
      <c r="E33" s="247"/>
      <c r="F33" s="247"/>
      <c r="G33" s="247"/>
      <c r="H33" s="247"/>
      <c r="I33" s="248"/>
    </row>
    <row r="34" spans="1:11" s="29" customFormat="1" ht="15" customHeight="1">
      <c r="A34" s="929" t="s">
        <v>42</v>
      </c>
      <c r="B34" s="930"/>
      <c r="C34" s="930"/>
      <c r="D34" s="930"/>
      <c r="E34" s="930"/>
      <c r="F34" s="930"/>
      <c r="G34" s="930"/>
      <c r="H34" s="930"/>
      <c r="I34" s="931"/>
      <c r="J34" s="48"/>
      <c r="K34" s="48"/>
    </row>
    <row r="35" spans="1:9" s="29" customFormat="1" ht="28.5" customHeight="1">
      <c r="A35" s="923" t="s">
        <v>285</v>
      </c>
      <c r="B35" s="924"/>
      <c r="C35" s="924"/>
      <c r="D35" s="924"/>
      <c r="E35" s="924"/>
      <c r="F35" s="924"/>
      <c r="G35" s="924"/>
      <c r="H35" s="924"/>
      <c r="I35" s="925"/>
    </row>
    <row r="36" spans="1:9" s="29" customFormat="1" ht="15" customHeight="1">
      <c r="A36" s="215"/>
      <c r="B36" s="216"/>
      <c r="C36" s="216"/>
      <c r="D36" s="216"/>
      <c r="E36" s="216"/>
      <c r="F36" s="216"/>
      <c r="G36" s="216"/>
      <c r="H36" s="216"/>
      <c r="I36" s="217"/>
    </row>
    <row r="37" spans="1:9" s="29" customFormat="1" ht="15" customHeight="1">
      <c r="A37" s="926"/>
      <c r="B37" s="927"/>
      <c r="C37" s="927"/>
      <c r="D37" s="927"/>
      <c r="E37" s="927"/>
      <c r="F37" s="927"/>
      <c r="G37" s="927"/>
      <c r="H37" s="927"/>
      <c r="I37" s="928"/>
    </row>
    <row r="38" spans="1:11" s="29" customFormat="1" ht="15" customHeight="1">
      <c r="A38" s="947" t="s">
        <v>168</v>
      </c>
      <c r="B38" s="948"/>
      <c r="C38" s="948"/>
      <c r="D38" s="948"/>
      <c r="E38" s="948"/>
      <c r="F38" s="948"/>
      <c r="G38" s="948"/>
      <c r="H38" s="948"/>
      <c r="I38" s="949"/>
      <c r="J38" s="48"/>
      <c r="K38" s="48"/>
    </row>
    <row r="39" spans="1:11" s="29" customFormat="1" ht="122.25" customHeight="1">
      <c r="A39" s="923" t="s">
        <v>286</v>
      </c>
      <c r="B39" s="942"/>
      <c r="C39" s="942"/>
      <c r="D39" s="942"/>
      <c r="E39" s="942"/>
      <c r="F39" s="942"/>
      <c r="G39" s="942"/>
      <c r="H39" s="942"/>
      <c r="I39" s="943"/>
      <c r="J39" s="48"/>
      <c r="K39" s="48"/>
    </row>
    <row r="40" spans="1:11" s="29" customFormat="1" ht="27" customHeight="1">
      <c r="A40" s="956" t="s">
        <v>380</v>
      </c>
      <c r="B40" s="957"/>
      <c r="C40" s="957"/>
      <c r="D40" s="957"/>
      <c r="E40" s="957"/>
      <c r="F40" s="957"/>
      <c r="G40" s="957"/>
      <c r="H40" s="957"/>
      <c r="I40" s="958"/>
      <c r="J40" s="48"/>
      <c r="K40" s="48"/>
    </row>
    <row r="41" spans="1:11" s="68" customFormat="1" ht="15" customHeight="1">
      <c r="A41" s="155"/>
      <c r="B41" s="156"/>
      <c r="C41" s="156"/>
      <c r="D41" s="156"/>
      <c r="E41" s="156"/>
      <c r="F41" s="156"/>
      <c r="G41" s="156"/>
      <c r="H41" s="156"/>
      <c r="I41" s="157"/>
      <c r="J41" s="158"/>
      <c r="K41" s="158"/>
    </row>
    <row r="42" spans="1:9" s="29" customFormat="1" ht="15" customHeight="1">
      <c r="A42" s="926"/>
      <c r="B42" s="927"/>
      <c r="C42" s="927"/>
      <c r="D42" s="927"/>
      <c r="E42" s="927"/>
      <c r="F42" s="927"/>
      <c r="G42" s="927"/>
      <c r="H42" s="927"/>
      <c r="I42" s="928"/>
    </row>
    <row r="43" spans="1:11" s="29" customFormat="1" ht="15" customHeight="1">
      <c r="A43" s="929" t="s">
        <v>167</v>
      </c>
      <c r="B43" s="930"/>
      <c r="C43" s="930"/>
      <c r="D43" s="930"/>
      <c r="E43" s="930"/>
      <c r="F43" s="930"/>
      <c r="G43" s="930"/>
      <c r="H43" s="930"/>
      <c r="I43" s="931"/>
      <c r="J43" s="48"/>
      <c r="K43" s="48"/>
    </row>
    <row r="44" spans="1:9" s="29" customFormat="1" ht="43.5" customHeight="1">
      <c r="A44" s="944" t="s">
        <v>287</v>
      </c>
      <c r="B44" s="945"/>
      <c r="C44" s="945"/>
      <c r="D44" s="945"/>
      <c r="E44" s="945"/>
      <c r="F44" s="945"/>
      <c r="G44" s="945"/>
      <c r="H44" s="945"/>
      <c r="I44" s="946"/>
    </row>
    <row r="45" spans="1:9" s="29" customFormat="1" ht="21" customHeight="1">
      <c r="A45" s="944" t="s">
        <v>1119</v>
      </c>
      <c r="B45" s="945"/>
      <c r="C45" s="945"/>
      <c r="D45" s="945"/>
      <c r="E45" s="945"/>
      <c r="F45" s="945"/>
      <c r="G45" s="945"/>
      <c r="H45" s="945"/>
      <c r="I45" s="946"/>
    </row>
    <row r="46" spans="1:9" s="29" customFormat="1" ht="28.5" customHeight="1">
      <c r="A46" s="577"/>
      <c r="B46" s="577"/>
      <c r="C46" s="577"/>
      <c r="D46" s="577"/>
      <c r="E46" s="577"/>
      <c r="F46" s="577"/>
      <c r="G46" s="577"/>
      <c r="H46" s="577"/>
      <c r="I46" s="578"/>
    </row>
    <row r="47" spans="1:9" s="29" customFormat="1" ht="43.5" customHeight="1">
      <c r="A47" s="577"/>
      <c r="B47" s="577"/>
      <c r="C47" s="577"/>
      <c r="D47" s="577"/>
      <c r="E47" s="577"/>
      <c r="F47" s="577"/>
      <c r="G47" s="577"/>
      <c r="H47" s="577"/>
      <c r="I47" s="578"/>
    </row>
    <row r="48" spans="1:11" s="29" customFormat="1" ht="43.5" customHeight="1">
      <c r="A48" s="577"/>
      <c r="B48" s="577"/>
      <c r="C48" s="577"/>
      <c r="D48" s="577"/>
      <c r="E48" s="577"/>
      <c r="F48" s="577"/>
      <c r="G48" s="577"/>
      <c r="H48" s="577"/>
      <c r="I48" s="578"/>
      <c r="K48" s="640"/>
    </row>
    <row r="49" spans="1:11" s="29" customFormat="1" ht="15.75" customHeight="1">
      <c r="A49" s="577"/>
      <c r="B49" s="577"/>
      <c r="C49" s="577"/>
      <c r="D49" s="577"/>
      <c r="E49" s="577"/>
      <c r="F49" s="577"/>
      <c r="G49" s="577"/>
      <c r="H49" s="577"/>
      <c r="I49" s="578"/>
      <c r="K49" s="630"/>
    </row>
    <row r="50" spans="1:9" s="29" customFormat="1" ht="14.25" customHeight="1">
      <c r="A50" s="944" t="s">
        <v>1357</v>
      </c>
      <c r="B50" s="945"/>
      <c r="C50" s="945"/>
      <c r="D50" s="945"/>
      <c r="E50" s="945"/>
      <c r="F50" s="945"/>
      <c r="G50" s="945"/>
      <c r="H50" s="945"/>
      <c r="I50" s="946"/>
    </row>
    <row r="51" spans="1:9" s="29" customFormat="1" ht="15" customHeight="1">
      <c r="A51" s="944" t="s">
        <v>1403</v>
      </c>
      <c r="B51" s="945"/>
      <c r="C51" s="945"/>
      <c r="D51" s="945"/>
      <c r="E51" s="945"/>
      <c r="F51" s="945"/>
      <c r="G51" s="945"/>
      <c r="H51" s="945"/>
      <c r="I51" s="946"/>
    </row>
    <row r="52" spans="1:11" s="29" customFormat="1" ht="15" customHeight="1">
      <c r="A52" s="944"/>
      <c r="B52" s="945"/>
      <c r="C52" s="945"/>
      <c r="D52" s="945"/>
      <c r="E52" s="945"/>
      <c r="F52" s="945"/>
      <c r="G52" s="945"/>
      <c r="H52" s="945"/>
      <c r="I52" s="946"/>
      <c r="K52" s="630"/>
    </row>
    <row r="53" spans="1:11" s="29" customFormat="1" ht="15" customHeight="1">
      <c r="A53" s="929" t="s">
        <v>901</v>
      </c>
      <c r="B53" s="930"/>
      <c r="C53" s="930"/>
      <c r="D53" s="930"/>
      <c r="E53" s="930"/>
      <c r="F53" s="930"/>
      <c r="G53" s="930"/>
      <c r="H53" s="930"/>
      <c r="I53" s="931"/>
      <c r="J53" s="48"/>
      <c r="K53" s="48"/>
    </row>
    <row r="54" spans="1:11" s="29" customFormat="1" ht="40.5" customHeight="1">
      <c r="A54" s="944" t="s">
        <v>961</v>
      </c>
      <c r="B54" s="945"/>
      <c r="C54" s="945"/>
      <c r="D54" s="945"/>
      <c r="E54" s="945"/>
      <c r="F54" s="945"/>
      <c r="G54" s="945"/>
      <c r="H54" s="945"/>
      <c r="I54" s="946"/>
      <c r="J54" s="48"/>
      <c r="K54" s="48"/>
    </row>
    <row r="55" spans="1:9" s="29" customFormat="1" ht="15" customHeight="1">
      <c r="A55" s="85"/>
      <c r="B55" s="46"/>
      <c r="C55" s="46"/>
      <c r="D55" s="46"/>
      <c r="E55" s="46"/>
      <c r="F55" s="46"/>
      <c r="G55" s="46"/>
      <c r="H55" s="46"/>
      <c r="I55" s="86"/>
    </row>
    <row r="56" spans="1:9" s="29" customFormat="1" ht="15" customHeight="1">
      <c r="A56" s="218"/>
      <c r="B56" s="219"/>
      <c r="C56" s="219"/>
      <c r="D56" s="219"/>
      <c r="E56" s="219"/>
      <c r="F56" s="219"/>
      <c r="G56" s="219"/>
      <c r="H56" s="219"/>
      <c r="I56" s="220"/>
    </row>
    <row r="57" spans="1:11" s="29" customFormat="1" ht="15" customHeight="1">
      <c r="A57" s="929" t="s">
        <v>902</v>
      </c>
      <c r="B57" s="930"/>
      <c r="C57" s="930"/>
      <c r="D57" s="930"/>
      <c r="E57" s="930"/>
      <c r="F57" s="930"/>
      <c r="G57" s="930"/>
      <c r="H57" s="930"/>
      <c r="I57" s="931"/>
      <c r="J57" s="48"/>
      <c r="K57" s="48"/>
    </row>
    <row r="58" spans="1:9" s="29" customFormat="1" ht="27" customHeight="1">
      <c r="A58" s="923" t="s">
        <v>169</v>
      </c>
      <c r="B58" s="924"/>
      <c r="C58" s="924"/>
      <c r="D58" s="924"/>
      <c r="E58" s="924"/>
      <c r="F58" s="924"/>
      <c r="G58" s="924"/>
      <c r="H58" s="924"/>
      <c r="I58" s="925"/>
    </row>
    <row r="59" spans="1:9" s="29" customFormat="1" ht="15" customHeight="1">
      <c r="A59" s="227"/>
      <c r="B59" s="228"/>
      <c r="C59" s="228"/>
      <c r="D59" s="228"/>
      <c r="E59" s="228"/>
      <c r="F59" s="228"/>
      <c r="G59" s="228"/>
      <c r="H59" s="228"/>
      <c r="I59" s="229"/>
    </row>
    <row r="60" spans="1:9" s="29" customFormat="1" ht="15" customHeight="1">
      <c r="A60" s="85"/>
      <c r="B60" s="46"/>
      <c r="C60" s="46"/>
      <c r="D60" s="46"/>
      <c r="E60" s="46"/>
      <c r="F60" s="46"/>
      <c r="G60" s="46"/>
      <c r="H60" s="46"/>
      <c r="I60" s="86"/>
    </row>
    <row r="61" spans="1:11" s="29" customFormat="1" ht="15" customHeight="1">
      <c r="A61" s="929" t="s">
        <v>903</v>
      </c>
      <c r="B61" s="930"/>
      <c r="C61" s="930"/>
      <c r="D61" s="930"/>
      <c r="E61" s="930"/>
      <c r="F61" s="930"/>
      <c r="G61" s="930"/>
      <c r="H61" s="930"/>
      <c r="I61" s="931"/>
      <c r="J61" s="922"/>
      <c r="K61" s="922"/>
    </row>
    <row r="62" spans="1:11" s="29" customFormat="1" ht="30" customHeight="1">
      <c r="A62" s="923" t="s">
        <v>170</v>
      </c>
      <c r="B62" s="924"/>
      <c r="C62" s="924"/>
      <c r="D62" s="924"/>
      <c r="E62" s="924"/>
      <c r="F62" s="924"/>
      <c r="G62" s="924"/>
      <c r="H62" s="924"/>
      <c r="I62" s="925"/>
      <c r="J62" s="922"/>
      <c r="K62" s="922"/>
    </row>
    <row r="63" spans="1:11" s="29" customFormat="1" ht="15" customHeight="1">
      <c r="A63" s="926"/>
      <c r="B63" s="927"/>
      <c r="C63" s="927"/>
      <c r="D63" s="927"/>
      <c r="E63" s="927"/>
      <c r="F63" s="927"/>
      <c r="G63" s="927"/>
      <c r="H63" s="927"/>
      <c r="I63" s="928"/>
      <c r="J63" s="922"/>
      <c r="K63" s="922"/>
    </row>
    <row r="64" spans="1:11" s="29" customFormat="1" ht="15" customHeight="1">
      <c r="A64" s="929" t="s">
        <v>904</v>
      </c>
      <c r="B64" s="930"/>
      <c r="C64" s="930"/>
      <c r="D64" s="930"/>
      <c r="E64" s="930"/>
      <c r="F64" s="930"/>
      <c r="G64" s="930"/>
      <c r="H64" s="930"/>
      <c r="I64" s="931"/>
      <c r="J64" s="922"/>
      <c r="K64" s="922"/>
    </row>
    <row r="65" spans="1:11" s="29" customFormat="1" ht="22.5" customHeight="1">
      <c r="A65" s="923" t="s">
        <v>1160</v>
      </c>
      <c r="B65" s="924"/>
      <c r="C65" s="924"/>
      <c r="D65" s="924"/>
      <c r="E65" s="924"/>
      <c r="F65" s="924"/>
      <c r="G65" s="924"/>
      <c r="H65" s="924"/>
      <c r="I65" s="925"/>
      <c r="J65" s="922"/>
      <c r="K65" s="922"/>
    </row>
    <row r="66" spans="1:11" s="29" customFormat="1" ht="25.5" customHeight="1">
      <c r="A66" s="923" t="s">
        <v>171</v>
      </c>
      <c r="B66" s="924"/>
      <c r="C66" s="924"/>
      <c r="D66" s="924"/>
      <c r="E66" s="924"/>
      <c r="F66" s="924"/>
      <c r="G66" s="924"/>
      <c r="H66" s="924"/>
      <c r="I66" s="925"/>
      <c r="J66" s="922"/>
      <c r="K66" s="922"/>
    </row>
    <row r="67" spans="1:11" s="29" customFormat="1" ht="24" customHeight="1">
      <c r="A67" s="923" t="s">
        <v>1120</v>
      </c>
      <c r="B67" s="924"/>
      <c r="C67" s="924"/>
      <c r="D67" s="924"/>
      <c r="E67" s="924"/>
      <c r="F67" s="924"/>
      <c r="G67" s="924"/>
      <c r="H67" s="924"/>
      <c r="I67" s="925"/>
      <c r="J67" s="154"/>
      <c r="K67" s="154"/>
    </row>
    <row r="68" spans="1:11" s="29" customFormat="1" ht="24.75" customHeight="1">
      <c r="A68" s="923" t="s">
        <v>1121</v>
      </c>
      <c r="B68" s="924"/>
      <c r="C68" s="924"/>
      <c r="D68" s="924"/>
      <c r="E68" s="924"/>
      <c r="F68" s="924"/>
      <c r="G68" s="924"/>
      <c r="H68" s="924"/>
      <c r="I68" s="925"/>
      <c r="J68" s="154"/>
      <c r="K68" s="154"/>
    </row>
    <row r="69" spans="1:11" s="29" customFormat="1" ht="15" customHeight="1">
      <c r="A69" s="227"/>
      <c r="B69" s="228"/>
      <c r="C69" s="228"/>
      <c r="D69" s="228"/>
      <c r="E69" s="228"/>
      <c r="F69" s="228"/>
      <c r="G69" s="228"/>
      <c r="H69" s="228"/>
      <c r="I69" s="229"/>
      <c r="J69" s="154"/>
      <c r="K69" s="154"/>
    </row>
    <row r="70" spans="1:11" s="29" customFormat="1" ht="15" customHeight="1">
      <c r="A70" s="926"/>
      <c r="B70" s="927"/>
      <c r="C70" s="927"/>
      <c r="D70" s="927"/>
      <c r="E70" s="927"/>
      <c r="F70" s="927"/>
      <c r="G70" s="927"/>
      <c r="H70" s="927"/>
      <c r="I70" s="928"/>
      <c r="J70" s="922"/>
      <c r="K70" s="922"/>
    </row>
    <row r="71" spans="1:11" s="29" customFormat="1" ht="15" customHeight="1">
      <c r="A71" s="929" t="s">
        <v>905</v>
      </c>
      <c r="B71" s="930"/>
      <c r="C71" s="930"/>
      <c r="D71" s="930"/>
      <c r="E71" s="930"/>
      <c r="F71" s="930"/>
      <c r="G71" s="930"/>
      <c r="H71" s="930"/>
      <c r="I71" s="931"/>
      <c r="J71" s="922"/>
      <c r="K71" s="922"/>
    </row>
    <row r="72" spans="1:11" s="49" customFormat="1" ht="15" customHeight="1">
      <c r="A72" s="923" t="s">
        <v>172</v>
      </c>
      <c r="B72" s="924"/>
      <c r="C72" s="924"/>
      <c r="D72" s="924"/>
      <c r="E72" s="924"/>
      <c r="F72" s="924"/>
      <c r="G72" s="924"/>
      <c r="H72" s="924"/>
      <c r="I72" s="925"/>
      <c r="J72" s="932"/>
      <c r="K72" s="932"/>
    </row>
    <row r="73" spans="1:11" s="49" customFormat="1" ht="24.75" customHeight="1">
      <c r="A73" s="923" t="s">
        <v>1122</v>
      </c>
      <c r="B73" s="924"/>
      <c r="C73" s="924"/>
      <c r="D73" s="924"/>
      <c r="E73" s="924"/>
      <c r="F73" s="924"/>
      <c r="G73" s="924"/>
      <c r="H73" s="924"/>
      <c r="I73" s="925"/>
      <c r="J73" s="932"/>
      <c r="K73" s="932"/>
    </row>
    <row r="74" spans="1:11" s="49" customFormat="1" ht="15" customHeight="1">
      <c r="A74" s="923" t="s">
        <v>173</v>
      </c>
      <c r="B74" s="924"/>
      <c r="C74" s="924"/>
      <c r="D74" s="924"/>
      <c r="E74" s="924"/>
      <c r="F74" s="924"/>
      <c r="G74" s="924"/>
      <c r="H74" s="924"/>
      <c r="I74" s="925"/>
      <c r="J74" s="932"/>
      <c r="K74" s="932"/>
    </row>
    <row r="75" spans="1:11" s="29" customFormat="1" ht="15" customHeight="1">
      <c r="A75" s="227"/>
      <c r="B75" s="228"/>
      <c r="C75" s="228"/>
      <c r="D75" s="228"/>
      <c r="E75" s="228"/>
      <c r="F75" s="228"/>
      <c r="G75" s="228"/>
      <c r="H75" s="228"/>
      <c r="I75" s="229"/>
      <c r="J75" s="182"/>
      <c r="K75" s="182"/>
    </row>
    <row r="76" spans="1:11" s="29" customFormat="1" ht="15" customHeight="1">
      <c r="A76" s="926"/>
      <c r="B76" s="927"/>
      <c r="C76" s="927"/>
      <c r="D76" s="927"/>
      <c r="E76" s="927"/>
      <c r="F76" s="927"/>
      <c r="G76" s="927"/>
      <c r="H76" s="927"/>
      <c r="I76" s="928"/>
      <c r="J76" s="922"/>
      <c r="K76" s="922"/>
    </row>
    <row r="77" spans="1:11" s="29" customFormat="1" ht="15" customHeight="1">
      <c r="A77" s="929" t="s">
        <v>906</v>
      </c>
      <c r="B77" s="930"/>
      <c r="C77" s="930"/>
      <c r="D77" s="930"/>
      <c r="E77" s="930"/>
      <c r="F77" s="930"/>
      <c r="G77" s="930"/>
      <c r="H77" s="930"/>
      <c r="I77" s="931"/>
      <c r="J77" s="922"/>
      <c r="K77" s="922"/>
    </row>
    <row r="78" spans="1:11" s="49" customFormat="1" ht="25.5" customHeight="1">
      <c r="A78" s="923" t="s">
        <v>961</v>
      </c>
      <c r="B78" s="924"/>
      <c r="C78" s="924"/>
      <c r="D78" s="924"/>
      <c r="E78" s="924"/>
      <c r="F78" s="924"/>
      <c r="G78" s="924"/>
      <c r="H78" s="924"/>
      <c r="I78" s="925"/>
      <c r="J78" s="183"/>
      <c r="K78" s="183"/>
    </row>
    <row r="79" spans="1:11" s="29" customFormat="1" ht="15" customHeight="1">
      <c r="A79" s="85"/>
      <c r="B79" s="46"/>
      <c r="C79" s="46"/>
      <c r="D79" s="46"/>
      <c r="E79" s="46"/>
      <c r="F79" s="46"/>
      <c r="G79" s="46"/>
      <c r="H79" s="46"/>
      <c r="I79" s="86"/>
      <c r="J79" s="154"/>
      <c r="K79" s="154"/>
    </row>
    <row r="80" spans="1:11" s="22" customFormat="1" ht="15" customHeight="1">
      <c r="A80" s="224"/>
      <c r="B80" s="225"/>
      <c r="C80" s="225"/>
      <c r="D80" s="225"/>
      <c r="E80" s="225"/>
      <c r="F80" s="225"/>
      <c r="G80" s="225"/>
      <c r="H80" s="225"/>
      <c r="I80" s="226"/>
      <c r="J80" s="159"/>
      <c r="K80" s="159"/>
    </row>
    <row r="81" spans="1:11" s="22" customFormat="1" ht="15" customHeight="1">
      <c r="A81" s="929" t="s">
        <v>907</v>
      </c>
      <c r="B81" s="930"/>
      <c r="C81" s="930"/>
      <c r="D81" s="930"/>
      <c r="E81" s="930"/>
      <c r="F81" s="930"/>
      <c r="G81" s="930"/>
      <c r="H81" s="930"/>
      <c r="I81" s="931"/>
      <c r="J81" s="159"/>
      <c r="K81" s="159"/>
    </row>
    <row r="82" spans="1:11" s="22" customFormat="1" ht="15" customHeight="1">
      <c r="A82" s="923" t="s">
        <v>174</v>
      </c>
      <c r="B82" s="924"/>
      <c r="C82" s="924"/>
      <c r="D82" s="924"/>
      <c r="E82" s="924"/>
      <c r="F82" s="924"/>
      <c r="G82" s="924"/>
      <c r="H82" s="924"/>
      <c r="I82" s="925"/>
      <c r="J82" s="159"/>
      <c r="K82" s="159"/>
    </row>
    <row r="83" spans="1:11" s="29" customFormat="1" ht="15" customHeight="1">
      <c r="A83" s="85"/>
      <c r="B83" s="46"/>
      <c r="C83" s="46"/>
      <c r="D83" s="46"/>
      <c r="E83" s="46"/>
      <c r="F83" s="46"/>
      <c r="G83" s="46"/>
      <c r="H83" s="46"/>
      <c r="I83" s="86"/>
      <c r="J83" s="922"/>
      <c r="K83" s="922"/>
    </row>
    <row r="84" spans="1:11" s="29" customFormat="1" ht="15" customHeight="1">
      <c r="A84" s="227"/>
      <c r="B84" s="228"/>
      <c r="C84" s="228"/>
      <c r="D84" s="228"/>
      <c r="E84" s="228"/>
      <c r="F84" s="228"/>
      <c r="G84" s="228"/>
      <c r="H84" s="228"/>
      <c r="I84" s="229"/>
      <c r="J84" s="154"/>
      <c r="K84" s="154"/>
    </row>
    <row r="85" spans="1:11" s="29" customFormat="1" ht="15" customHeight="1">
      <c r="A85" s="929" t="s">
        <v>908</v>
      </c>
      <c r="B85" s="930"/>
      <c r="C85" s="930"/>
      <c r="D85" s="930"/>
      <c r="E85" s="930"/>
      <c r="F85" s="930"/>
      <c r="G85" s="930"/>
      <c r="H85" s="930"/>
      <c r="I85" s="931"/>
      <c r="J85" s="922"/>
      <c r="K85" s="922"/>
    </row>
    <row r="86" spans="1:11" s="29" customFormat="1" ht="36.75" customHeight="1">
      <c r="A86" s="923" t="s">
        <v>175</v>
      </c>
      <c r="B86" s="924"/>
      <c r="C86" s="924"/>
      <c r="D86" s="924"/>
      <c r="E86" s="924"/>
      <c r="F86" s="924"/>
      <c r="G86" s="924"/>
      <c r="H86" s="924"/>
      <c r="I86" s="925"/>
      <c r="J86" s="154"/>
      <c r="K86" s="154"/>
    </row>
    <row r="87" spans="1:11" s="29" customFormat="1" ht="15" customHeight="1">
      <c r="A87" s="246"/>
      <c r="B87" s="247"/>
      <c r="C87" s="247"/>
      <c r="D87" s="247"/>
      <c r="E87" s="247"/>
      <c r="F87" s="247"/>
      <c r="G87" s="247"/>
      <c r="H87" s="247"/>
      <c r="I87" s="248"/>
      <c r="J87" s="245"/>
      <c r="K87" s="245"/>
    </row>
    <row r="88" spans="1:11" s="29" customFormat="1" ht="15" customHeight="1">
      <c r="A88" s="939" t="s">
        <v>909</v>
      </c>
      <c r="B88" s="940"/>
      <c r="C88" s="940"/>
      <c r="D88" s="940"/>
      <c r="E88" s="940"/>
      <c r="F88" s="940"/>
      <c r="G88" s="940"/>
      <c r="H88" s="940"/>
      <c r="I88" s="941"/>
      <c r="J88" s="47"/>
      <c r="K88" s="47"/>
    </row>
    <row r="89" spans="1:11" s="29" customFormat="1" ht="15" customHeight="1">
      <c r="A89" s="923" t="s">
        <v>181</v>
      </c>
      <c r="B89" s="924"/>
      <c r="C89" s="924"/>
      <c r="D89" s="924"/>
      <c r="E89" s="924"/>
      <c r="F89" s="924"/>
      <c r="G89" s="924"/>
      <c r="H89" s="924"/>
      <c r="I89" s="925"/>
      <c r="J89" s="261"/>
      <c r="K89" s="261"/>
    </row>
    <row r="90" spans="1:11" s="29" customFormat="1" ht="15" customHeight="1">
      <c r="A90" s="249"/>
      <c r="B90" s="250"/>
      <c r="C90" s="250"/>
      <c r="D90" s="250"/>
      <c r="E90" s="250"/>
      <c r="F90" s="250"/>
      <c r="G90" s="250"/>
      <c r="H90" s="250"/>
      <c r="I90" s="251"/>
      <c r="J90" s="154"/>
      <c r="K90" s="154"/>
    </row>
    <row r="91" spans="1:11" s="29" customFormat="1" ht="15" customHeight="1">
      <c r="A91" s="929" t="s">
        <v>910</v>
      </c>
      <c r="B91" s="930"/>
      <c r="C91" s="930"/>
      <c r="D91" s="930"/>
      <c r="E91" s="930"/>
      <c r="F91" s="930"/>
      <c r="G91" s="930"/>
      <c r="H91" s="930"/>
      <c r="I91" s="931"/>
      <c r="J91" s="154"/>
      <c r="K91" s="154"/>
    </row>
    <row r="92" spans="1:11" s="49" customFormat="1" ht="36" customHeight="1">
      <c r="A92" s="923" t="s">
        <v>176</v>
      </c>
      <c r="B92" s="924"/>
      <c r="C92" s="924"/>
      <c r="D92" s="924"/>
      <c r="E92" s="924"/>
      <c r="F92" s="924"/>
      <c r="G92" s="924"/>
      <c r="H92" s="924"/>
      <c r="I92" s="925"/>
      <c r="J92" s="183"/>
      <c r="K92" s="183"/>
    </row>
    <row r="93" spans="1:11" s="49" customFormat="1" ht="23.25" customHeight="1">
      <c r="A93" s="923" t="s">
        <v>177</v>
      </c>
      <c r="B93" s="924"/>
      <c r="C93" s="924"/>
      <c r="D93" s="924"/>
      <c r="E93" s="924"/>
      <c r="F93" s="924"/>
      <c r="G93" s="924"/>
      <c r="H93" s="924"/>
      <c r="I93" s="925"/>
      <c r="J93" s="183"/>
      <c r="K93" s="183"/>
    </row>
    <row r="94" spans="1:11" s="29" customFormat="1" ht="15" customHeight="1">
      <c r="A94" s="85"/>
      <c r="B94" s="46"/>
      <c r="C94" s="46"/>
      <c r="D94" s="46"/>
      <c r="E94" s="46"/>
      <c r="F94" s="46"/>
      <c r="G94" s="46"/>
      <c r="H94" s="46"/>
      <c r="I94" s="86"/>
      <c r="J94" s="182"/>
      <c r="K94" s="182"/>
    </row>
    <row r="95" spans="1:11" s="29" customFormat="1" ht="15" customHeight="1">
      <c r="A95" s="929" t="s">
        <v>911</v>
      </c>
      <c r="B95" s="930"/>
      <c r="C95" s="930"/>
      <c r="D95" s="930"/>
      <c r="E95" s="930"/>
      <c r="F95" s="930"/>
      <c r="G95" s="930"/>
      <c r="H95" s="930"/>
      <c r="I95" s="931"/>
      <c r="J95" s="154"/>
      <c r="K95" s="154"/>
    </row>
    <row r="96" spans="1:11" s="29" customFormat="1" ht="25.5" customHeight="1">
      <c r="A96" s="923" t="s">
        <v>178</v>
      </c>
      <c r="B96" s="924"/>
      <c r="C96" s="924"/>
      <c r="D96" s="924"/>
      <c r="E96" s="924"/>
      <c r="F96" s="924"/>
      <c r="G96" s="924"/>
      <c r="H96" s="924"/>
      <c r="I96" s="925"/>
      <c r="J96" s="154"/>
      <c r="K96" s="154"/>
    </row>
    <row r="97" spans="1:11" s="29" customFormat="1" ht="29.25" customHeight="1">
      <c r="A97" s="937" t="s">
        <v>407</v>
      </c>
      <c r="B97" s="937"/>
      <c r="C97" s="937"/>
      <c r="D97" s="937"/>
      <c r="E97" s="937"/>
      <c r="F97" s="937"/>
      <c r="G97" s="937"/>
      <c r="H97" s="937"/>
      <c r="I97" s="938"/>
      <c r="J97" s="154"/>
      <c r="K97" s="154"/>
    </row>
    <row r="98" spans="1:9" s="22" customFormat="1" ht="15" customHeight="1">
      <c r="A98" s="934"/>
      <c r="B98" s="935"/>
      <c r="C98" s="935"/>
      <c r="D98" s="935"/>
      <c r="E98" s="935"/>
      <c r="F98" s="935"/>
      <c r="G98" s="935"/>
      <c r="H98" s="935"/>
      <c r="I98" s="936"/>
    </row>
    <row r="99" s="29" customFormat="1" ht="15" customHeight="1"/>
    <row r="100" s="29" customFormat="1" ht="15" customHeight="1"/>
    <row r="101" s="29" customFormat="1" ht="15" customHeight="1">
      <c r="A101" s="263"/>
    </row>
    <row r="102" s="29" customFormat="1" ht="15" customHeight="1"/>
    <row r="103" s="29" customFormat="1" ht="15" customHeight="1"/>
    <row r="104" ht="15" customHeight="1"/>
    <row r="105" ht="15" customHeight="1"/>
    <row r="106" ht="15" customHeight="1"/>
    <row r="107" ht="15" customHeight="1"/>
    <row r="108" ht="15" customHeight="1"/>
    <row r="109" ht="15" customHeight="1"/>
    <row r="110" ht="15" customHeight="1"/>
    <row r="111" ht="15" customHeight="1"/>
    <row r="115" spans="6:14" ht="12.75">
      <c r="F115" s="933"/>
      <c r="G115" s="933"/>
      <c r="H115" s="933"/>
      <c r="I115" s="933"/>
      <c r="J115" s="933"/>
      <c r="K115" s="933"/>
      <c r="L115" s="933"/>
      <c r="M115" s="933"/>
      <c r="N115" s="933"/>
    </row>
  </sheetData>
  <sheetProtection/>
  <mergeCells count="75">
    <mergeCell ref="A32:I32"/>
    <mergeCell ref="A7:I7"/>
    <mergeCell ref="A15:I15"/>
    <mergeCell ref="A11:I11"/>
    <mergeCell ref="A12:I12"/>
    <mergeCell ref="A10:I10"/>
    <mergeCell ref="A14:I14"/>
    <mergeCell ref="A17:I17"/>
    <mergeCell ref="A18:I18"/>
    <mergeCell ref="A38:I38"/>
    <mergeCell ref="A34:I34"/>
    <mergeCell ref="A42:I42"/>
    <mergeCell ref="A6:I6"/>
    <mergeCell ref="A67:I67"/>
    <mergeCell ref="A16:I16"/>
    <mergeCell ref="A20:I20"/>
    <mergeCell ref="A19:I19"/>
    <mergeCell ref="A53:I53"/>
    <mergeCell ref="A40:I40"/>
    <mergeCell ref="A35:I35"/>
    <mergeCell ref="A39:I39"/>
    <mergeCell ref="A44:I44"/>
    <mergeCell ref="A43:I43"/>
    <mergeCell ref="A54:I54"/>
    <mergeCell ref="A45:I45"/>
    <mergeCell ref="A50:I50"/>
    <mergeCell ref="A51:I51"/>
    <mergeCell ref="A52:I52"/>
    <mergeCell ref="A37:I37"/>
    <mergeCell ref="A57:I57"/>
    <mergeCell ref="A86:I86"/>
    <mergeCell ref="A88:I88"/>
    <mergeCell ref="A82:I82"/>
    <mergeCell ref="A58:I58"/>
    <mergeCell ref="A64:I64"/>
    <mergeCell ref="A61:I61"/>
    <mergeCell ref="A73:I73"/>
    <mergeCell ref="A63:I63"/>
    <mergeCell ref="A68:I68"/>
    <mergeCell ref="F115:N115"/>
    <mergeCell ref="J83:K83"/>
    <mergeCell ref="J85:K85"/>
    <mergeCell ref="A74:I74"/>
    <mergeCell ref="J74:K74"/>
    <mergeCell ref="A98:I98"/>
    <mergeCell ref="A91:I91"/>
    <mergeCell ref="A92:I92"/>
    <mergeCell ref="A97:I97"/>
    <mergeCell ref="A95:I95"/>
    <mergeCell ref="A89:I89"/>
    <mergeCell ref="A96:I96"/>
    <mergeCell ref="A78:I78"/>
    <mergeCell ref="A85:I85"/>
    <mergeCell ref="A93:I93"/>
    <mergeCell ref="A81:I81"/>
    <mergeCell ref="J61:K61"/>
    <mergeCell ref="J62:K62"/>
    <mergeCell ref="A77:I77"/>
    <mergeCell ref="J72:K72"/>
    <mergeCell ref="J73:K73"/>
    <mergeCell ref="J66:K66"/>
    <mergeCell ref="J77:K77"/>
    <mergeCell ref="J70:K70"/>
    <mergeCell ref="J71:K71"/>
    <mergeCell ref="J64:K64"/>
    <mergeCell ref="J63:K63"/>
    <mergeCell ref="A66:I66"/>
    <mergeCell ref="A62:I62"/>
    <mergeCell ref="J76:K76"/>
    <mergeCell ref="A76:I76"/>
    <mergeCell ref="J65:K65"/>
    <mergeCell ref="A70:I70"/>
    <mergeCell ref="A71:I71"/>
    <mergeCell ref="A65:I65"/>
    <mergeCell ref="A72:I72"/>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8.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C20" sqref="C20"/>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5" width="11.421875" style="2" customWidth="1"/>
    <col min="6" max="6" width="15.28125" style="2" bestFit="1" customWidth="1"/>
    <col min="7" max="16384" width="11.421875" style="2" customWidth="1"/>
  </cols>
  <sheetData>
    <row r="1" spans="1:5" ht="14.25">
      <c r="A1" s="2" t="str">
        <f>Indice!C1</f>
        <v>NEGOFIN S.A.E.C.A.</v>
      </c>
      <c r="E1" s="132" t="s">
        <v>131</v>
      </c>
    </row>
    <row r="2" ht="12.75">
      <c r="A2" s="2" t="s">
        <v>120</v>
      </c>
    </row>
    <row r="7" spans="1:4" ht="12.75">
      <c r="A7" s="264" t="s">
        <v>435</v>
      </c>
      <c r="B7" s="264"/>
      <c r="C7" s="264"/>
      <c r="D7" s="264"/>
    </row>
    <row r="8" spans="1:2" ht="12.75">
      <c r="A8" s="357" t="s">
        <v>309</v>
      </c>
      <c r="B8" s="357"/>
    </row>
    <row r="9" ht="12.75">
      <c r="A9" s="4" t="s">
        <v>4</v>
      </c>
    </row>
    <row r="10" ht="12.75">
      <c r="A10" s="4"/>
    </row>
    <row r="11" spans="1:4" ht="12.75">
      <c r="A11" s="30" t="s">
        <v>5</v>
      </c>
      <c r="B11" s="31"/>
      <c r="C11" s="356">
        <f>_xlfn.IFERROR(IF(Indice!B6="","2XX2",YEAR(Indice!B6)),"2XX2")</f>
        <v>2022</v>
      </c>
      <c r="D11" s="356">
        <f>_xlfn.IFERROR(YEAR(Indice!B6-365),"2XX1")</f>
        <v>2021</v>
      </c>
    </row>
    <row r="12" spans="1:4" ht="12.75">
      <c r="A12" s="32"/>
      <c r="B12" s="31"/>
      <c r="C12" s="92"/>
      <c r="D12" s="92"/>
    </row>
    <row r="13" spans="1:4" ht="13.5">
      <c r="A13" s="34" t="s">
        <v>2</v>
      </c>
      <c r="B13" s="31"/>
      <c r="C13" s="417">
        <v>44666.859</v>
      </c>
      <c r="D13" s="417">
        <v>25843.736</v>
      </c>
    </row>
    <row r="14" spans="1:4" ht="13.5">
      <c r="A14" s="7" t="s">
        <v>6</v>
      </c>
      <c r="B14" s="33"/>
      <c r="C14" s="417">
        <v>0</v>
      </c>
      <c r="D14" s="417">
        <v>0</v>
      </c>
    </row>
    <row r="15" spans="1:7" ht="13.5">
      <c r="A15" s="34" t="s">
        <v>432</v>
      </c>
      <c r="B15" s="33"/>
      <c r="C15" s="417">
        <v>13765218.29</v>
      </c>
      <c r="D15" s="417">
        <v>8904442.6</v>
      </c>
      <c r="F15" s="417"/>
      <c r="G15" s="417"/>
    </row>
    <row r="16" spans="1:6" ht="14.25">
      <c r="A16" s="34" t="s">
        <v>431</v>
      </c>
      <c r="B16" s="33"/>
      <c r="C16" s="417">
        <v>0</v>
      </c>
      <c r="D16" s="417">
        <v>0</v>
      </c>
      <c r="F16" s="416"/>
    </row>
    <row r="17" spans="1:4" ht="13.5">
      <c r="A17" s="34" t="s">
        <v>434</v>
      </c>
      <c r="B17" s="33"/>
      <c r="C17" s="417"/>
      <c r="D17" s="417">
        <v>0</v>
      </c>
    </row>
    <row r="18" spans="1:4" ht="13.5">
      <c r="A18" s="34" t="s">
        <v>433</v>
      </c>
      <c r="B18" s="33"/>
      <c r="C18" s="417">
        <v>0</v>
      </c>
      <c r="D18" s="417">
        <v>0</v>
      </c>
    </row>
    <row r="19" spans="1:4" ht="13.5">
      <c r="A19" s="34" t="s">
        <v>449</v>
      </c>
      <c r="B19" s="33"/>
      <c r="C19" s="417">
        <v>0</v>
      </c>
      <c r="D19" s="417">
        <v>0</v>
      </c>
    </row>
    <row r="20" spans="1:4" ht="14.25" thickBot="1">
      <c r="A20" s="35" t="s">
        <v>3</v>
      </c>
      <c r="B20" s="36"/>
      <c r="C20" s="451">
        <f>SUM($C$13:C19)</f>
        <v>13809885.148999998</v>
      </c>
      <c r="D20" s="451">
        <f>SUM($D$13:D19)</f>
        <v>8930286.336</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9.xml><?xml version="1.0" encoding="utf-8"?>
<worksheet xmlns="http://schemas.openxmlformats.org/spreadsheetml/2006/main" xmlns:r="http://schemas.openxmlformats.org/officeDocument/2006/relationships">
  <dimension ref="A1:IV70"/>
  <sheetViews>
    <sheetView zoomScalePageLayoutView="0" workbookViewId="0" topLeftCell="A1">
      <selection activeCell="F35" sqref="F35"/>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14" customWidth="1"/>
  </cols>
  <sheetData>
    <row r="1" spans="1:6" ht="14.25">
      <c r="A1" s="114" t="str">
        <f>Indice!C1</f>
        <v>NEGOFIN S.A.E.C.A.</v>
      </c>
      <c r="B1" s="114"/>
      <c r="C1" s="114"/>
      <c r="D1" s="133" t="s">
        <v>131</v>
      </c>
      <c r="E1" s="114"/>
      <c r="F1" s="114"/>
    </row>
    <row r="2" spans="1:6" ht="14.25">
      <c r="A2" s="114"/>
      <c r="B2" s="114"/>
      <c r="C2" s="114"/>
      <c r="D2" s="114"/>
      <c r="E2" s="114"/>
      <c r="F2" s="114"/>
    </row>
    <row r="3" spans="1:6" ht="14.25">
      <c r="A3" s="114"/>
      <c r="B3" s="114"/>
      <c r="C3" s="114"/>
      <c r="D3" s="114"/>
      <c r="E3" s="114"/>
      <c r="F3" s="114"/>
    </row>
    <row r="4" spans="1:6" ht="14.25">
      <c r="A4" s="962" t="s">
        <v>288</v>
      </c>
      <c r="B4" s="962"/>
      <c r="C4" s="962"/>
      <c r="D4" s="114"/>
      <c r="E4" s="114"/>
      <c r="F4" s="114"/>
    </row>
    <row r="5" spans="1:6" ht="14.25">
      <c r="A5" s="113"/>
      <c r="B5" s="113"/>
      <c r="C5" s="113"/>
      <c r="D5" s="114"/>
      <c r="E5" s="114"/>
      <c r="F5" s="114"/>
    </row>
    <row r="6" spans="1:6" ht="14.25">
      <c r="A6" s="112" t="s">
        <v>4</v>
      </c>
      <c r="B6" s="113"/>
      <c r="C6" s="113"/>
      <c r="D6" s="114"/>
      <c r="E6" s="114"/>
      <c r="F6" s="114"/>
    </row>
    <row r="7" spans="1:6" ht="14.25">
      <c r="A7" s="112"/>
      <c r="B7" s="963" t="s">
        <v>309</v>
      </c>
      <c r="C7" s="963"/>
      <c r="D7" s="114"/>
      <c r="E7" s="114"/>
      <c r="F7" s="114"/>
    </row>
    <row r="8" spans="1:6" ht="14.25">
      <c r="A8" s="30" t="s">
        <v>5</v>
      </c>
      <c r="B8" s="356">
        <f>_xlfn.IFERROR(IF(Indice!B6="","2XX2",YEAR(Indice!B6)),"2XX2")</f>
        <v>2022</v>
      </c>
      <c r="C8" s="356">
        <f>_xlfn.IFERROR(YEAR(Indice!B6-365),"2XX1")</f>
        <v>2021</v>
      </c>
      <c r="D8" s="114"/>
      <c r="E8" s="114"/>
      <c r="F8" s="114"/>
    </row>
    <row r="9" spans="1:6" ht="14.25">
      <c r="A9" s="114" t="s">
        <v>442</v>
      </c>
      <c r="B9" s="410">
        <v>0</v>
      </c>
      <c r="C9" s="410">
        <v>0</v>
      </c>
      <c r="D9" s="114"/>
      <c r="E9" s="114"/>
      <c r="F9" s="114"/>
    </row>
    <row r="10" spans="1:30" s="244" customFormat="1" ht="14.25">
      <c r="A10" s="114" t="s">
        <v>437</v>
      </c>
      <c r="B10" s="410">
        <v>0</v>
      </c>
      <c r="C10" s="410">
        <v>0</v>
      </c>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row>
    <row r="11" spans="1:30" s="244" customFormat="1" ht="14.25">
      <c r="A11" s="114" t="s">
        <v>436</v>
      </c>
      <c r="B11" s="410">
        <v>0</v>
      </c>
      <c r="C11" s="410">
        <v>0</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row>
    <row r="12" spans="1:256" s="277" customFormat="1" ht="14.25">
      <c r="A12" s="114" t="s">
        <v>443</v>
      </c>
      <c r="B12" s="410">
        <v>0</v>
      </c>
      <c r="C12" s="410">
        <v>0</v>
      </c>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row>
    <row r="13" spans="1:256" s="277" customFormat="1" ht="14.25">
      <c r="A13" s="114" t="s">
        <v>438</v>
      </c>
      <c r="B13" s="410">
        <v>0</v>
      </c>
      <c r="C13" s="410">
        <v>0</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row>
    <row r="14" spans="1:256" s="277" customFormat="1" ht="14.25">
      <c r="A14" s="114" t="s">
        <v>439</v>
      </c>
      <c r="B14" s="410">
        <v>0</v>
      </c>
      <c r="C14" s="410">
        <v>0</v>
      </c>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row>
    <row r="15" spans="1:256" s="277" customFormat="1" ht="14.25">
      <c r="A15" s="114" t="s">
        <v>440</v>
      </c>
      <c r="B15" s="410">
        <v>0</v>
      </c>
      <c r="C15" s="410">
        <v>0</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row>
    <row r="16" spans="1:6" ht="14.25">
      <c r="A16" s="114" t="s">
        <v>441</v>
      </c>
      <c r="B16" s="429">
        <v>5035749.246</v>
      </c>
      <c r="C16" s="627">
        <v>25004321.416</v>
      </c>
      <c r="D16" s="114"/>
      <c r="E16" s="114"/>
      <c r="F16" s="114"/>
    </row>
    <row r="17" spans="1:6" ht="14.25">
      <c r="A17" s="114" t="s">
        <v>444</v>
      </c>
      <c r="B17" s="410">
        <v>0</v>
      </c>
      <c r="C17" s="410"/>
      <c r="D17" s="114"/>
      <c r="E17" s="114"/>
      <c r="F17" s="114"/>
    </row>
    <row r="18" spans="1:6" ht="15" thickBot="1">
      <c r="A18" s="35" t="s">
        <v>3</v>
      </c>
      <c r="B18" s="869">
        <f>SUM($B$9:B17)</f>
        <v>5035749.246</v>
      </c>
      <c r="C18" s="869">
        <f>SUM($C$9:C17)</f>
        <v>25004321.416</v>
      </c>
      <c r="D18" s="114"/>
      <c r="E18" s="114"/>
      <c r="F18" s="114"/>
    </row>
    <row r="19" spans="1:6" ht="15" thickTop="1">
      <c r="A19" s="114"/>
      <c r="B19" s="114"/>
      <c r="C19" s="114"/>
      <c r="D19" s="114"/>
      <c r="E19" s="114"/>
      <c r="F19" s="114"/>
    </row>
    <row r="20" spans="1:6" ht="14.25">
      <c r="A20" s="114"/>
      <c r="B20" s="114"/>
      <c r="C20" s="114"/>
      <c r="D20" s="114"/>
      <c r="E20" s="114"/>
      <c r="F20" s="114"/>
    </row>
    <row r="21" spans="1:6" ht="14.25">
      <c r="A21" s="114"/>
      <c r="B21" s="114"/>
      <c r="C21" s="114"/>
      <c r="D21" s="114"/>
      <c r="E21" s="114"/>
      <c r="F21" s="114"/>
    </row>
    <row r="22" spans="1:6" ht="14.25">
      <c r="A22" s="114"/>
      <c r="B22" s="114"/>
      <c r="C22" s="114"/>
      <c r="D22" s="114"/>
      <c r="E22" s="114"/>
      <c r="F22" s="114"/>
    </row>
    <row r="23" spans="1:6" ht="14.25">
      <c r="A23" s="114"/>
      <c r="B23" s="114"/>
      <c r="C23" s="114"/>
      <c r="D23" s="114"/>
      <c r="E23" s="114"/>
      <c r="F23" s="114"/>
    </row>
    <row r="24" spans="1:6" ht="14.25">
      <c r="A24" s="114"/>
      <c r="B24" s="114"/>
      <c r="C24" s="114"/>
      <c r="D24" s="114"/>
      <c r="E24" s="114"/>
      <c r="F24" s="114"/>
    </row>
    <row r="25" spans="1:6" ht="14.25">
      <c r="A25" s="114"/>
      <c r="B25" s="114"/>
      <c r="C25" s="114"/>
      <c r="D25" s="114"/>
      <c r="E25" s="114"/>
      <c r="F25" s="114"/>
    </row>
    <row r="26" spans="1:6" ht="14.25">
      <c r="A26" s="114"/>
      <c r="B26" s="114"/>
      <c r="C26" s="114"/>
      <c r="D26" s="114"/>
      <c r="E26" s="114"/>
      <c r="F26" s="114"/>
    </row>
    <row r="27" spans="1:6" ht="14.25">
      <c r="A27" s="114"/>
      <c r="B27" s="114"/>
      <c r="C27" s="114"/>
      <c r="D27" s="114"/>
      <c r="E27" s="114"/>
      <c r="F27" s="114"/>
    </row>
    <row r="28" spans="1:6" ht="14.25">
      <c r="A28" s="114"/>
      <c r="B28" s="114"/>
      <c r="C28" s="114"/>
      <c r="D28" s="114"/>
      <c r="E28" s="114"/>
      <c r="F28" s="114"/>
    </row>
    <row r="29" spans="1:6" ht="14.25">
      <c r="A29" s="114"/>
      <c r="B29" s="114"/>
      <c r="C29" s="114"/>
      <c r="D29" s="114"/>
      <c r="E29" s="114"/>
      <c r="F29" s="114"/>
    </row>
    <row r="30" spans="1:6" ht="14.25">
      <c r="A30" s="114"/>
      <c r="B30" s="114"/>
      <c r="C30" s="114"/>
      <c r="D30" s="114"/>
      <c r="E30" s="114"/>
      <c r="F30" s="114"/>
    </row>
    <row r="31" spans="1:6" ht="14.25">
      <c r="A31" s="114"/>
      <c r="B31" s="114"/>
      <c r="C31" s="114"/>
      <c r="D31" s="114"/>
      <c r="E31" s="114"/>
      <c r="F31" s="114"/>
    </row>
    <row r="32" spans="1:6" ht="14.25">
      <c r="A32" s="114"/>
      <c r="B32" s="114"/>
      <c r="C32" s="114"/>
      <c r="D32" s="114"/>
      <c r="E32" s="114"/>
      <c r="F32" s="114"/>
    </row>
    <row r="33" spans="1:6" ht="14.25">
      <c r="A33" s="114"/>
      <c r="B33" s="114"/>
      <c r="C33" s="114"/>
      <c r="D33" s="114"/>
      <c r="E33" s="114"/>
      <c r="F33" s="114"/>
    </row>
    <row r="34" spans="1:6" ht="14.25">
      <c r="A34" s="114"/>
      <c r="B34" s="114"/>
      <c r="C34" s="114"/>
      <c r="D34" s="114"/>
      <c r="E34" s="114"/>
      <c r="F34" s="114"/>
    </row>
    <row r="35" spans="1:6" ht="14.25">
      <c r="A35" s="114"/>
      <c r="B35" s="114"/>
      <c r="C35" s="114"/>
      <c r="D35" s="114"/>
      <c r="E35" s="114"/>
      <c r="F35" s="114"/>
    </row>
    <row r="36" spans="1:6" ht="14.25">
      <c r="A36" s="114"/>
      <c r="B36" s="114"/>
      <c r="C36" s="114"/>
      <c r="D36" s="114"/>
      <c r="E36" s="114"/>
      <c r="F36" s="114"/>
    </row>
    <row r="37" spans="1:6" ht="14.25">
      <c r="A37" s="114"/>
      <c r="B37" s="114"/>
      <c r="C37" s="114"/>
      <c r="D37" s="114"/>
      <c r="E37" s="114"/>
      <c r="F37" s="114"/>
    </row>
    <row r="38" spans="1:6" ht="14.25">
      <c r="A38" s="114"/>
      <c r="B38" s="114"/>
      <c r="C38" s="114"/>
      <c r="D38" s="114"/>
      <c r="E38" s="114"/>
      <c r="F38" s="114"/>
    </row>
    <row r="39" spans="1:6" ht="14.25">
      <c r="A39" s="114"/>
      <c r="B39" s="114"/>
      <c r="C39" s="114"/>
      <c r="D39" s="114"/>
      <c r="E39" s="114"/>
      <c r="F39" s="114"/>
    </row>
    <row r="40" spans="1:6" ht="14.25">
      <c r="A40" s="114"/>
      <c r="B40" s="114"/>
      <c r="C40" s="114"/>
      <c r="D40" s="114"/>
      <c r="E40" s="114"/>
      <c r="F40" s="114"/>
    </row>
    <row r="41" spans="1:6" ht="14.25">
      <c r="A41" s="114"/>
      <c r="B41" s="114"/>
      <c r="C41" s="114"/>
      <c r="D41" s="114"/>
      <c r="E41" s="114"/>
      <c r="F41" s="114"/>
    </row>
    <row r="42" spans="1:6" ht="14.25">
      <c r="A42" s="114"/>
      <c r="B42" s="114"/>
      <c r="C42" s="114"/>
      <c r="D42" s="114"/>
      <c r="E42" s="114"/>
      <c r="F42" s="114"/>
    </row>
    <row r="43" spans="1:6" ht="14.25">
      <c r="A43" s="114"/>
      <c r="B43" s="114"/>
      <c r="C43" s="114"/>
      <c r="D43" s="114"/>
      <c r="E43" s="114"/>
      <c r="F43" s="114"/>
    </row>
    <row r="44" spans="1:6" ht="14.25">
      <c r="A44" s="114"/>
      <c r="B44" s="114"/>
      <c r="C44" s="114"/>
      <c r="D44" s="114"/>
      <c r="E44" s="114"/>
      <c r="F44" s="114"/>
    </row>
    <row r="45" spans="1:6" ht="14.25">
      <c r="A45" s="114"/>
      <c r="B45" s="114"/>
      <c r="C45" s="114"/>
      <c r="D45" s="114"/>
      <c r="E45" s="114"/>
      <c r="F45" s="114"/>
    </row>
    <row r="46" spans="1:6" ht="14.25">
      <c r="A46" s="114"/>
      <c r="B46" s="114"/>
      <c r="C46" s="114"/>
      <c r="D46" s="114"/>
      <c r="E46" s="114"/>
      <c r="F46" s="114"/>
    </row>
    <row r="47" spans="1:6" ht="14.25">
      <c r="A47" s="114"/>
      <c r="B47" s="114"/>
      <c r="C47" s="114"/>
      <c r="D47" s="114"/>
      <c r="E47" s="114"/>
      <c r="F47" s="114"/>
    </row>
    <row r="48" spans="1:6" ht="14.25">
      <c r="A48" s="114"/>
      <c r="B48" s="114"/>
      <c r="C48" s="114"/>
      <c r="D48" s="114"/>
      <c r="E48" s="114"/>
      <c r="F48" s="114"/>
    </row>
    <row r="49" spans="1:6" ht="14.25">
      <c r="A49" s="114"/>
      <c r="B49" s="114"/>
      <c r="C49" s="114"/>
      <c r="D49" s="114"/>
      <c r="E49" s="114"/>
      <c r="F49" s="114"/>
    </row>
    <row r="50" spans="1:6" ht="14.25">
      <c r="A50" s="114"/>
      <c r="B50" s="114"/>
      <c r="C50" s="114"/>
      <c r="D50" s="114"/>
      <c r="E50" s="114"/>
      <c r="F50" s="114"/>
    </row>
    <row r="51" spans="1:6" ht="14.25">
      <c r="A51" s="114"/>
      <c r="B51" s="114"/>
      <c r="C51" s="114"/>
      <c r="D51" s="114"/>
      <c r="E51" s="114"/>
      <c r="F51" s="114"/>
    </row>
    <row r="52" spans="1:6" ht="14.25">
      <c r="A52" s="114"/>
      <c r="B52" s="114"/>
      <c r="C52" s="114"/>
      <c r="D52" s="114"/>
      <c r="E52" s="114"/>
      <c r="F52" s="114"/>
    </row>
    <row r="53" spans="1:6" ht="14.25">
      <c r="A53" s="114"/>
      <c r="B53" s="114"/>
      <c r="C53" s="114"/>
      <c r="D53" s="114"/>
      <c r="E53" s="114"/>
      <c r="F53" s="114"/>
    </row>
    <row r="54" spans="1:6" ht="14.25">
      <c r="A54" s="114"/>
      <c r="B54" s="114"/>
      <c r="C54" s="114"/>
      <c r="D54" s="114"/>
      <c r="E54" s="114"/>
      <c r="F54" s="114"/>
    </row>
    <row r="55" spans="1:6" ht="14.25">
      <c r="A55" s="114"/>
      <c r="B55" s="114"/>
      <c r="C55" s="114"/>
      <c r="D55" s="114"/>
      <c r="E55" s="114"/>
      <c r="F55" s="114"/>
    </row>
    <row r="56" spans="1:6" ht="14.25">
      <c r="A56" s="114"/>
      <c r="B56" s="114"/>
      <c r="C56" s="114"/>
      <c r="D56" s="114"/>
      <c r="E56" s="114"/>
      <c r="F56" s="114"/>
    </row>
    <row r="57" spans="1:6" ht="14.25">
      <c r="A57" s="114"/>
      <c r="B57" s="114"/>
      <c r="C57" s="114"/>
      <c r="D57" s="114"/>
      <c r="E57" s="114"/>
      <c r="F57" s="114"/>
    </row>
    <row r="58" spans="1:6" ht="14.25">
      <c r="A58" s="114"/>
      <c r="B58" s="114"/>
      <c r="C58" s="114"/>
      <c r="D58" s="114"/>
      <c r="E58" s="114"/>
      <c r="F58" s="114"/>
    </row>
    <row r="59" spans="1:6" ht="14.25">
      <c r="A59" s="114"/>
      <c r="B59" s="114"/>
      <c r="C59" s="114"/>
      <c r="D59" s="114"/>
      <c r="E59" s="114"/>
      <c r="F59" s="114"/>
    </row>
    <row r="60" spans="1:6" ht="14.25">
      <c r="A60" s="114"/>
      <c r="B60" s="114"/>
      <c r="C60" s="114"/>
      <c r="D60" s="114"/>
      <c r="E60" s="114"/>
      <c r="F60" s="114"/>
    </row>
    <row r="61" spans="1:6" ht="14.25">
      <c r="A61" s="114"/>
      <c r="B61" s="114"/>
      <c r="C61" s="114"/>
      <c r="D61" s="114"/>
      <c r="E61" s="114"/>
      <c r="F61" s="114"/>
    </row>
    <row r="62" spans="1:6" ht="14.25">
      <c r="A62" s="114"/>
      <c r="B62" s="114"/>
      <c r="C62" s="114"/>
      <c r="D62" s="114"/>
      <c r="E62" s="114"/>
      <c r="F62" s="114"/>
    </row>
    <row r="63" spans="1:6" ht="14.25">
      <c r="A63" s="114"/>
      <c r="B63" s="114"/>
      <c r="C63" s="114"/>
      <c r="D63" s="114"/>
      <c r="E63" s="114"/>
      <c r="F63" s="114"/>
    </row>
    <row r="64" spans="1:6" ht="14.25">
      <c r="A64" s="114"/>
      <c r="B64" s="114"/>
      <c r="C64" s="114"/>
      <c r="D64" s="114"/>
      <c r="E64" s="114"/>
      <c r="F64" s="114"/>
    </row>
    <row r="65" spans="1:6" ht="14.25">
      <c r="A65" s="114"/>
      <c r="B65" s="114"/>
      <c r="C65" s="114"/>
      <c r="D65" s="114"/>
      <c r="E65" s="114"/>
      <c r="F65" s="114"/>
    </row>
    <row r="66" spans="1:6" ht="14.25">
      <c r="A66" s="114"/>
      <c r="B66" s="114"/>
      <c r="C66" s="114"/>
      <c r="D66" s="114"/>
      <c r="E66" s="114"/>
      <c r="F66" s="114"/>
    </row>
    <row r="67" spans="1:6" ht="14.25">
      <c r="A67" s="114"/>
      <c r="B67" s="114"/>
      <c r="C67" s="114"/>
      <c r="D67" s="114"/>
      <c r="E67" s="114"/>
      <c r="F67" s="114"/>
    </row>
    <row r="68" spans="1:6" ht="14.25">
      <c r="A68" s="114"/>
      <c r="B68" s="114"/>
      <c r="C68" s="114"/>
      <c r="D68" s="114"/>
      <c r="E68" s="114"/>
      <c r="F68" s="114"/>
    </row>
    <row r="69" spans="1:6" ht="14.25">
      <c r="A69" s="114"/>
      <c r="B69" s="114"/>
      <c r="C69" s="114"/>
      <c r="D69" s="114"/>
      <c r="E69" s="114"/>
      <c r="F69" s="114"/>
    </row>
    <row r="70" spans="1:6" ht="14.25">
      <c r="A70" s="114"/>
      <c r="B70" s="114"/>
      <c r="C70" s="114"/>
      <c r="D70" s="114"/>
      <c r="E70" s="114"/>
      <c r="F70" s="114"/>
    </row>
  </sheetData>
  <sheetProtection/>
  <mergeCells count="2">
    <mergeCell ref="A4:C4"/>
    <mergeCell ref="B7:C7"/>
  </mergeCells>
  <hyperlinks>
    <hyperlink ref="D1" location="BG!A1" display="BG"/>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Gladys Fiorella Vergara Pacheco</cp:lastModifiedBy>
  <cp:lastPrinted>2023-02-21T14:04:58Z</cp:lastPrinted>
  <dcterms:created xsi:type="dcterms:W3CDTF">2019-05-02T15:06:12Z</dcterms:created>
  <dcterms:modified xsi:type="dcterms:W3CDTF">2023-03-02T16:48:46Z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