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inpositivapy-my.sharepoint.com/personal/sady_pereira_inpositiva_com_py/Documents/19.Fondo Ganadero/Contabilidad/CNV/Informes 2022/09.2.22/"/>
    </mc:Choice>
  </mc:AlternateContent>
  <xr:revisionPtr revIDLastSave="0" documentId="8_{40035B1B-7BF5-4BF5-AA4E-25B4F560847D}" xr6:coauthVersionLast="47" xr6:coauthVersionMax="47" xr10:uidLastSave="{00000000-0000-0000-0000-000000000000}"/>
  <bookViews>
    <workbookView xWindow="-108" yWindow="-108" windowWidth="23256" windowHeight="12576" tabRatio="857" xr2:uid="{00000000-000D-0000-FFFF-FFFF00000000}"/>
  </bookViews>
  <sheets>
    <sheet name="INDICE" sheetId="9" r:id="rId1"/>
    <sheet name="1.BG USD" sheetId="4" r:id="rId2"/>
    <sheet name="2.EERR USD" sheetId="3" r:id="rId3"/>
    <sheet name="3.VARIAC. PA USD" sheetId="2" r:id="rId4"/>
    <sheet name="Flujo de Fondos Calculo GS U$S" sheetId="15" state="hidden" r:id="rId5"/>
    <sheet name="4.FLUJO EFECTIVO USD" sheetId="1" r:id="rId6"/>
    <sheet name="5.BG G" sheetId="5" r:id="rId7"/>
    <sheet name="6.EERR G" sheetId="6" r:id="rId8"/>
    <sheet name="7.VARIAC. PN G" sheetId="7" r:id="rId9"/>
    <sheet name="Flujo de Fondos Calculo GS" sheetId="14" state="hidden" r:id="rId10"/>
    <sheet name="8.FLUJO EFECTIVO G" sheetId="8" r:id="rId11"/>
    <sheet name="9.INFORME DEL SINDICO" sheetId="10" state="hidden" r:id="rId12"/>
    <sheet name="9.Notas a EEFF" sheetId="11" r:id="rId13"/>
    <sheet name="10.Cuadro de Inversiones" sheetId="12"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3" hidden="1">'10.Cuadro de Inversiones'!$B$4:$P$17</definedName>
    <definedName name="_Hlk492023274" localSheetId="12">'9.Notas a EEFF'!$A$98</definedName>
    <definedName name="a" localSheetId="9">#REF!</definedName>
    <definedName name="a" localSheetId="4">#REF!</definedName>
    <definedName name="a">#REF!</definedName>
    <definedName name="aa">#REF!</definedName>
    <definedName name="_xlnm.Print_Area" localSheetId="9">'Flujo de Fondos Calculo GS'!$A$61:$E$93</definedName>
    <definedName name="_xlnm.Print_Area" localSheetId="4">'Flujo de Fondos Calculo GS U$S'!$A$61:$E$93</definedName>
    <definedName name="BuiltIn_Print_Area">[1]anexos!#REF!</definedName>
    <definedName name="BuiltIn_Print_Area___0">'[1]Balance General Resol 950'!#REF!</definedName>
    <definedName name="BuiltIn_Print_Area___0___0" localSheetId="9">#REF!</definedName>
    <definedName name="BuiltIn_Print_Area___0___0" localSheetId="4">#REF!</definedName>
    <definedName name="BuiltIn_Print_Area___0___0">#REF!</definedName>
    <definedName name="BuiltIn_Print_Area___0___0___0___0" localSheetId="9">'[2]Flujos de efectivo'!#REF!</definedName>
    <definedName name="BuiltIn_Print_Area___0___0___0___0" localSheetId="4">'[2]Flujos de efectivo'!#REF!</definedName>
    <definedName name="BuiltIn_Print_Area___0___0___0___0">'[3]Flujos de efectivo'!#REF!</definedName>
    <definedName name="BuiltIn_Print_Area___0___0___0___0___0" localSheetId="9">#REF!</definedName>
    <definedName name="BuiltIn_Print_Area___0___0___0___0___0" localSheetId="4">#REF!</definedName>
    <definedName name="BuiltIn_Print_Area___0___0___0___0___0">#REF!</definedName>
    <definedName name="Clientes">#REF!</definedName>
    <definedName name="DATA16">#REF!</definedName>
    <definedName name="DATA17">#REF!</definedName>
    <definedName name="DATA18">#REF!</definedName>
    <definedName name="DATA20">#REF!</definedName>
    <definedName name="datos">#REF!</definedName>
    <definedName name="k">#REF!</definedName>
    <definedName name="klkl">#REF!</definedName>
    <definedName name="klll">#REF!</definedName>
    <definedName name="ver">#REF!</definedName>
    <definedName name="verific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7" l="1"/>
  <c r="D8" i="7"/>
  <c r="E11" i="2"/>
  <c r="E8" i="2"/>
  <c r="I22" i="12"/>
  <c r="C22" i="3"/>
  <c r="C46" i="5"/>
  <c r="C22" i="6"/>
  <c r="C51" i="5"/>
  <c r="C51" i="4"/>
  <c r="C16" i="4" l="1"/>
  <c r="I16" i="12" s="1"/>
  <c r="J16" i="12" s="1"/>
  <c r="K16" i="12" s="1"/>
  <c r="K17" i="12" l="1"/>
  <c r="L16" i="12"/>
  <c r="C24" i="12"/>
  <c r="C23" i="12"/>
  <c r="C22" i="12" l="1"/>
  <c r="B2" i="12" l="1"/>
  <c r="C138" i="11" l="1"/>
  <c r="C142" i="11"/>
  <c r="C141" i="11"/>
  <c r="C140" i="11"/>
  <c r="C139" i="11"/>
  <c r="C14" i="6"/>
  <c r="D22" i="6"/>
  <c r="D13" i="6"/>
  <c r="D18" i="6"/>
  <c r="D21" i="6"/>
  <c r="D14" i="6"/>
  <c r="C143" i="11" l="1"/>
  <c r="M3" i="9" l="1"/>
  <c r="C48" i="5"/>
  <c r="C16" i="7" s="1"/>
  <c r="C11" i="7" s="1"/>
  <c r="D20" i="3"/>
  <c r="D20" i="6" s="1"/>
  <c r="D19" i="3"/>
  <c r="D19" i="6" s="1"/>
  <c r="D17" i="3"/>
  <c r="D13" i="3"/>
  <c r="D12" i="6" s="1"/>
  <c r="D12" i="3"/>
  <c r="D23" i="3" l="1"/>
  <c r="D17" i="6"/>
  <c r="D23" i="6" s="1"/>
  <c r="D15" i="3"/>
  <c r="D11" i="6"/>
  <c r="D15" i="6" s="1"/>
  <c r="C45" i="4"/>
  <c r="C25" i="4"/>
  <c r="C26" i="4"/>
  <c r="C36" i="4"/>
  <c r="C31" i="4"/>
  <c r="C21" i="4"/>
  <c r="C20" i="4"/>
  <c r="C16" i="5"/>
  <c r="C14" i="4"/>
  <c r="C14" i="5" s="1"/>
  <c r="C10" i="4"/>
  <c r="C10" i="5" s="1"/>
  <c r="D24" i="3" l="1"/>
  <c r="C26" i="12" l="1"/>
  <c r="C25" i="12" s="1"/>
  <c r="C21" i="12" s="1"/>
  <c r="D25" i="12"/>
  <c r="D22" i="12"/>
  <c r="D104" i="11" l="1"/>
  <c r="C108" i="11"/>
  <c r="E108" i="11" s="1"/>
  <c r="D37" i="14" l="1"/>
  <c r="C36" i="14" s="1"/>
  <c r="B36" i="14"/>
  <c r="B50" i="15"/>
  <c r="B30" i="14"/>
  <c r="C45" i="5"/>
  <c r="C36" i="15"/>
  <c r="C54" i="4" l="1"/>
  <c r="C27" i="4"/>
  <c r="C25" i="5" s="1"/>
  <c r="C12" i="1"/>
  <c r="B37" i="15"/>
  <c r="B35" i="15"/>
  <c r="F35" i="15" s="1"/>
  <c r="B30" i="15"/>
  <c r="F30" i="15" s="1"/>
  <c r="N30" i="15" s="1"/>
  <c r="B86" i="15" s="1"/>
  <c r="B16" i="15"/>
  <c r="B10" i="15"/>
  <c r="F10" i="15" s="1"/>
  <c r="L10" i="15" s="1"/>
  <c r="F11" i="15"/>
  <c r="J11" i="15" s="1"/>
  <c r="F12" i="15"/>
  <c r="G12" i="15" s="1"/>
  <c r="F14" i="15"/>
  <c r="D16" i="15"/>
  <c r="F18" i="15"/>
  <c r="F19" i="15"/>
  <c r="M19" i="15" s="1"/>
  <c r="F20" i="15"/>
  <c r="F21" i="15"/>
  <c r="M21" i="15" s="1"/>
  <c r="R21" i="15"/>
  <c r="R22" i="15"/>
  <c r="R23" i="15"/>
  <c r="F24" i="15"/>
  <c r="N24" i="15" s="1"/>
  <c r="B84" i="15" s="1"/>
  <c r="R24" i="15"/>
  <c r="C25" i="15"/>
  <c r="F25" i="15" s="1"/>
  <c r="G25" i="15" s="1"/>
  <c r="R25" i="15"/>
  <c r="P26" i="15"/>
  <c r="Q26" i="15"/>
  <c r="B27" i="15"/>
  <c r="F27" i="15" s="1"/>
  <c r="N27" i="15" s="1"/>
  <c r="F28" i="15"/>
  <c r="J28" i="15" s="1"/>
  <c r="F29" i="15"/>
  <c r="L29" i="15"/>
  <c r="F31" i="15"/>
  <c r="N31" i="15" s="1"/>
  <c r="F32" i="15"/>
  <c r="F33" i="15"/>
  <c r="F34" i="15"/>
  <c r="F36" i="15"/>
  <c r="N36" i="15" s="1"/>
  <c r="B85" i="15" s="1"/>
  <c r="F42" i="15"/>
  <c r="M42" i="15" s="1"/>
  <c r="F43" i="15"/>
  <c r="M43" i="15"/>
  <c r="F45" i="15"/>
  <c r="K45" i="15" s="1"/>
  <c r="K58" i="15" s="1"/>
  <c r="B66" i="15" s="1"/>
  <c r="F48" i="15"/>
  <c r="L48" i="15" s="1"/>
  <c r="F49" i="15"/>
  <c r="L49" i="15" s="1"/>
  <c r="F50" i="15"/>
  <c r="L50" i="15" s="1"/>
  <c r="F51" i="15"/>
  <c r="N51" i="15" s="1"/>
  <c r="F55" i="15"/>
  <c r="L55" i="15" s="1"/>
  <c r="C91" i="15"/>
  <c r="F14" i="14"/>
  <c r="D13" i="14"/>
  <c r="B35" i="14"/>
  <c r="F35" i="14" s="1"/>
  <c r="F30" i="14"/>
  <c r="N30" i="14" s="1"/>
  <c r="B86" i="14" s="1"/>
  <c r="F11" i="14"/>
  <c r="J11" i="14" s="1"/>
  <c r="F12" i="14"/>
  <c r="G12" i="14" s="1"/>
  <c r="F18" i="14"/>
  <c r="F19" i="14"/>
  <c r="M19" i="14" s="1"/>
  <c r="F20" i="14"/>
  <c r="F21" i="14"/>
  <c r="M21" i="14" s="1"/>
  <c r="R21" i="14"/>
  <c r="R22" i="14"/>
  <c r="R23" i="14"/>
  <c r="F24" i="14"/>
  <c r="N24" i="14" s="1"/>
  <c r="R24" i="14"/>
  <c r="C25" i="14"/>
  <c r="F25" i="14" s="1"/>
  <c r="G25" i="14" s="1"/>
  <c r="R25" i="14"/>
  <c r="P26" i="14"/>
  <c r="Q26" i="14"/>
  <c r="B27" i="14"/>
  <c r="F27" i="14" s="1"/>
  <c r="N27" i="14" s="1"/>
  <c r="F28" i="14"/>
  <c r="J28" i="14" s="1"/>
  <c r="F29" i="14"/>
  <c r="L29" i="14" s="1"/>
  <c r="F31" i="14"/>
  <c r="N31" i="14"/>
  <c r="F32" i="14"/>
  <c r="F33" i="14"/>
  <c r="F34" i="14"/>
  <c r="F36" i="14"/>
  <c r="N36" i="14" s="1"/>
  <c r="B85" i="14" s="1"/>
  <c r="F42" i="14"/>
  <c r="M42" i="14" s="1"/>
  <c r="F43" i="14"/>
  <c r="M43" i="14"/>
  <c r="F45" i="14"/>
  <c r="K45" i="14" s="1"/>
  <c r="K58" i="14" s="1"/>
  <c r="B66" i="14" s="1"/>
  <c r="F48" i="14"/>
  <c r="L48" i="14"/>
  <c r="F49" i="14"/>
  <c r="L49" i="14" s="1"/>
  <c r="F50" i="14"/>
  <c r="L50" i="14" s="1"/>
  <c r="F51" i="14"/>
  <c r="N51" i="14" s="1"/>
  <c r="F55" i="14"/>
  <c r="L55" i="14" s="1"/>
  <c r="C91" i="14"/>
  <c r="C11" i="8" s="1"/>
  <c r="B13" i="15" l="1"/>
  <c r="F13" i="15" s="1"/>
  <c r="L13" i="15" s="1"/>
  <c r="H58" i="15"/>
  <c r="B64" i="15" s="1"/>
  <c r="J58" i="15"/>
  <c r="B68" i="15" s="1"/>
  <c r="R26" i="14"/>
  <c r="R26" i="15"/>
  <c r="C26" i="15"/>
  <c r="N58" i="15"/>
  <c r="C88" i="15"/>
  <c r="C25" i="1" s="1"/>
  <c r="J58" i="14"/>
  <c r="B68" i="14" s="1"/>
  <c r="N58" i="14"/>
  <c r="B84" i="14"/>
  <c r="C88" i="14" s="1"/>
  <c r="C25" i="8" s="1"/>
  <c r="E25" i="12" l="1"/>
  <c r="C12" i="4"/>
  <c r="B9" i="15" s="1"/>
  <c r="C156" i="11"/>
  <c r="D140" i="11"/>
  <c r="D139" i="11"/>
  <c r="D143" i="11" l="1"/>
  <c r="F9" i="15"/>
  <c r="O9" i="15" s="1"/>
  <c r="D92" i="15"/>
  <c r="K22" i="12" l="1"/>
  <c r="E22" i="12"/>
  <c r="C82" i="11"/>
  <c r="C81" i="11"/>
  <c r="C18" i="6" l="1"/>
  <c r="B9" i="14"/>
  <c r="D49" i="5"/>
  <c r="D52" i="5" s="1"/>
  <c r="D47" i="5"/>
  <c r="D37" i="5"/>
  <c r="D39" i="5" s="1"/>
  <c r="D40" i="5" s="1"/>
  <c r="C6" i="5"/>
  <c r="C37" i="5" s="1"/>
  <c r="C15" i="5"/>
  <c r="C16" i="2"/>
  <c r="D49" i="4"/>
  <c r="D38" i="4"/>
  <c r="D39" i="4" s="1"/>
  <c r="D40" i="4" s="1"/>
  <c r="C32" i="5" l="1"/>
  <c r="C20" i="5"/>
  <c r="B10" i="14" s="1"/>
  <c r="F10" i="14" s="1"/>
  <c r="L10" i="14" s="1"/>
  <c r="C39" i="5"/>
  <c r="B17" i="14" s="1"/>
  <c r="F17" i="14" s="1"/>
  <c r="M17" i="14" s="1"/>
  <c r="B73" i="14" s="1"/>
  <c r="C21" i="5"/>
  <c r="B13" i="14" s="1"/>
  <c r="F9" i="14"/>
  <c r="O9" i="14" s="1"/>
  <c r="D92" i="14"/>
  <c r="D41" i="5"/>
  <c r="D53" i="5"/>
  <c r="C19" i="5"/>
  <c r="C49" i="4"/>
  <c r="D16" i="2" l="1"/>
  <c r="D15" i="2" s="1"/>
  <c r="E15" i="2" s="1"/>
  <c r="H58" i="14"/>
  <c r="B64" i="14" s="1"/>
  <c r="F13" i="14"/>
  <c r="L13" i="14" s="1"/>
  <c r="D55" i="5"/>
  <c r="C38" i="4"/>
  <c r="D52" i="4"/>
  <c r="D55" i="4" s="1"/>
  <c r="D56" i="4" s="1"/>
  <c r="E17" i="2" l="1"/>
  <c r="B17" i="15"/>
  <c r="F17" i="15" s="1"/>
  <c r="M17" i="15" s="1"/>
  <c r="B73" i="15" s="1"/>
  <c r="D53" i="4"/>
  <c r="B21" i="6"/>
  <c r="B12" i="6"/>
  <c r="B13" i="6"/>
  <c r="B11" i="6"/>
  <c r="C34" i="5"/>
  <c r="B19" i="5"/>
  <c r="C26" i="5"/>
  <c r="B21" i="5"/>
  <c r="B24" i="5"/>
  <c r="B25" i="5"/>
  <c r="C40" i="5" l="1"/>
  <c r="B15" i="14"/>
  <c r="F15" i="14" s="1"/>
  <c r="M15" i="14" s="1"/>
  <c r="B74" i="14" s="1"/>
  <c r="C22" i="4" l="1"/>
  <c r="B156" i="11"/>
  <c r="D89" i="11"/>
  <c r="D88" i="11"/>
  <c r="B49" i="5"/>
  <c r="B48" i="5"/>
  <c r="B20" i="5"/>
  <c r="C22" i="5"/>
  <c r="B18" i="5"/>
  <c r="B16" i="5"/>
  <c r="C8" i="2" l="1"/>
  <c r="C17" i="4" l="1"/>
  <c r="C28" i="4" s="1"/>
  <c r="D14" i="7" l="1"/>
  <c r="D13" i="7" l="1"/>
  <c r="E89" i="11" l="1"/>
  <c r="C18" i="8" l="1"/>
  <c r="E88" i="11" l="1"/>
  <c r="C33" i="4"/>
  <c r="C46" i="4"/>
  <c r="C10" i="9"/>
  <c r="C157" i="11"/>
  <c r="B157" i="11"/>
  <c r="E8" i="8"/>
  <c r="C8" i="8"/>
  <c r="D7" i="6"/>
  <c r="C7" i="6"/>
  <c r="D7" i="5"/>
  <c r="C7" i="5"/>
  <c r="D7" i="4"/>
  <c r="C7" i="4"/>
  <c r="D7" i="3"/>
  <c r="C7" i="3"/>
  <c r="E8" i="1"/>
  <c r="C8" i="1"/>
  <c r="O4" i="9"/>
  <c r="C47" i="5"/>
  <c r="B26" i="14" s="1"/>
  <c r="C52" i="4"/>
  <c r="E12" i="2"/>
  <c r="E13" i="2"/>
  <c r="C55" i="4" l="1"/>
  <c r="B125" i="11" s="1"/>
  <c r="B26" i="15"/>
  <c r="B38" i="15" s="1"/>
  <c r="C39" i="4"/>
  <c r="B15" i="15"/>
  <c r="F26" i="14"/>
  <c r="C53" i="4"/>
  <c r="D24" i="6"/>
  <c r="D26" i="6" s="1"/>
  <c r="C56" i="4" l="1"/>
  <c r="C19" i="12" s="1"/>
  <c r="F26" i="15"/>
  <c r="I26" i="15" s="1"/>
  <c r="I26" i="14"/>
  <c r="F15" i="15"/>
  <c r="M15" i="15" s="1"/>
  <c r="B22" i="15"/>
  <c r="B39" i="15" s="1"/>
  <c r="F38" i="15"/>
  <c r="C12" i="5"/>
  <c r="C125" i="11" l="1"/>
  <c r="O15" i="12"/>
  <c r="P15" i="12" s="1"/>
  <c r="O9" i="12"/>
  <c r="O12" i="12"/>
  <c r="O11" i="12"/>
  <c r="O6" i="12"/>
  <c r="O5" i="12"/>
  <c r="O8" i="12"/>
  <c r="O16" i="12"/>
  <c r="P16" i="12" s="1"/>
  <c r="O14" i="12"/>
  <c r="O13" i="12"/>
  <c r="O7" i="12"/>
  <c r="O10" i="12"/>
  <c r="B74" i="15"/>
  <c r="C40" i="4"/>
  <c r="D8" i="2"/>
  <c r="F12" i="4"/>
  <c r="G12" i="4" s="1"/>
  <c r="B23" i="15" l="1"/>
  <c r="F23" i="15" s="1"/>
  <c r="P7" i="12"/>
  <c r="P6" i="12"/>
  <c r="P8" i="12"/>
  <c r="P5" i="12"/>
  <c r="P9" i="12"/>
  <c r="P12" i="12"/>
  <c r="P10" i="12"/>
  <c r="P11" i="12"/>
  <c r="P14" i="12"/>
  <c r="P13" i="12"/>
  <c r="C17" i="5" l="1"/>
  <c r="C28" i="5" s="1"/>
  <c r="C41" i="5" s="1"/>
  <c r="B16" i="14"/>
  <c r="C11" i="2"/>
  <c r="B22" i="14" l="1"/>
  <c r="B23" i="14" l="1"/>
  <c r="F23" i="14" s="1"/>
  <c r="C26" i="14"/>
  <c r="B37" i="14"/>
  <c r="C49" i="5"/>
  <c r="C52" i="5" l="1"/>
  <c r="C53" i="5" s="1"/>
  <c r="C54" i="5" s="1"/>
  <c r="D16" i="7"/>
  <c r="D15" i="7" s="1"/>
  <c r="B38" i="14"/>
  <c r="C55" i="5" l="1"/>
  <c r="E17" i="7"/>
  <c r="B39" i="14"/>
  <c r="F38" i="14"/>
  <c r="D40" i="14"/>
  <c r="C12" i="3" l="1"/>
  <c r="D44" i="14"/>
  <c r="C16" i="14" s="1"/>
  <c r="C19" i="3"/>
  <c r="F16" i="14" l="1"/>
  <c r="M16" i="14" s="1"/>
  <c r="C14" i="3"/>
  <c r="D44" i="15"/>
  <c r="C13" i="3"/>
  <c r="C12" i="6" s="1"/>
  <c r="C17" i="3"/>
  <c r="C106" i="11"/>
  <c r="E106" i="11" s="1"/>
  <c r="C19" i="6"/>
  <c r="C11" i="6"/>
  <c r="C17" i="6" l="1"/>
  <c r="B46" i="15"/>
  <c r="F46" i="15" s="1"/>
  <c r="L46" i="15" s="1"/>
  <c r="C104" i="11"/>
  <c r="C16" i="15"/>
  <c r="B41" i="15"/>
  <c r="F41" i="15" s="1"/>
  <c r="G41" i="15" s="1"/>
  <c r="M58" i="14"/>
  <c r="B72" i="14"/>
  <c r="C80" i="14" s="1"/>
  <c r="C15" i="3"/>
  <c r="B41" i="14"/>
  <c r="F41" i="14" s="1"/>
  <c r="G41" i="14" s="1"/>
  <c r="B40" i="15"/>
  <c r="C13" i="6"/>
  <c r="B40" i="14" s="1"/>
  <c r="F40" i="14" l="1"/>
  <c r="G40" i="14" s="1"/>
  <c r="G58" i="14" s="1"/>
  <c r="B63" i="14" s="1"/>
  <c r="F16" i="15"/>
  <c r="M16" i="15" s="1"/>
  <c r="E104" i="11"/>
  <c r="C21" i="3"/>
  <c r="F40" i="15"/>
  <c r="G40" i="15" s="1"/>
  <c r="G58" i="15" s="1"/>
  <c r="B63" i="15" s="1"/>
  <c r="C15" i="6"/>
  <c r="B46" i="14"/>
  <c r="F46" i="14" s="1"/>
  <c r="L46" i="14" s="1"/>
  <c r="C24" i="8"/>
  <c r="C26" i="8" s="1"/>
  <c r="C20" i="3"/>
  <c r="C16" i="1" l="1"/>
  <c r="M58" i="15"/>
  <c r="B72" i="15"/>
  <c r="C80" i="15" s="1"/>
  <c r="C15" i="8"/>
  <c r="B44" i="15"/>
  <c r="C21" i="6"/>
  <c r="B44" i="14" s="1"/>
  <c r="C107" i="11"/>
  <c r="E107" i="11" s="1"/>
  <c r="C105" i="11"/>
  <c r="C20" i="6"/>
  <c r="B47" i="15"/>
  <c r="F47" i="15" s="1"/>
  <c r="L47" i="15" s="1"/>
  <c r="C23" i="3"/>
  <c r="C24" i="3" s="1"/>
  <c r="C27" i="3" s="1"/>
  <c r="F44" i="14" l="1"/>
  <c r="I44" i="14" s="1"/>
  <c r="I58" i="14" s="1"/>
  <c r="B65" i="14" s="1"/>
  <c r="C24" i="1"/>
  <c r="C26" i="1" s="1"/>
  <c r="F44" i="15"/>
  <c r="I44" i="15" s="1"/>
  <c r="I58" i="15" s="1"/>
  <c r="B65" i="15" s="1"/>
  <c r="B56" i="15"/>
  <c r="B47" i="14"/>
  <c r="F47" i="14" s="1"/>
  <c r="L47" i="14" s="1"/>
  <c r="C23" i="6"/>
  <c r="C24" i="6" s="1"/>
  <c r="C26" i="6" s="1"/>
  <c r="E105" i="11"/>
  <c r="E109" i="11" s="1"/>
  <c r="C109" i="11"/>
  <c r="C110" i="11" s="1"/>
  <c r="D56" i="15" l="1"/>
  <c r="B57" i="15"/>
  <c r="B59" i="15"/>
  <c r="B56" i="14"/>
  <c r="C37" i="15" l="1"/>
  <c r="D58" i="15"/>
  <c r="B57" i="14"/>
  <c r="B59" i="14"/>
  <c r="D56" i="14"/>
  <c r="F56" i="14" s="1"/>
  <c r="L56" i="14" s="1"/>
  <c r="L58" i="14" s="1"/>
  <c r="B67" i="14" s="1"/>
  <c r="F56" i="15"/>
  <c r="L56" i="15" s="1"/>
  <c r="L58" i="15" s="1"/>
  <c r="B67" i="15" s="1"/>
  <c r="C17" i="8" l="1"/>
  <c r="C19" i="8" s="1"/>
  <c r="C27" i="8" s="1"/>
  <c r="C70" i="14"/>
  <c r="C90" i="14" s="1"/>
  <c r="C92" i="14" s="1"/>
  <c r="E92" i="14" s="1"/>
  <c r="C18" i="1"/>
  <c r="C20" i="1" s="1"/>
  <c r="C27" i="1" s="1"/>
  <c r="C28" i="1" s="1"/>
  <c r="C70" i="15"/>
  <c r="C90" i="15" s="1"/>
  <c r="C92" i="15" s="1"/>
  <c r="E92" i="15" s="1"/>
  <c r="C37" i="14"/>
  <c r="D58" i="14"/>
  <c r="F37" i="15"/>
  <c r="C58" i="15"/>
  <c r="F58" i="15" s="1"/>
  <c r="O58" i="15" s="1"/>
  <c r="D59" i="15" l="1"/>
  <c r="F37" i="14"/>
  <c r="C58" i="14"/>
  <c r="F58" i="14" s="1"/>
  <c r="O58" i="14" s="1"/>
  <c r="D90" i="15"/>
  <c r="E90" i="15" s="1"/>
  <c r="O59" i="15"/>
  <c r="C28" i="8"/>
  <c r="C29" i="8"/>
  <c r="D90" i="14" l="1"/>
  <c r="E90" i="14" s="1"/>
  <c r="O59" i="14"/>
  <c r="D5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5" authorId="0" shapeId="0" xr:uid="{ED5A282E-0C35-4F3B-BA69-632724F2A6C7}">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5977D42B-42C5-4D10-9FC1-C87F3F4FBB7F}">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Sady Pereira</author>
  </authors>
  <commentList>
    <comment ref="G5" authorId="0" shapeId="0" xr:uid="{3149DA30-6703-4AE2-8A79-FAE5B7CD9547}">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F72A4B62-E239-4DB7-BD88-A2132F8F1CB0}">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 ref="D40" authorId="1" shapeId="0" xr:uid="{2D9A9821-747D-4B0A-8504-3B89F4623A9D}">
      <text>
        <r>
          <rPr>
            <b/>
            <sz val="9"/>
            <color indexed="81"/>
            <rFont val="Tahoma"/>
            <family val="2"/>
          </rPr>
          <t>Sady Pereira:</t>
        </r>
        <r>
          <rPr>
            <sz val="9"/>
            <color indexed="81"/>
            <rFont val="Tahoma"/>
            <family val="2"/>
          </rPr>
          <t xml:space="preserve">
Valuación AB
</t>
        </r>
      </text>
    </comment>
    <comment ref="D44" authorId="1" shapeId="0" xr:uid="{D3DAC264-0F33-4643-AA5F-1425EAE6F200}">
      <text>
        <r>
          <rPr>
            <b/>
            <sz val="9"/>
            <color indexed="81"/>
            <rFont val="Tahoma"/>
            <family val="2"/>
          </rPr>
          <t>Sady Pereira:</t>
        </r>
        <r>
          <rPr>
            <sz val="9"/>
            <color indexed="81"/>
            <rFont val="Tahoma"/>
            <family val="2"/>
          </rPr>
          <t xml:space="preserve">
Mortandad</t>
        </r>
      </text>
    </comment>
    <comment ref="D46" authorId="1" shapeId="0" xr:uid="{4410DF27-7D2D-4E30-9FC8-19FC5F1C9D74}">
      <text>
        <r>
          <rPr>
            <b/>
            <sz val="9"/>
            <color indexed="81"/>
            <rFont val="Tahoma"/>
            <family val="2"/>
          </rPr>
          <t>Sady Pereira:</t>
        </r>
        <r>
          <rPr>
            <sz val="9"/>
            <color indexed="81"/>
            <rFont val="Tahoma"/>
            <family val="2"/>
          </rPr>
          <t xml:space="preserve">
Provision de Comisiones AFPISA</t>
        </r>
      </text>
    </comment>
    <comment ref="D47" authorId="1" shapeId="0" xr:uid="{4A120070-35DF-41FA-9030-0C7E40DB49F6}">
      <text>
        <r>
          <rPr>
            <b/>
            <sz val="9"/>
            <color indexed="81"/>
            <rFont val="Tahoma"/>
            <family val="2"/>
          </rPr>
          <t>Sady Pereira:</t>
        </r>
        <r>
          <rPr>
            <sz val="9"/>
            <color indexed="81"/>
            <rFont val="Tahoma"/>
            <family val="2"/>
          </rPr>
          <t xml:space="preserve">
Devengamientos Gastos Pagad x Adelantado
</t>
        </r>
      </text>
    </comment>
  </commentList>
</comments>
</file>

<file path=xl/sharedStrings.xml><?xml version="1.0" encoding="utf-8"?>
<sst xmlns="http://schemas.openxmlformats.org/spreadsheetml/2006/main" count="654" uniqueCount="375">
  <si>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</si>
  <si>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</si>
  <si>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</si>
  <si>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</si>
  <si>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</si>
  <si>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</si>
  <si>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</si>
  <si>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</si>
  <si>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</si>
  <si>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</si>
  <si>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</si>
  <si>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</si>
  <si>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</si>
  <si>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</si>
  <si>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</si>
  <si>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</si>
  <si>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</si>
  <si>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</si>
  <si>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</si>
  <si>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</si>
  <si>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</si>
  <si>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</si>
  <si>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</si>
  <si>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</si>
  <si>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</si>
  <si>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</si>
  <si>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</si>
  <si>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</si>
  <si>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</si>
  <si>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</si>
  <si>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</si>
  <si>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</si>
  <si>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</si>
  <si>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</si>
  <si>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</si>
  <si>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</si>
  <si>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</si>
  <si>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ACTIVOS</t>
  </si>
  <si>
    <t>ACTIVO CORRIENTE</t>
  </si>
  <si>
    <t>DISPONIBILIDADES</t>
  </si>
  <si>
    <t>Valores al cobro  (Nota    )</t>
  </si>
  <si>
    <t xml:space="preserve">INVERSIONES </t>
  </si>
  <si>
    <t>Titulo de Renta fija (Nota    )</t>
  </si>
  <si>
    <t>Titulo de Renta Variable</t>
  </si>
  <si>
    <t>ACTIVO NO CORRIENTE</t>
  </si>
  <si>
    <t>Total de Activo Bruto</t>
  </si>
  <si>
    <t xml:space="preserve">PASIVOS </t>
  </si>
  <si>
    <t xml:space="preserve">PASIVO </t>
  </si>
  <si>
    <t>ACREEDORES POR OPERACIONES</t>
  </si>
  <si>
    <t>Comisiones a Pagar a la Administradora</t>
  </si>
  <si>
    <t xml:space="preserve">Total Pasivo </t>
  </si>
  <si>
    <t>TOTAL PATRIMONIO</t>
  </si>
  <si>
    <t>TOTAL PASIVO Y PATRIMONIO NETO</t>
  </si>
  <si>
    <t>CANTIDAD CUOTAS PARTE</t>
  </si>
  <si>
    <t>VALOR CUOTA</t>
  </si>
  <si>
    <t>TOTAL ACTIVO NETO</t>
  </si>
  <si>
    <t>(EN MONEDA LOCAL)</t>
  </si>
  <si>
    <t>TOTAL ACTIVO CORRIENTE</t>
  </si>
  <si>
    <t>(Moneda Local)</t>
  </si>
  <si>
    <t>Diferencia de Cambio saldo inicial de caja y bancos</t>
  </si>
  <si>
    <t>Desde</t>
  </si>
  <si>
    <t>Tipo de cambio Vendedor</t>
  </si>
  <si>
    <t>Comparativo</t>
  </si>
  <si>
    <t>Tipo de cambio Comprador</t>
  </si>
  <si>
    <t>FECHA DE REPORTE</t>
  </si>
  <si>
    <t>Estados Financieros</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</si>
  <si>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</si>
  <si>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</si>
  <si>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</si>
  <si>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</si>
  <si>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</si>
  <si>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</si>
  <si>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</si>
  <si>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</si>
  <si>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</si>
  <si>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</si>
  <si>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</si>
  <si>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USD</t>
  </si>
  <si>
    <t>Causa de las Variaciones de efectivo</t>
  </si>
  <si>
    <t>Aumento o disminucion intereses a cobrar</t>
  </si>
  <si>
    <t>NOTAS A LOS ESTADOS CONTABLES</t>
  </si>
  <si>
    <t>INFORME DEL SINDICO</t>
  </si>
  <si>
    <t>Señores accionistas de</t>
  </si>
  <si>
    <t>Es mi informe.</t>
  </si>
  <si>
    <t>Juan José Talavera</t>
  </si>
  <si>
    <t>Síndico Titular</t>
  </si>
  <si>
    <t>CARACTERISTICAS DE LA EMISIÓN DE CUOTAS DE PARTICIPACIÓN</t>
  </si>
  <si>
    <t>Condiciones de compra de cuotas del fondo:</t>
  </si>
  <si>
    <t>Nota  2 – Información sobre la Administradora</t>
  </si>
  <si>
    <t>Nota 3.- Principales políticas y prácticas contables aplicadas.</t>
  </si>
  <si>
    <t xml:space="preserve">3.2. La moneda de cuenta </t>
  </si>
  <si>
    <t>3.3 Política de Constitución de Previsiones:</t>
  </si>
  <si>
    <t>3.5 – Valuación de las Inversiones</t>
  </si>
  <si>
    <t>3.6 Política de Reconocimiento de Ingresos:</t>
  </si>
  <si>
    <t xml:space="preserve">3.7  Flujo de Efectivo  </t>
  </si>
  <si>
    <t>Periodo actual</t>
  </si>
  <si>
    <t>Periodo anterior</t>
  </si>
  <si>
    <t>Tipo de cambio comprador</t>
  </si>
  <si>
    <t>Posición en moneda extranjera</t>
  </si>
  <si>
    <t>Detalle</t>
  </si>
  <si>
    <t>Moneda extranjera clase</t>
  </si>
  <si>
    <t>Moneda extranjera Monto</t>
  </si>
  <si>
    <t>Cambio vigente</t>
  </si>
  <si>
    <t>Saldo periodo actual (Gs.)</t>
  </si>
  <si>
    <t>Activos</t>
  </si>
  <si>
    <t>Pasivos</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</si>
  <si>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</si>
  <si>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</si>
  <si>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</si>
  <si>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</si>
  <si>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</si>
  <si>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</si>
  <si>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</si>
  <si>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</si>
  <si>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</si>
  <si>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</si>
  <si>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</si>
  <si>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</si>
  <si>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</si>
  <si>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</si>
  <si>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</si>
  <si>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</si>
  <si>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</si>
  <si>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</si>
  <si>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</si>
  <si>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</si>
  <si>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</si>
  <si>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</si>
  <si>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</si>
  <si>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</si>
  <si>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4.3 – ACREEDORES  POR OPERACIONES</t>
  </si>
  <si>
    <t>Comisión por Administración ( en usd)</t>
  </si>
  <si>
    <t xml:space="preserve">       4.2 INVERSIONES</t>
  </si>
  <si>
    <t>Emisor</t>
  </si>
  <si>
    <t>Fecha de vencimiento</t>
  </si>
  <si>
    <t>Monto</t>
  </si>
  <si>
    <t>CDA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</si>
  <si>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</si>
  <si>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</si>
  <si>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</si>
  <si>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</si>
  <si>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</si>
  <si>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</si>
  <si>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</si>
  <si>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</si>
  <si>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</si>
  <si>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</si>
  <si>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</si>
  <si>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Paraguay</t>
  </si>
  <si>
    <t>4.2 INVERSIONES</t>
  </si>
  <si>
    <t>Ver Cuadro</t>
  </si>
  <si>
    <t>Suscripciones (*)</t>
  </si>
  <si>
    <t>Comisión por Aranceles y corretajes</t>
  </si>
  <si>
    <t>No aplica</t>
  </si>
  <si>
    <t>4.4 – COMISIONES A PAGAR A LA ADMINISTRADORA</t>
  </si>
  <si>
    <t>Valores al cobro  (Nota 4.1 )</t>
  </si>
  <si>
    <t>Titulo de Renta fija (Nota 4.2 )</t>
  </si>
  <si>
    <t>Las cinco (5) Notas que se acompañan son parte integrante de de estos Estados Financieros</t>
  </si>
  <si>
    <t>Comisión por Corretaje y Aranceles</t>
  </si>
  <si>
    <t>Resultados Distribuidos</t>
  </si>
  <si>
    <t>Resultados acumulados Distrib</t>
  </si>
  <si>
    <t>Nota 5. HECHOS POSTERIORES AL CIERRE</t>
  </si>
  <si>
    <t>Resultados Acumulados</t>
  </si>
  <si>
    <t xml:space="preserve">Resultados acumulados  </t>
  </si>
  <si>
    <t>Efectivos en moneda estranjera depositadas en las cuentas bancarias y Casa de Bolsa</t>
  </si>
  <si>
    <t>Fondo de Inversión IN Ganadero Dólares Americanos</t>
  </si>
  <si>
    <t>FONDO DE INVERSIÓN IN GANADERO DÓLARES AMERICANOS</t>
  </si>
  <si>
    <t xml:space="preserve">Nota  1 – INFORMACIÓN BÁSICA DEL FONDO DE INVERSIÓN IN GANADERO DÓLARES AMERICANOS </t>
  </si>
  <si>
    <t>Objetivo principal del Fondo: El Fondo tendrá como objetivo principal invertir en el negocio ganadero, mediante la compra de desmamantes machos y hembras para su engorde, terminación y posterior comercialización. Las ventas provenientes de estos activos biológicos constituirán la principal fuente de ingresos del Fondo.
Está enfocado a los inversionistas que aspiran tener rendimientos superiores a las inversiones tradicionales asumiendo un riesgo moderado, y un perfil conservador, con disponibilidad del retorno de la inversión ajustado al ciclo de producción de invernada.
El Fondo, ofrece a los inversores exposición directa al sector ganadero a través de invertir en inversiones respaldadas por activos reales, a su vez entregará a sus participes la oportunidad de invertir en la economía real del país, mediante el desarrollo de actividades ganaderas, contribuyendo al crecimiento de este sector y al mismo tiempo ofrecer una rentabilidad atractiva a mediano y largo plazo.
Las inversiones del Fondo se efectuarán dentro del territorio Nacional, específicamente en la zona del Chaco Paraguayo. Los activos biológicos en los cuales invierta el Fondo serán registrados en el registro de marcas y señales de ganado del territorio nacional a nombre del Fondo.
El Fondo tendrá la potestad de firmar contratos de arrendamientos y subarrendamientos para la consecución del negocio.</t>
  </si>
  <si>
    <t>El Fondo tiene un objetivo de rendimiento del 8%, no obstante, el Fondo no garantiza su rentabilidad.                                                                               
Para dar cumplimiento a lo señalado en el número 1. Precedente, y dar cumplimiento con sus objetivos, el Fondo Invertirá sus recursos de acuerdo con los siguientes límites y criterios:                                                                                                                                                                                                                                          
En desmamantes machos y hembras con rango promedio inicial de 160 Kilogramos a 200 kilogramos para el proceso de invernada y terminación del hato, hasta alcanzar un peso final aproximadamente de 460 a 480 kilogramos de carne en machos y 400 a 420 Kilogramos en hembras, en un lapso de 18 a 24 meses, para su posterior venta en el mercado.                                                                                                                 
Los activos biológicos adquiridos por el Fondo tendrán su propia marca y se encontrarán inscriptos en la dirección de marcas de señales de ganado, a nombre del Fondo.
El proceso de invernada se llevará a cabo en campos a ser arrendados por el Fondo ubicadas en la zona del chaco paraguayo.                                                                                         
La venta del producto terminado se realizará a los frigoríficos, con los precios que rigen en los mercados internacionales ya que será destinado a la exportación. La renta obtenida en esta operación se distribuirá entre los cuotapartistas o inversionistas del fondo en cada fin del ciclo productivo de engorde.</t>
  </si>
  <si>
    <t>El índice de mortandad del hato ganadero, aceptado por el Fondo será de hasta el 2% anual.                                                                                                                                                                   
Adicionalmente, sin perjuicio de lo anterior, el Fondo, tendrá la posibilidad de arrendar o subarrendar los inmuebles necesarios para la consecución de los objetivos propuesto en el presente Reglamento Interno.                                                                                                                                               
Adicionalmente, el Fondo podrá invertir sus recursos en los siguientes valores y bienes, sin perjuicio de las cantidades que mantenga en bancos y siempre con un límite global para cada una de estas inversiones de un 75% del activo total del Fondo.                                                                                                             
Títulos emitidos por el Tesoro Público o garantizados por el mismo, cuya emisión haya sido registrada en el Registro de Valores que lleva la Comisión Nacional de Valores (CNV) o que cuenten con garantía estatal por el 100% de su valor hasta su total extinción.
Títulos emitidos por el Banco Central del Paraguay.                                                                                                                                                                                                                   
Depósitos a plazo y otros títulos representativos de captaciones de instituciones financieras o garantizados por éstas.                                                                                                                     
Bonos emitidos en la Bolsa de Valores y registradas en la Comisión Nacional de Valores.                                                                                                                                                                                           
Operaciones de venta con compromiso de compra y las operaciones de compra con compromiso de venta con los valores comprendidos en este apartado.                                                                                                                                                                                                                                                                                                        
Cuotas partes de fondos mutuos, tanto nacionales como extranjeros, que sean susceptibles de ser rescatadas. No se requerirá que dichos fondos tengan límite de inversión ni de diversificación en sus activos.</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</si>
  <si>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</si>
  <si>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El flujo de efectivos fue preparado de acuerdo con la Resolución CG N° 30/2021 de la Comisión Nacional de Valores.</t>
  </si>
  <si>
    <t>Patrimonio Neto del Fondo de Inversión IN Ganadero Dólares Americanos</t>
  </si>
  <si>
    <t>Guaraníes</t>
  </si>
  <si>
    <t>Ganadero</t>
  </si>
  <si>
    <t>CREDITOS</t>
  </si>
  <si>
    <t>Impuestos Corrientes</t>
  </si>
  <si>
    <t>Anticipos a Proveedores</t>
  </si>
  <si>
    <t>Activos Biologicos en Producción</t>
  </si>
  <si>
    <t>PLAN FONDO DE INVERSION IN GANADERO U$S</t>
  </si>
  <si>
    <t>Cuentas a Pagar</t>
  </si>
  <si>
    <t>El Fondo no constituye Previsiones.</t>
  </si>
  <si>
    <t>Bancos M/L Cta Cte</t>
  </si>
  <si>
    <t>Bancos M/E Cta Cte</t>
  </si>
  <si>
    <t xml:space="preserve"> Las inversiones (Bonos y CDA en cartera), se exponen a sus valores actualizados. Las diferencias  se exponen en el estado de resultados en el rubro intereses ganados.</t>
  </si>
  <si>
    <t>a)    Diferencia de cambio en Moneda Extranjera</t>
  </si>
  <si>
    <t>b)   Gastos operacionales y comisiones de la administradora con cargo al Fondo:</t>
  </si>
  <si>
    <t>c)    Información Estadística</t>
  </si>
  <si>
    <t xml:space="preserve">Investor Casa De Bolsa S.A. M/L </t>
  </si>
  <si>
    <t xml:space="preserve">Investor Casa De Bolsa S.A. M/E </t>
  </si>
  <si>
    <t>Precio de Compra del Ganado Vacuno</t>
  </si>
  <si>
    <t>Resumen</t>
  </si>
  <si>
    <t>Inversiones en Activos Biologicos</t>
  </si>
  <si>
    <t>Inversiones en Titulos - Valores</t>
  </si>
  <si>
    <t>(EN DOLARES AMERICANOS)</t>
  </si>
  <si>
    <t xml:space="preserve">ESTADO DEL ACTIVO NETO </t>
  </si>
  <si>
    <t>ESTADO DE INGRESOS Y EGRESOS</t>
  </si>
  <si>
    <t>ESTADO DE FLUJOS DE EFECTIVO</t>
  </si>
  <si>
    <t xml:space="preserve">ESTADO DE RESULTADOS </t>
  </si>
  <si>
    <t>La emisión de cuotas de participación se realizará en moneda extranjera (Dólares americanos), los valores serán de oferta pública, inscriptas en el registro de la Comisión Nacional de Valores (C.N.V.) y registrada en la Bolsa de Valores y Productos de Asunción S.A. (B.V.P.A.S.A).</t>
  </si>
  <si>
    <t xml:space="preserve">Clientes </t>
  </si>
  <si>
    <t>GASTOS PAGADOS POR ADELANTADO</t>
  </si>
  <si>
    <t>Alquileres pagados por adelantado</t>
  </si>
  <si>
    <t>Costo de Trasformacion de Activo Biologico</t>
  </si>
  <si>
    <t>Aumento o disminución en acreedores por operaciones</t>
  </si>
  <si>
    <t xml:space="preserve"> Los fondos se constituyeron  en moneda extranjera, pero exisitieron operaciones en moneda local, por lo cual se realizo la conversión de sus Estados Financieros a Dólares Americanos, se efectúa al cierre al solo efecto de su presentación a los entes reguladores. Las diferencias de cambio que se exponen en el Flujo de Efectivo y la Variación del activo neto, es al sólo efecto de ajustar los saldos iniciales a los tipos de cambo del presente ejercicio.</t>
  </si>
  <si>
    <t>Saldo al 31/12/2021</t>
  </si>
  <si>
    <t>Otros Gastos</t>
  </si>
  <si>
    <t>Costo de Transformacion de AB</t>
  </si>
  <si>
    <t>BIENES DE USO</t>
  </si>
  <si>
    <t>Popiedad, Planta y Equipo</t>
  </si>
  <si>
    <t>(-) Depreciaciones Acumuladas</t>
  </si>
  <si>
    <t>Resultados del Ejercicio</t>
  </si>
  <si>
    <t>Cambio Promedio vigente</t>
  </si>
  <si>
    <t>Telefonica Celular Del Paraguay S.A.E (Telecel S.A.E)</t>
  </si>
  <si>
    <t>Inventario de Ganado Vacuno</t>
  </si>
  <si>
    <t>Efectivo y equivalentes de efectivo al final de periodo</t>
  </si>
  <si>
    <t>Efectivo y equivalentes de efectivo al inicio</t>
  </si>
  <si>
    <t>Aumento (disminución) de efectivo y equivalente de efectivo</t>
  </si>
  <si>
    <t>Efectivo neto provisto (usado) por Actividades de Financiamiento</t>
  </si>
  <si>
    <t>Proveniente de emisión de acciones</t>
  </si>
  <si>
    <t>Dividendos pagados</t>
  </si>
  <si>
    <t>Préstamos bancarios</t>
  </si>
  <si>
    <t>Flujos de Efectivo por Actividades de Financiamiento</t>
  </si>
  <si>
    <t>Efectivo neto provisto (usado) por Actividades de inversion</t>
  </si>
  <si>
    <t>Dividendos percibidos</t>
  </si>
  <si>
    <t>Intereses percibidos</t>
  </si>
  <si>
    <t>Adquisicion de acciones y titulos de deuda</t>
  </si>
  <si>
    <t>Producto de la Venta de Bienes de Uso</t>
  </si>
  <si>
    <t>Flujos de Efectivo por Actividades de Operación</t>
  </si>
  <si>
    <t>Impuesto a la Renta</t>
  </si>
  <si>
    <t>Otros pagos y cobros</t>
  </si>
  <si>
    <t>Efectivo pagado a Empleados</t>
  </si>
  <si>
    <t xml:space="preserve">Efectivo pagado a Proveedores </t>
  </si>
  <si>
    <t>Efectivo Recibido por Otros Beneficios</t>
  </si>
  <si>
    <t>Efectivo Recibido de Clientes</t>
  </si>
  <si>
    <t>Producto de la Venta de B. Uso</t>
  </si>
  <si>
    <t>RESULTADO DEL EJERCICIO</t>
  </si>
  <si>
    <t xml:space="preserve">IMPUESTO A LA RENTA  </t>
  </si>
  <si>
    <t>INTERESES PAGADOS Y DEVENGADOS PRESTAMOS</t>
  </si>
  <si>
    <t>SEGUROS</t>
  </si>
  <si>
    <t>RESERVA LEGAL</t>
  </si>
  <si>
    <t>DEPRECIACIÓN Y AMORTIZACION DEL EJERCICIO</t>
  </si>
  <si>
    <t>GASTOS GENERALES</t>
  </si>
  <si>
    <t>GASTOS DE VENTAS</t>
  </si>
  <si>
    <t>SUELDOS Y JORNALES</t>
  </si>
  <si>
    <t>COSTO DE VENTAS</t>
  </si>
  <si>
    <t>DIVIDENDOS COBRADOS</t>
  </si>
  <si>
    <t>INTERESES DEVENGADOS POSITIVO</t>
  </si>
  <si>
    <t>OTROS INGRESOS OPERATIVOS</t>
  </si>
  <si>
    <t>INGRESOS POR INTERMEDIACION Y COMISIONES (OPERATIVOS)</t>
  </si>
  <si>
    <t>ESTADO DE RESUTADO</t>
  </si>
  <si>
    <t>UTILIDADES DEL EJERCICIO</t>
  </si>
  <si>
    <t>RETIRO A CTA DE UTILIDADES</t>
  </si>
  <si>
    <t>RESULTADOS  ACUMULADOS</t>
  </si>
  <si>
    <t>REVALUO BVPASA</t>
  </si>
  <si>
    <t>RESERVA DE REVALUO</t>
  </si>
  <si>
    <t>APORTE A FUTURA CAPITALIZACION(EFECTIVO)</t>
  </si>
  <si>
    <t>CAPITAL INTEGRADO</t>
  </si>
  <si>
    <t>SUELDOS A PAGAR Y EMPRESAS RELACIONADAS</t>
  </si>
  <si>
    <t>IMPUESTO A LA RENTA A PAGAR</t>
  </si>
  <si>
    <t>DIVIDENDOS A DISTRIBUIR</t>
  </si>
  <si>
    <t>OTRAS DEUDAS (NO INCLUIDAS ANTERIORMENTE)</t>
  </si>
  <si>
    <t xml:space="preserve">ACREEDORES POR INTERMEDIACION                               </t>
  </si>
  <si>
    <t xml:space="preserve">PRESTAMOS EN BANCOS              </t>
  </si>
  <si>
    <t xml:space="preserve">PASIVO  </t>
  </si>
  <si>
    <t>TOTAL ACTIVO</t>
  </si>
  <si>
    <t>GASTOS DIFERIDOS O NO DEVENGADOS</t>
  </si>
  <si>
    <t>(AMORTIZACION DE INTANGIBLES)</t>
  </si>
  <si>
    <t>BIENES INTANGIBLES</t>
  </si>
  <si>
    <t xml:space="preserve">(DEPRE. ACUMULADAS)              </t>
  </si>
  <si>
    <t xml:space="preserve">BIENES DE USO                           </t>
  </si>
  <si>
    <t>INVERSIONES EN OTRAS GANADO</t>
  </si>
  <si>
    <t>INVERSIONES EN VALORES PUBLICOS Y PRIVADOS</t>
  </si>
  <si>
    <t xml:space="preserve">(PREVISIÓN P/ INCOBRABLES)   </t>
  </si>
  <si>
    <t>DEUDORES VARIOS Y OTROS CREDITOS</t>
  </si>
  <si>
    <t>DEUDORES POR INTERMEDIACION</t>
  </si>
  <si>
    <t>ANTICIPO DE IRACIS</t>
  </si>
  <si>
    <t xml:space="preserve">CREDITOS FISCALES </t>
  </si>
  <si>
    <t xml:space="preserve">ACTIVO </t>
  </si>
  <si>
    <t>PROVISTOS</t>
  </si>
  <si>
    <t>ENTES RELACIONADOS</t>
  </si>
  <si>
    <t>EMPLEADOS</t>
  </si>
  <si>
    <t>RENTA</t>
  </si>
  <si>
    <t>P/MERCAD.</t>
  </si>
  <si>
    <t>BENEFICIOS</t>
  </si>
  <si>
    <t>CLIENTES</t>
  </si>
  <si>
    <t>(CREDITOS)</t>
  </si>
  <si>
    <t>AL  31/12/2021</t>
  </si>
  <si>
    <t>DEBITOS</t>
  </si>
  <si>
    <t>(USADOS)</t>
  </si>
  <si>
    <t>COBROS (PAGOS)</t>
  </si>
  <si>
    <t xml:space="preserve">PAGO A </t>
  </si>
  <si>
    <t>PAGOS IMP</t>
  </si>
  <si>
    <t>PAGOS PROVEED.</t>
  </si>
  <si>
    <t>OTROS</t>
  </si>
  <si>
    <t>RECIBIDO DE</t>
  </si>
  <si>
    <t>FINANCIAMIENTOS</t>
  </si>
  <si>
    <t>DE INVERSION</t>
  </si>
  <si>
    <t>ACTIVIDADES DE OPERACIÓN</t>
  </si>
  <si>
    <t>VARIACIÓN</t>
  </si>
  <si>
    <t>BALANCE   Y</t>
  </si>
  <si>
    <t>ELIMINACIONES</t>
  </si>
  <si>
    <t>ACTIVIDADES DE</t>
  </si>
  <si>
    <t>ACTIVIDADES</t>
  </si>
  <si>
    <t>(-) Salida de Dinero</t>
  </si>
  <si>
    <t>(-) Haber</t>
  </si>
  <si>
    <t>(+) Entrada Efectivo</t>
  </si>
  <si>
    <t>(+) Debe</t>
  </si>
  <si>
    <t>FLUJO DE EFECTIVO</t>
  </si>
  <si>
    <t>Inversiones en Ganado</t>
  </si>
  <si>
    <t>(Anexo D)</t>
  </si>
  <si>
    <r>
      <t xml:space="preserve"> Naturaleza jurídica: </t>
    </r>
    <r>
      <rPr>
        <sz val="11"/>
        <color theme="1"/>
        <rFont val="Noto Sans"/>
        <family val="2"/>
      </rPr>
      <t xml:space="preserve">  FONDO DE INVERSIÓN IN GANADERO DÓLARES AMERICANOS</t>
    </r>
  </si>
  <si>
    <r>
      <t>Autorizados por Resolución Nro. 27 E/21 de fecha 02 de Agosto de 2021 de la Comisión Nacional de Valores</t>
    </r>
    <r>
      <rPr>
        <b/>
        <sz val="11"/>
        <color theme="1"/>
        <rFont val="Noto Sans"/>
        <family val="2"/>
      </rPr>
      <t>;</t>
    </r>
  </si>
  <si>
    <r>
      <rPr>
        <b/>
        <sz val="11"/>
        <color theme="1"/>
        <rFont val="Noto Sans"/>
        <family val="2"/>
      </rPr>
      <t xml:space="preserve">Valor total del Fondo: </t>
    </r>
    <r>
      <rPr>
        <sz val="11"/>
        <color theme="1"/>
        <rFont val="Noto Sans"/>
        <family val="2"/>
      </rPr>
      <t>USD 10.000.000,00 (Dólares americanos Diez millones).</t>
    </r>
  </si>
  <si>
    <r>
      <rPr>
        <b/>
        <sz val="11"/>
        <color theme="1"/>
        <rFont val="Noto Sans"/>
        <family val="2"/>
      </rPr>
      <t>El valor nominal de cada cuota:</t>
    </r>
    <r>
      <rPr>
        <sz val="11"/>
        <color theme="1"/>
        <rFont val="Noto Sans"/>
        <family val="2"/>
      </rPr>
      <t xml:space="preserve"> USD 1.000,00 (Dólares americanos Un mil).</t>
    </r>
  </si>
  <si>
    <r>
      <rPr>
        <b/>
        <sz val="11"/>
        <color theme="1"/>
        <rFont val="Noto Sans"/>
        <family val="2"/>
      </rPr>
      <t>Plazo de colocación:</t>
    </r>
    <r>
      <rPr>
        <sz val="11"/>
        <color theme="1"/>
        <rFont val="Noto Sans"/>
        <family val="2"/>
      </rPr>
      <t xml:space="preserve">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</si>
  <si>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Cantidad de cuotas:</t>
    </r>
    <r>
      <rPr>
        <sz val="11"/>
        <color theme="1"/>
        <rFont val="Noto Sans"/>
        <family val="2"/>
      </rPr>
      <t xml:space="preserve"> 10.000 (Diez mil).</t>
    </r>
  </si>
  <si>
    <r>
      <rPr>
        <b/>
        <sz val="11"/>
        <color theme="1"/>
        <rFont val="Noto Sans"/>
        <family val="2"/>
      </rPr>
      <t>Precio</t>
    </r>
    <r>
      <rPr>
        <sz val="11"/>
        <color theme="1"/>
        <rFont val="Noto Sans"/>
        <family val="2"/>
      </rPr>
      <t>: No podrá ser inferior al que resulte de dividir el valor diario del patrimonio del fondo por el número de cuotas pagadas a la fecha.</t>
    </r>
  </si>
  <si>
    <r>
      <rPr>
        <b/>
        <sz val="11"/>
        <color theme="1"/>
        <rFont val="Noto Sans"/>
        <family val="2"/>
      </rPr>
      <t xml:space="preserve">Plazo de colocación: </t>
    </r>
    <r>
      <rPr>
        <sz val="11"/>
        <color theme="1"/>
        <rFont val="Noto Sans"/>
        <family val="2"/>
      </rPr>
      <t xml:space="preserve">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</si>
  <si>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Agente colocador:</t>
    </r>
    <r>
      <rPr>
        <sz val="11"/>
        <color theme="1"/>
        <rFont val="Noto Sans"/>
        <family val="2"/>
      </rPr>
      <t xml:space="preserve"> INVESTOR Administradora de Fondos Patrimoniales de Inversión S.A. e INVESTOR Casa de Bolsa S.A.</t>
    </r>
  </si>
  <si>
    <r>
      <rPr>
        <b/>
        <sz val="11"/>
        <color theme="1"/>
        <rFont val="Noto Sans"/>
        <family val="2"/>
      </rPr>
      <t>Entidad de Custodia de las cuotas partes</t>
    </r>
    <r>
      <rPr>
        <sz val="11"/>
        <color theme="1"/>
        <rFont val="Noto Sans"/>
        <family val="2"/>
      </rPr>
      <t>: Bolsa de Valores y Productos de Asunción S.A. (B.V.P.A.S.A), forma desmaterializada por Sistema Electrónico de Negociación (S.E.N.).</t>
    </r>
  </si>
  <si>
    <r>
      <rPr>
        <b/>
        <sz val="11"/>
        <color theme="1"/>
        <rFont val="Noto Sans"/>
        <family val="2"/>
      </rPr>
      <t xml:space="preserve">Entidad de Custodia del portafolio del Fondo: </t>
    </r>
    <r>
      <rPr>
        <sz val="11"/>
        <color theme="1"/>
        <rFont val="Noto Sans"/>
        <family val="2"/>
      </rPr>
      <t>Bolsa de Valores y Productos de Asunción S.A. (B.V.P.A.S.A) e Investor Casa de Bolsa S.A.</t>
    </r>
  </si>
  <si>
    <r>
      <rPr>
        <b/>
        <sz val="11"/>
        <color theme="1"/>
        <rFont val="Noto Sans"/>
        <family val="2"/>
      </rPr>
      <t>Valor máximo de compra:</t>
    </r>
    <r>
      <rPr>
        <sz val="11"/>
        <color theme="1"/>
        <rFont val="Noto Sans"/>
        <family val="2"/>
      </rPr>
      <t xml:space="preserve"> hasta 25% de las cuotas del fondo (2.500 cuotas) por valor nominal de cada cuota USD 1.000 (Dólares Americanos un mil) = USD 2.5000.000 (Dólares Americanos Dos millones Quinientos Mil). </t>
    </r>
  </si>
  <si>
    <r>
      <rPr>
        <b/>
        <sz val="11"/>
        <color theme="1"/>
        <rFont val="Noto Sans"/>
        <family val="2"/>
      </rPr>
      <t>Límites de permanencia:</t>
    </r>
    <r>
      <rPr>
        <sz val="11"/>
        <color theme="1"/>
        <rFont val="Noto Sans"/>
        <family val="2"/>
      </rPr>
      <t xml:space="preserve"> 8 años, prorrogable sucesivamente por periodos de 4 años, a criterio de la Asamblea Extraordinaria de Aportantes.</t>
    </r>
  </si>
  <si>
    <r>
      <rPr>
        <b/>
        <sz val="11"/>
        <color theme="1"/>
        <rFont val="Noto Sans"/>
        <family val="2"/>
      </rPr>
      <t xml:space="preserve">Reglas para suscripción: </t>
    </r>
    <r>
      <rPr>
        <sz val="11"/>
        <color theme="1"/>
        <rFont val="Noto Sans"/>
        <family val="2"/>
      </rPr>
      <t xml:space="preserve">Los partícipes deberán suscribir con la Sociedad Administradora el Contrato de Suscripción al fondo y la Solicitud de Inversión correspondiente. </t>
    </r>
  </si>
  <si>
    <r>
      <rPr>
        <b/>
        <sz val="11"/>
        <color theme="1"/>
        <rFont val="Noto Sans"/>
        <family val="2"/>
      </rPr>
      <t>Forma de representación de las cuotas:</t>
    </r>
    <r>
      <rPr>
        <sz val="11"/>
        <color theme="1"/>
        <rFont val="Noto Sans"/>
        <family val="2"/>
      </rPr>
      <t xml:space="preserve"> Los aportes quedarán expresados en cuotas del fondo, nominativas, unitarias de igual valor y características, y no podrán rescatarse antes de la liquidación del Fondo.</t>
    </r>
  </si>
  <si>
    <r>
      <t>Fue inscripta en la Comisión Nacional de Valores por medio de la Resolucion Nº  34 E/17 de fecha 24 de Agosto de 2017 de la Comisión Nacional de Valores</t>
    </r>
    <r>
      <rPr>
        <b/>
        <sz val="11"/>
        <color theme="1"/>
        <rFont val="Noto Sans"/>
        <family val="2"/>
      </rPr>
      <t>;</t>
    </r>
  </si>
  <si>
    <r>
      <rPr>
        <b/>
        <sz val="11"/>
        <color theme="1"/>
        <rFont val="Noto Sans"/>
        <family val="2"/>
      </rPr>
      <t>2.2 – Entidad encargada de la custodia</t>
    </r>
    <r>
      <rPr>
        <sz val="11"/>
        <color theme="1"/>
        <rFont val="Noto Sans"/>
        <family val="2"/>
      </rPr>
      <t>: BVPASA e INVESTOR Casa de Bolsa S.A.</t>
    </r>
  </si>
  <si>
    <r>
      <t>Los ingresos son reconocidos con base en el criterio de lo devengado, de conformidad con las disposiciones de las Normas contables emitidas por el Consejo de Contadores Públicos del Paraguay</t>
    </r>
    <r>
      <rPr>
        <b/>
        <sz val="11"/>
        <color theme="1"/>
        <rFont val="Noto Sans"/>
        <family val="2"/>
      </rPr>
      <t>.</t>
    </r>
  </si>
  <si>
    <r>
      <rPr>
        <b/>
        <sz val="11"/>
        <color theme="1"/>
        <rFont val="Noto Sans"/>
        <family val="2"/>
      </rPr>
      <t>3.9</t>
    </r>
    <r>
      <rPr>
        <sz val="11"/>
        <color theme="1"/>
        <rFont val="Noto Sans"/>
        <family val="2"/>
      </rPr>
      <t xml:space="preserve"> La Administradora no ha realizado cambios en la aplicación de los criterios contables del Fondo.</t>
    </r>
  </si>
  <si>
    <r>
      <rPr>
        <b/>
        <sz val="11"/>
        <color theme="1"/>
        <rFont val="Noto Sans"/>
        <family val="2"/>
      </rPr>
      <t>3.10</t>
    </r>
    <r>
      <rPr>
        <sz val="11"/>
        <color theme="1"/>
        <rFont val="Noto Sans"/>
        <family val="2"/>
      </rPr>
      <t xml:space="preserve"> – Valorización de las Inversiones. Las inversiones son incorporadas al valor de costo, y ajustadas diariamente por devengamiento de los intereses, y las ganancias a realizar, afectando a resultados como Intereses Ganados. Asimismo, en este rubro se registran los  Activos Biologicos a su valor de compra y se valuan a su valor razonable.</t>
    </r>
  </si>
  <si>
    <r>
      <rPr>
        <b/>
        <sz val="11"/>
        <color theme="1"/>
        <rFont val="Noto Sans"/>
        <family val="2"/>
      </rPr>
      <t xml:space="preserve">3.11 </t>
    </r>
    <r>
      <rPr>
        <sz val="11"/>
        <color theme="1"/>
        <rFont val="Noto Sans"/>
        <family val="2"/>
      </rPr>
      <t>– Los ingresos y gastos del fondo son reconocidos aplicando el criterio de lo devengado;</t>
    </r>
  </si>
  <si>
    <r>
      <rPr>
        <b/>
        <sz val="11"/>
        <color theme="1"/>
        <rFont val="Noto Sans"/>
        <family val="2"/>
      </rPr>
      <t>3.12</t>
    </r>
    <r>
      <rPr>
        <sz val="11"/>
        <color theme="1"/>
        <rFont val="Noto Sans"/>
        <family val="2"/>
      </rPr>
      <t xml:space="preserve"> -  A la fecha de la información financiera, no se ajustaron los precios.</t>
    </r>
  </si>
  <si>
    <r>
      <t xml:space="preserve">3.13 </t>
    </r>
    <r>
      <rPr>
        <sz val="11"/>
        <color theme="1"/>
        <rFont val="Noto Sans"/>
        <family val="2"/>
      </rPr>
      <t>Tipos de cambio utilizados para convertir en moneda nacional los saldos en Moneda Extranjera:</t>
    </r>
  </si>
  <si>
    <r>
      <t xml:space="preserve">Ø  </t>
    </r>
    <r>
      <rPr>
        <u/>
        <sz val="11"/>
        <color theme="1"/>
        <rFont val="Noto Sans"/>
        <family val="2"/>
      </rPr>
      <t>Comisión de administración</t>
    </r>
    <r>
      <rPr>
        <sz val="11"/>
        <color theme="1"/>
        <rFont val="Noto Sans"/>
        <family val="2"/>
      </rPr>
      <t xml:space="preserve">: De Hasta 10,00 % nominal anual (base 365) más IVA  sobre el patrimonio neto de pre cierre administrado. La comisión se devenga diariamente y se cobra mensualmente. </t>
    </r>
  </si>
  <si>
    <r>
      <t xml:space="preserve">Ø  </t>
    </r>
    <r>
      <rPr>
        <u/>
        <sz val="11"/>
        <color theme="1"/>
        <rFont val="Noto Sans"/>
        <family val="2"/>
      </rPr>
      <t xml:space="preserve">Gastos y comisiones bancarias: </t>
    </r>
    <r>
      <rPr>
        <sz val="11"/>
        <color theme="1"/>
        <rFont val="Noto Sans"/>
        <family val="2"/>
      </rPr>
      <t>mantenimiento de cuentas, transferencias interbancarias y otras de similar naturaleza).</t>
    </r>
  </si>
  <si>
    <t>Combustibles para Estancia</t>
  </si>
  <si>
    <t>Perdidas por Valuaciones Dif de Cambio</t>
  </si>
  <si>
    <t>Ganancias por Valuaciones Dif de Cambio</t>
  </si>
  <si>
    <t>Ajuste por Conversión U$D</t>
  </si>
  <si>
    <t>AJUSTE POR CONVERSION</t>
  </si>
  <si>
    <t>De conformidad a lo establecido por el Código Civil y los Estatutos Sociales, he procedido a la revisión de los registros contables, los comprobantes que respaldan las transacciones  efectuadas, así como el Balance General, Cuadro de Resultados, Estado de Flujo de Efectivo, Variación del Patrimonio Neto y sus correspondientes Notas Contables del ejercicio cerrado al 30 de Junio 2022, encontrándolos todos conformes a las Leyes, los Estatutos Sociales, los Principios de Contabilidad Generalmente Aceptados y las Normas Contables indicadas por la Comisión Nacional de Valores  como así también por las normas de Contabilidad vigentes en el Paraguay, por lo que recomiendo su aprobación.</t>
  </si>
  <si>
    <t xml:space="preserve">No existen hechos posteriores al cierre del trimestre que modifique significativamente los estados financieros cerrado el 30 de junio de 2022. </t>
  </si>
  <si>
    <t>Dólares Americanos</t>
  </si>
  <si>
    <t>Telecomunicaciones</t>
  </si>
  <si>
    <t>Bonos Corporativos</t>
  </si>
  <si>
    <t>Instrumento</t>
  </si>
  <si>
    <t>Saldo Contable</t>
  </si>
  <si>
    <t>Diferencias</t>
  </si>
  <si>
    <t>Diferencia del Cuadro</t>
  </si>
  <si>
    <t>Inventario De Ganado Vacuno</t>
  </si>
  <si>
    <t>Correspondiente al 30/09/2022 con cifras comparativas al 31/12/2021</t>
  </si>
  <si>
    <t>Correspondiente al 30/09/2022 con cifras comparativas al 30/09/2021</t>
  </si>
  <si>
    <t>TOTAL DEL ACTIVO NETO AL 30-09-2021</t>
  </si>
  <si>
    <t>TOTAL DEL ACTIVO NETO AL 30-09-2022</t>
  </si>
  <si>
    <t>TOTAL DEL ACTIVO NETO AL 30 09 2021</t>
  </si>
  <si>
    <t>Ingresos por Tenenciade Ganado</t>
  </si>
  <si>
    <t>AL  30/09/2022</t>
  </si>
  <si>
    <t xml:space="preserve">Los estados financieros están preparados en Dólares Americanos. Para la conversión de los estados financieros a moneda funcional se utiliza los siguientes  tipos de cambios: comprador establecido para el cierre del mes por la Administración ributaria 1USD =7078,78 los activos y 1 USD = 7090,20 para los pasivos monetarios. Y el tipo de cambio promedio a la fecha,  para los Estados de Resultados y Tipo de Cambio Historico para el Patrimonio Neto. </t>
  </si>
  <si>
    <r>
      <rPr>
        <b/>
        <sz val="11"/>
        <color theme="1"/>
        <rFont val="Noto Sans"/>
        <family val="2"/>
      </rPr>
      <t xml:space="preserve">3.8 </t>
    </r>
    <r>
      <rPr>
        <sz val="11"/>
        <color theme="1"/>
        <rFont val="Noto Sans"/>
        <family val="2"/>
      </rPr>
      <t xml:space="preserve">– Los estados contables corresponden al trimestre cerrado el </t>
    </r>
    <r>
      <rPr>
        <b/>
        <u/>
        <sz val="11"/>
        <color theme="1"/>
        <rFont val="Noto Sans"/>
        <family val="2"/>
      </rPr>
      <t>30 de setiembre de 2022</t>
    </r>
  </si>
  <si>
    <t>Saldo al 30/06/2022</t>
  </si>
  <si>
    <t>Recaudaciones a Depositar M/L</t>
  </si>
  <si>
    <t>Pérdida en Operaciones/Valuaciones Disp.</t>
  </si>
  <si>
    <t>Tipo de cambio vendedor</t>
  </si>
  <si>
    <t>TECNOLOGIA DEL SUR S.A.E.</t>
  </si>
  <si>
    <t>Comercial</t>
  </si>
  <si>
    <t>Cementos Concepción S.A.E.</t>
  </si>
  <si>
    <t>CRISOL y ENCARNACION FINANCIERA (CEFISA) S.A.E.C.A.</t>
  </si>
  <si>
    <t>Financiero</t>
  </si>
  <si>
    <t>BANCO BASA S.A.</t>
  </si>
  <si>
    <t>PATRIMONIO DEL FONDO AL 30/09/2022</t>
  </si>
  <si>
    <t>NA</t>
  </si>
  <si>
    <t>Total de las Inversiones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</si>
</sst>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0.00_-;\-* #,##0.00_-;_-* &quot;-&quot;??_-;_-@_-"/>
    <numFmt numFmtId="165" formatCode="_(* #,##0_);_(* \(#,##0\);_(* &quot;-&quot;_);_(@_)"/>
    <numFmt numFmtId="166" formatCode="_(* #,##0.00_);_(* \(#,##0.00\);_(* &quot;-&quot;??_);_(@_)"/>
    <numFmt numFmtId="167" formatCode="0_);\(#,#00\)"/>
    <numFmt numFmtId="168" formatCode="#,##0.00_ ;\-#,##0.00\ "/>
    <numFmt numFmtId="169" formatCode="_-* #,##0_-;\-* #,##0_-;_-* &quot;-&quot;??_-;_-@_-"/>
    <numFmt numFmtId="170" formatCode="0.000%"/>
    <numFmt numFmtId="171" formatCode="_-* #,##0.00\ _€_-;\-* #,##0.00\ _€_-;_-* &quot;-&quot;??\ _€_-;_-@_-"/>
    <numFmt numFmtId="172" formatCode="_ * #,##0.00_ ;_ * \-#,##0.00_ ;_ * &quot;-&quot;_ ;_ @_ "/>
    <numFmt numFmtId="173" formatCode="#,##0;\(#,##0\)"/>
    <numFmt numFmtId="174" formatCode="_(* #,##0_);_(* \(#,##0\);_(* &quot;-&quot;??_);_(@_)"/>
    <numFmt numFmtId="175" formatCode="#,##0.00;\(#,##0.00\)"/>
    <numFmt numFmtId="176" formatCode="_ * #,##0.00000_ ;_ * \-#,##0.00000_ ;_ * &quot;-&quot;_ ;_ @_ "/>
    <numFmt numFmtId="177" formatCode="_-* #,##0.000000_-;\-* #,##0.000000_-;_-*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b/>
      <sz val="14"/>
      <color theme="1"/>
      <name val="Calibri"/>
      <family val="2"/>
      <scheme val="minor"/>
    </font>
    <font>
      <b/>
      <u/>
      <sz val="14"/>
      <color theme="1"/>
      <name val="Calibri"/>
      <family val="2"/>
      <scheme val="minor"/>
    </font>
    <font>
      <b/>
      <u/>
      <sz val="11"/>
      <color theme="1"/>
      <name val="Calibri"/>
      <family val="2"/>
      <scheme val="minor"/>
    </font>
    <font>
      <b/>
      <sz val="8"/>
      <name val="Calibri"/>
      <family val="2"/>
    </font>
    <font>
      <b/>
      <sz val="11"/>
      <color indexed="8"/>
      <name val="Calibri"/>
      <family val="2"/>
      <scheme val="minor"/>
    </font>
    <font>
      <i/>
      <sz val="12"/>
      <color theme="1"/>
      <name val="Calibri"/>
      <family val="2"/>
      <scheme val="minor"/>
    </font>
    <font>
      <sz val="11"/>
      <color indexed="8"/>
      <name val="Calibri"/>
      <family val="2"/>
      <scheme val="minor"/>
    </font>
    <font>
      <sz val="10"/>
      <name val="Calibri"/>
      <family val="2"/>
      <scheme val="minor"/>
    </font>
    <font>
      <sz val="12"/>
      <name val="Arial"/>
      <family val="2"/>
    </font>
    <font>
      <b/>
      <sz val="12"/>
      <color indexed="10"/>
      <name val="Arial"/>
      <family val="2"/>
    </font>
    <font>
      <sz val="12"/>
      <color indexed="8"/>
      <name val="Arial"/>
      <family val="2"/>
    </font>
    <font>
      <b/>
      <sz val="12"/>
      <color indexed="8"/>
      <name val="Arial"/>
      <family val="2"/>
    </font>
    <font>
      <b/>
      <sz val="16"/>
      <color indexed="8"/>
      <name val="Arial"/>
      <family val="2"/>
    </font>
    <font>
      <sz val="10"/>
      <color indexed="8"/>
      <name val="Arial"/>
      <family val="2"/>
    </font>
    <font>
      <b/>
      <sz val="12"/>
      <name val="Arial"/>
      <family val="2"/>
    </font>
    <font>
      <b/>
      <sz val="10"/>
      <name val="Arial"/>
      <family val="2"/>
    </font>
    <font>
      <b/>
      <sz val="10"/>
      <color indexed="10"/>
      <name val="Arial"/>
      <family val="2"/>
    </font>
    <font>
      <b/>
      <sz val="11"/>
      <name val="Arial"/>
      <family val="2"/>
    </font>
    <font>
      <b/>
      <sz val="10"/>
      <color theme="9" tint="-0.249977111117893"/>
      <name val="Arial"/>
      <family val="2"/>
    </font>
    <font>
      <b/>
      <sz val="10"/>
      <color rgb="FFFF0000"/>
      <name val="Arial"/>
      <family val="2"/>
    </font>
    <font>
      <b/>
      <i/>
      <sz val="10"/>
      <name val="Arial"/>
      <family val="2"/>
    </font>
    <font>
      <b/>
      <sz val="10"/>
      <color theme="9"/>
      <name val="Arial"/>
      <family val="2"/>
    </font>
    <font>
      <sz val="10"/>
      <color theme="9"/>
      <name val="Arial"/>
      <family val="2"/>
    </font>
    <font>
      <sz val="9"/>
      <name val="Arial"/>
      <family val="2"/>
    </font>
    <font>
      <b/>
      <i/>
      <sz val="9"/>
      <name val="Arial"/>
      <family val="2"/>
    </font>
    <font>
      <sz val="10"/>
      <color theme="9" tint="-0.249977111117893"/>
      <name val="Arial"/>
      <family val="2"/>
    </font>
    <font>
      <b/>
      <sz val="10"/>
      <color theme="7" tint="-0.249977111117893"/>
      <name val="Arial"/>
      <family val="2"/>
    </font>
    <font>
      <b/>
      <sz val="8"/>
      <name val="Arial"/>
      <family val="2"/>
    </font>
    <font>
      <b/>
      <sz val="5"/>
      <name val="Arial"/>
      <family val="2"/>
    </font>
    <font>
      <b/>
      <sz val="9"/>
      <name val="Arial"/>
      <family val="2"/>
    </font>
    <font>
      <b/>
      <sz val="11"/>
      <color theme="9"/>
      <name val="Arial"/>
      <family val="2"/>
    </font>
    <font>
      <b/>
      <sz val="7"/>
      <name val="Arial"/>
      <family val="2"/>
    </font>
    <font>
      <b/>
      <i/>
      <sz val="14"/>
      <name val="Arial"/>
      <family val="2"/>
    </font>
    <font>
      <b/>
      <sz val="10"/>
      <color rgb="FF000000"/>
      <name val="Tahoma"/>
      <family val="2"/>
    </font>
    <font>
      <sz val="10"/>
      <color rgb="FF000000"/>
      <name val="Tahoma"/>
      <family val="2"/>
    </font>
    <font>
      <sz val="9"/>
      <color indexed="81"/>
      <name val="Tahoma"/>
      <family val="2"/>
    </font>
    <font>
      <b/>
      <sz val="9"/>
      <color indexed="81"/>
      <name val="Tahoma"/>
      <family val="2"/>
    </font>
    <font>
      <sz val="11"/>
      <color theme="1"/>
      <name val="Noto Sans"/>
      <family val="2"/>
    </font>
    <font>
      <b/>
      <sz val="11"/>
      <color theme="1"/>
      <name val="Noto Sans"/>
      <family val="2"/>
    </font>
    <font>
      <sz val="18"/>
      <color theme="0"/>
      <name val="Noto Sans"/>
      <family val="2"/>
    </font>
    <font>
      <sz val="18"/>
      <name val="Noto Sans"/>
      <family val="2"/>
    </font>
    <font>
      <sz val="28"/>
      <color theme="0"/>
      <name val="Noto Sans"/>
      <family val="2"/>
    </font>
    <font>
      <sz val="10"/>
      <color theme="1"/>
      <name val="Noto Sans"/>
      <family val="2"/>
    </font>
    <font>
      <sz val="11"/>
      <name val="Noto Sans"/>
      <family val="2"/>
    </font>
    <font>
      <u/>
      <sz val="11"/>
      <name val="Noto Sans"/>
      <family val="2"/>
    </font>
    <font>
      <b/>
      <sz val="12"/>
      <color theme="1"/>
      <name val="Noto Sans"/>
      <family val="2"/>
    </font>
    <font>
      <sz val="11"/>
      <color indexed="8"/>
      <name val="Noto Sans"/>
      <family val="2"/>
    </font>
    <font>
      <sz val="10"/>
      <name val="Noto Sans"/>
      <family val="2"/>
    </font>
    <font>
      <b/>
      <sz val="18"/>
      <color indexed="8"/>
      <name val="Noto Sans"/>
      <family val="2"/>
    </font>
    <font>
      <b/>
      <u/>
      <sz val="16"/>
      <name val="Noto Sans"/>
      <family val="2"/>
    </font>
    <font>
      <b/>
      <sz val="11"/>
      <color indexed="8"/>
      <name val="Noto Sans"/>
      <family val="2"/>
    </font>
    <font>
      <sz val="11"/>
      <color theme="0"/>
      <name val="Noto Sans"/>
      <family val="2"/>
    </font>
    <font>
      <b/>
      <sz val="8"/>
      <color indexed="8"/>
      <name val="Noto Sans"/>
      <family val="2"/>
    </font>
    <font>
      <b/>
      <sz val="11"/>
      <name val="Noto Sans"/>
      <family val="2"/>
    </font>
    <font>
      <sz val="11"/>
      <color rgb="FFFF0000"/>
      <name val="Noto Sans"/>
      <family val="2"/>
    </font>
    <font>
      <b/>
      <sz val="10"/>
      <name val="Noto Sans"/>
      <family val="2"/>
    </font>
    <font>
      <b/>
      <sz val="11"/>
      <color theme="0"/>
      <name val="Noto Sans"/>
      <family val="2"/>
    </font>
    <font>
      <b/>
      <u/>
      <sz val="11"/>
      <name val="Noto Sans"/>
      <family val="2"/>
    </font>
    <font>
      <b/>
      <u/>
      <sz val="18"/>
      <name val="Noto Sans"/>
      <family val="2"/>
    </font>
    <font>
      <sz val="9"/>
      <name val="Noto Sans"/>
      <family val="2"/>
    </font>
    <font>
      <u/>
      <sz val="11"/>
      <color theme="10"/>
      <name val="Noto Sans"/>
      <family val="2"/>
    </font>
    <font>
      <b/>
      <u/>
      <sz val="11"/>
      <color theme="1"/>
      <name val="Noto Sans"/>
      <family val="2"/>
    </font>
    <font>
      <b/>
      <sz val="11"/>
      <color rgb="FF000000"/>
      <name val="Noto Sans"/>
      <family val="2"/>
    </font>
    <font>
      <sz val="11"/>
      <color rgb="FF000000"/>
      <name val="Noto Sans"/>
      <family val="2"/>
    </font>
    <font>
      <u/>
      <sz val="11"/>
      <color theme="1"/>
      <name val="Noto Sans"/>
      <family val="2"/>
    </font>
    <font>
      <sz val="11"/>
      <color theme="0"/>
      <name val="Calibri"/>
      <family val="2"/>
      <scheme val="minor"/>
    </font>
    <font>
      <sz val="10"/>
      <color rgb="FFFF0000"/>
      <name val="Arial"/>
      <family val="2"/>
    </font>
    <font>
      <sz val="9"/>
      <color theme="5"/>
      <name val="Arial"/>
      <family val="2"/>
    </font>
    <font>
      <sz val="10"/>
      <color theme="5"/>
      <name val="Arial"/>
      <family val="2"/>
    </font>
    <font>
      <b/>
      <sz val="10"/>
      <color theme="5"/>
      <name val="Arial"/>
      <family val="2"/>
    </font>
    <font>
      <sz val="11"/>
      <name val="Calibri"/>
      <family val="2"/>
      <scheme val="minor"/>
    </font>
    <font>
      <i/>
      <sz val="11"/>
      <color theme="0"/>
      <name val="Calibri"/>
      <family val="2"/>
      <scheme val="minor"/>
    </font>
    <font>
      <i/>
      <sz val="11"/>
      <name val="Noto Sans"/>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6">
    <xf numFmtId="0" fontId="0" fillId="0" borderId="0"/>
    <xf numFmtId="16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 fillId="0" borderId="0"/>
    <xf numFmtId="9" fontId="3"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cellStyleXfs>
  <cellXfs count="718">
    <xf numFmtId="0" fontId="0" fillId="0" borderId="0" xfId="0"/>
    <xf numFmtId="0" fontId="2" fillId="0" borderId="0" xfId="0" applyFont="1"/>
    <xf numFmtId="0" fontId="1" fillId="0" borderId="0" xfId="0" applyFont="1"/>
    <xf numFmtId="0" fontId="8" fillId="0" borderId="4" xfId="0" applyFont="1" applyBorder="1" applyAlignment="1">
      <alignment horizontal="center" vertical="center" wrapText="1"/>
    </xf>
    <xf numFmtId="43" fontId="1" fillId="0" borderId="0" xfId="0" applyNumberFormat="1" applyFont="1"/>
    <xf numFmtId="169" fontId="9" fillId="0" borderId="12" xfId="1" applyNumberFormat="1" applyFont="1" applyBorder="1"/>
    <xf numFmtId="164" fontId="2" fillId="0" borderId="13" xfId="1" applyFont="1" applyBorder="1"/>
    <xf numFmtId="169" fontId="11" fillId="0" borderId="12" xfId="1" applyNumberFormat="1" applyFont="1" applyBorder="1"/>
    <xf numFmtId="164" fontId="1" fillId="0" borderId="13" xfId="1" applyFont="1" applyBorder="1"/>
    <xf numFmtId="0" fontId="1" fillId="0" borderId="12" xfId="0" applyFont="1" applyBorder="1"/>
    <xf numFmtId="172" fontId="1" fillId="0" borderId="13" xfId="14" applyNumberFormat="1" applyFont="1" applyBorder="1"/>
    <xf numFmtId="0" fontId="1" fillId="0" borderId="16" xfId="0" applyFont="1" applyBorder="1"/>
    <xf numFmtId="172" fontId="0" fillId="0" borderId="14" xfId="14" applyNumberFormat="1" applyFont="1" applyBorder="1"/>
    <xf numFmtId="169" fontId="9" fillId="0" borderId="17" xfId="1" applyNumberFormat="1" applyFont="1" applyBorder="1"/>
    <xf numFmtId="164" fontId="2" fillId="0" borderId="15" xfId="1" applyFont="1" applyBorder="1"/>
    <xf numFmtId="164" fontId="0" fillId="0" borderId="0" xfId="1" applyFont="1" applyBorder="1" applyAlignment="1">
      <alignment horizontal="center" vertical="center"/>
    </xf>
    <xf numFmtId="164" fontId="0" fillId="0" borderId="0" xfId="1" applyFont="1" applyBorder="1" applyAlignment="1">
      <alignment horizontal="right" vertical="center"/>
    </xf>
    <xf numFmtId="0" fontId="5" fillId="0" borderId="0" xfId="0" applyFont="1" applyAlignment="1">
      <alignment vertical="center"/>
    </xf>
    <xf numFmtId="0" fontId="0" fillId="0" borderId="0" xfId="0" applyAlignment="1">
      <alignment horizontal="left" vertical="center"/>
    </xf>
    <xf numFmtId="164" fontId="0" fillId="0" borderId="0" xfId="1" applyFont="1" applyBorder="1"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169" fontId="0" fillId="0" borderId="0" xfId="1" applyNumberFormat="1" applyFont="1" applyBorder="1" applyAlignment="1">
      <alignment horizontal="right" vertical="center"/>
    </xf>
    <xf numFmtId="10" fontId="0" fillId="0" borderId="0" xfId="3" applyNumberFormat="1" applyFont="1" applyBorder="1" applyAlignment="1">
      <alignment horizontal="right" vertical="center"/>
    </xf>
    <xf numFmtId="170" fontId="0" fillId="0" borderId="0" xfId="3" applyNumberFormat="1" applyFont="1" applyBorder="1" applyAlignment="1">
      <alignment horizontal="right" vertical="center"/>
    </xf>
    <xf numFmtId="0" fontId="7" fillId="0" borderId="0" xfId="0" applyFont="1" applyAlignment="1">
      <alignment horizontal="center"/>
    </xf>
    <xf numFmtId="0" fontId="3" fillId="0" borderId="0" xfId="11"/>
    <xf numFmtId="0" fontId="13" fillId="0" borderId="0" xfId="11" applyFont="1"/>
    <xf numFmtId="3" fontId="13" fillId="0" borderId="0" xfId="11" applyNumberFormat="1" applyFont="1"/>
    <xf numFmtId="3" fontId="14" fillId="0" borderId="0" xfId="11" applyNumberFormat="1" applyFont="1" applyAlignment="1">
      <alignment horizontal="center"/>
    </xf>
    <xf numFmtId="3" fontId="15" fillId="0" borderId="0" xfId="11" applyNumberFormat="1" applyFont="1"/>
    <xf numFmtId="3" fontId="16" fillId="0" borderId="0" xfId="11" applyNumberFormat="1" applyFont="1" applyAlignment="1">
      <alignment horizontal="right"/>
    </xf>
    <xf numFmtId="0" fontId="16" fillId="0" borderId="0" xfId="11" applyFont="1"/>
    <xf numFmtId="3" fontId="15" fillId="0" borderId="0" xfId="11" applyNumberFormat="1" applyFont="1" applyAlignment="1">
      <alignment horizontal="right"/>
    </xf>
    <xf numFmtId="0" fontId="15" fillId="0" borderId="0" xfId="11" applyFont="1"/>
    <xf numFmtId="0" fontId="15" fillId="0" borderId="0" xfId="11" applyFont="1" applyAlignment="1">
      <alignment horizontal="right"/>
    </xf>
    <xf numFmtId="3" fontId="16" fillId="6" borderId="0" xfId="11" applyNumberFormat="1" applyFont="1" applyFill="1" applyAlignment="1">
      <alignment horizontal="right"/>
    </xf>
    <xf numFmtId="173" fontId="13" fillId="0" borderId="0" xfId="11" applyNumberFormat="1" applyFont="1"/>
    <xf numFmtId="0" fontId="13" fillId="6" borderId="0" xfId="11" applyFont="1" applyFill="1"/>
    <xf numFmtId="0" fontId="15" fillId="6" borderId="0" xfId="11" applyFont="1" applyFill="1" applyAlignment="1">
      <alignment horizontal="right"/>
    </xf>
    <xf numFmtId="0" fontId="17" fillId="6" borderId="0" xfId="11" applyFont="1" applyFill="1"/>
    <xf numFmtId="0" fontId="18" fillId="0" borderId="0" xfId="11" applyFont="1" applyAlignment="1">
      <alignment horizontal="right"/>
    </xf>
    <xf numFmtId="173" fontId="19" fillId="6" borderId="0" xfId="11" applyNumberFormat="1" applyFont="1" applyFill="1" applyAlignment="1">
      <alignment horizontal="center"/>
    </xf>
    <xf numFmtId="173" fontId="3" fillId="0" borderId="0" xfId="11" applyNumberFormat="1"/>
    <xf numFmtId="173" fontId="20" fillId="0" borderId="0" xfId="11" applyNumberFormat="1" applyFont="1"/>
    <xf numFmtId="41" fontId="3" fillId="0" borderId="0" xfId="11" applyNumberFormat="1"/>
    <xf numFmtId="173" fontId="21" fillId="0" borderId="37" xfId="11" applyNumberFormat="1" applyFont="1" applyBorder="1"/>
    <xf numFmtId="173" fontId="22" fillId="6" borderId="37" xfId="11" applyNumberFormat="1" applyFont="1" applyFill="1" applyBorder="1"/>
    <xf numFmtId="173" fontId="21" fillId="0" borderId="9" xfId="11" applyNumberFormat="1" applyFont="1" applyBorder="1"/>
    <xf numFmtId="173" fontId="3" fillId="0" borderId="37" xfId="11" applyNumberFormat="1" applyBorder="1"/>
    <xf numFmtId="173" fontId="3" fillId="0" borderId="38" xfId="11" applyNumberFormat="1" applyBorder="1"/>
    <xf numFmtId="173" fontId="3" fillId="0" borderId="39" xfId="11" applyNumberFormat="1" applyBorder="1"/>
    <xf numFmtId="173" fontId="3" fillId="0" borderId="8" xfId="11" applyNumberFormat="1" applyBorder="1"/>
    <xf numFmtId="173" fontId="3" fillId="0" borderId="4" xfId="11" applyNumberFormat="1" applyBorder="1"/>
    <xf numFmtId="173" fontId="21" fillId="0" borderId="8" xfId="11" applyNumberFormat="1" applyFont="1" applyBorder="1"/>
    <xf numFmtId="173" fontId="21" fillId="0" borderId="40" xfId="11" applyNumberFormat="1" applyFont="1" applyBorder="1" applyAlignment="1">
      <alignment horizontal="left"/>
    </xf>
    <xf numFmtId="173" fontId="3" fillId="6" borderId="39" xfId="11" applyNumberFormat="1" applyFill="1" applyBorder="1"/>
    <xf numFmtId="173" fontId="3" fillId="6" borderId="4" xfId="11" applyNumberFormat="1" applyFill="1" applyBorder="1"/>
    <xf numFmtId="173" fontId="23" fillId="7" borderId="4" xfId="11" applyNumberFormat="1" applyFont="1" applyFill="1" applyBorder="1"/>
    <xf numFmtId="173" fontId="24" fillId="7" borderId="4" xfId="11" applyNumberFormat="1" applyFont="1" applyFill="1" applyBorder="1"/>
    <xf numFmtId="173" fontId="3" fillId="7" borderId="4" xfId="11" applyNumberFormat="1" applyFill="1" applyBorder="1"/>
    <xf numFmtId="173" fontId="20" fillId="7" borderId="4" xfId="11" applyNumberFormat="1" applyFont="1" applyFill="1" applyBorder="1"/>
    <xf numFmtId="173" fontId="25" fillId="7" borderId="41" xfId="11" applyNumberFormat="1" applyFont="1" applyFill="1" applyBorder="1" applyAlignment="1">
      <alignment horizontal="centerContinuous"/>
    </xf>
    <xf numFmtId="173" fontId="21" fillId="6" borderId="9" xfId="11" applyNumberFormat="1" applyFont="1" applyFill="1" applyBorder="1"/>
    <xf numFmtId="173" fontId="26" fillId="7" borderId="4" xfId="11" applyNumberFormat="1" applyFont="1" applyFill="1" applyBorder="1"/>
    <xf numFmtId="173" fontId="27" fillId="7" borderId="4" xfId="11" applyNumberFormat="1" applyFont="1" applyFill="1" applyBorder="1"/>
    <xf numFmtId="173" fontId="27" fillId="7" borderId="42" xfId="11" applyNumberFormat="1" applyFont="1" applyFill="1" applyBorder="1"/>
    <xf numFmtId="173" fontId="27" fillId="7" borderId="41" xfId="11" applyNumberFormat="1" applyFont="1" applyFill="1" applyBorder="1"/>
    <xf numFmtId="173" fontId="24" fillId="0" borderId="4" xfId="11" applyNumberFormat="1" applyFont="1" applyBorder="1"/>
    <xf numFmtId="173" fontId="3" fillId="0" borderId="41" xfId="11" applyNumberFormat="1" applyBorder="1"/>
    <xf numFmtId="173" fontId="21" fillId="7" borderId="9" xfId="11" applyNumberFormat="1" applyFont="1" applyFill="1" applyBorder="1"/>
    <xf numFmtId="173" fontId="3" fillId="7" borderId="41" xfId="11" applyNumberFormat="1" applyFill="1" applyBorder="1"/>
    <xf numFmtId="173" fontId="3" fillId="7" borderId="5" xfId="11" applyNumberFormat="1" applyFill="1" applyBorder="1"/>
    <xf numFmtId="173" fontId="28" fillId="7" borderId="41" xfId="11" applyNumberFormat="1" applyFont="1" applyFill="1" applyBorder="1"/>
    <xf numFmtId="173" fontId="27" fillId="7" borderId="5" xfId="11" applyNumberFormat="1" applyFont="1" applyFill="1" applyBorder="1"/>
    <xf numFmtId="173" fontId="3" fillId="0" borderId="5" xfId="11" applyNumberFormat="1" applyBorder="1"/>
    <xf numFmtId="3" fontId="3" fillId="0" borderId="0" xfId="11" applyNumberFormat="1"/>
    <xf numFmtId="173" fontId="20" fillId="0" borderId="5" xfId="11" applyNumberFormat="1" applyFont="1" applyBorder="1"/>
    <xf numFmtId="173" fontId="29" fillId="0" borderId="41" xfId="11" applyNumberFormat="1" applyFont="1" applyBorder="1"/>
    <xf numFmtId="173" fontId="20" fillId="0" borderId="19" xfId="11" applyNumberFormat="1" applyFont="1" applyBorder="1"/>
    <xf numFmtId="173" fontId="29" fillId="0" borderId="41" xfId="11" applyNumberFormat="1" applyFont="1" applyBorder="1" applyAlignment="1">
      <alignment horizontal="center"/>
    </xf>
    <xf numFmtId="0" fontId="3" fillId="5" borderId="0" xfId="11" applyFill="1"/>
    <xf numFmtId="173" fontId="21" fillId="8" borderId="9" xfId="11" applyNumberFormat="1" applyFont="1" applyFill="1" applyBorder="1"/>
    <xf numFmtId="173" fontId="21" fillId="8" borderId="43" xfId="11" applyNumberFormat="1" applyFont="1" applyFill="1" applyBorder="1"/>
    <xf numFmtId="173" fontId="26" fillId="8" borderId="4" xfId="11" applyNumberFormat="1" applyFont="1" applyFill="1" applyBorder="1"/>
    <xf numFmtId="173" fontId="21" fillId="8" borderId="4" xfId="11" applyNumberFormat="1" applyFont="1" applyFill="1" applyBorder="1"/>
    <xf numFmtId="173" fontId="21" fillId="8" borderId="41" xfId="11" applyNumberFormat="1" applyFont="1" applyFill="1" applyBorder="1"/>
    <xf numFmtId="173" fontId="3" fillId="8" borderId="4" xfId="11" applyNumberFormat="1" applyFill="1" applyBorder="1"/>
    <xf numFmtId="173" fontId="27" fillId="8" borderId="4" xfId="11" applyNumberFormat="1" applyFont="1" applyFill="1" applyBorder="1"/>
    <xf numFmtId="173" fontId="3" fillId="8" borderId="41" xfId="11" applyNumberFormat="1" applyFill="1" applyBorder="1"/>
    <xf numFmtId="173" fontId="27" fillId="0" borderId="4" xfId="11" applyNumberFormat="1" applyFont="1" applyBorder="1"/>
    <xf numFmtId="3" fontId="26" fillId="0" borderId="0" xfId="11" applyNumberFormat="1" applyFont="1"/>
    <xf numFmtId="173" fontId="26" fillId="0" borderId="9" xfId="11" applyNumberFormat="1" applyFont="1" applyBorder="1"/>
    <xf numFmtId="173" fontId="26" fillId="0" borderId="4" xfId="11" applyNumberFormat="1" applyFont="1" applyBorder="1"/>
    <xf numFmtId="173" fontId="25" fillId="0" borderId="41" xfId="11" applyNumberFormat="1" applyFont="1" applyBorder="1" applyAlignment="1">
      <alignment horizontal="center"/>
    </xf>
    <xf numFmtId="173" fontId="30" fillId="6" borderId="39" xfId="11" applyNumberFormat="1" applyFont="1" applyFill="1" applyBorder="1"/>
    <xf numFmtId="173" fontId="30" fillId="6" borderId="4" xfId="11" applyNumberFormat="1" applyFont="1" applyFill="1" applyBorder="1"/>
    <xf numFmtId="173" fontId="21" fillId="7" borderId="4" xfId="11" applyNumberFormat="1" applyFont="1" applyFill="1" applyBorder="1"/>
    <xf numFmtId="173" fontId="21" fillId="7" borderId="41" xfId="11" applyNumberFormat="1" applyFont="1" applyFill="1" applyBorder="1"/>
    <xf numFmtId="173" fontId="31" fillId="8" borderId="4" xfId="11" applyNumberFormat="1" applyFont="1" applyFill="1" applyBorder="1"/>
    <xf numFmtId="173" fontId="21" fillId="0" borderId="4" xfId="11" applyNumberFormat="1" applyFont="1" applyBorder="1"/>
    <xf numFmtId="173" fontId="31" fillId="0" borderId="4" xfId="11" applyNumberFormat="1" applyFont="1" applyBorder="1"/>
    <xf numFmtId="173" fontId="21" fillId="0" borderId="41" xfId="11" applyNumberFormat="1" applyFont="1" applyBorder="1"/>
    <xf numFmtId="173" fontId="3" fillId="0" borderId="4" xfId="11" applyNumberFormat="1" applyBorder="1" applyAlignment="1">
      <alignment horizontal="center"/>
    </xf>
    <xf numFmtId="173" fontId="21" fillId="0" borderId="39" xfId="11" applyNumberFormat="1" applyFont="1" applyBorder="1"/>
    <xf numFmtId="173" fontId="21" fillId="7" borderId="9" xfId="11" applyNumberFormat="1" applyFont="1" applyFill="1" applyBorder="1" applyAlignment="1">
      <alignment horizontal="center"/>
    </xf>
    <xf numFmtId="173" fontId="21" fillId="7" borderId="44" xfId="11" applyNumberFormat="1" applyFont="1" applyFill="1" applyBorder="1"/>
    <xf numFmtId="173" fontId="21" fillId="0" borderId="9" xfId="11" applyNumberFormat="1" applyFont="1" applyBorder="1" applyAlignment="1">
      <alignment horizontal="center"/>
    </xf>
    <xf numFmtId="174" fontId="12" fillId="0" borderId="0" xfId="15" applyNumberFormat="1" applyFont="1"/>
    <xf numFmtId="173" fontId="21" fillId="0" borderId="44" xfId="11" applyNumberFormat="1" applyFont="1" applyBorder="1"/>
    <xf numFmtId="173" fontId="3" fillId="0" borderId="45" xfId="11" applyNumberFormat="1" applyBorder="1"/>
    <xf numFmtId="173" fontId="3" fillId="0" borderId="46" xfId="11" applyNumberFormat="1" applyBorder="1"/>
    <xf numFmtId="173" fontId="3" fillId="0" borderId="46" xfId="11" applyNumberFormat="1" applyBorder="1" applyAlignment="1">
      <alignment horizontal="center"/>
    </xf>
    <xf numFmtId="173" fontId="29" fillId="0" borderId="47" xfId="11" applyNumberFormat="1" applyFont="1" applyBorder="1"/>
    <xf numFmtId="173" fontId="20" fillId="0" borderId="31" xfId="11" applyNumberFormat="1" applyFont="1" applyBorder="1"/>
    <xf numFmtId="173" fontId="32" fillId="0" borderId="48" xfId="11" applyNumberFormat="1" applyFont="1" applyBorder="1" applyAlignment="1">
      <alignment horizontal="center"/>
    </xf>
    <xf numFmtId="173" fontId="33" fillId="0" borderId="31" xfId="11" applyNumberFormat="1" applyFont="1" applyBorder="1" applyAlignment="1">
      <alignment horizontal="center"/>
    </xf>
    <xf numFmtId="173" fontId="32" fillId="0" borderId="31" xfId="11" applyNumberFormat="1" applyFont="1" applyBorder="1" applyAlignment="1">
      <alignment horizontal="center"/>
    </xf>
    <xf numFmtId="173" fontId="34" fillId="0" borderId="48" xfId="11" applyNumberFormat="1" applyFont="1" applyBorder="1" applyAlignment="1">
      <alignment horizontal="center"/>
    </xf>
    <xf numFmtId="173" fontId="34" fillId="0" borderId="29" xfId="11" applyNumberFormat="1" applyFont="1" applyBorder="1" applyAlignment="1">
      <alignment horizontal="center"/>
    </xf>
    <xf numFmtId="173" fontId="35" fillId="0" borderId="48" xfId="11" applyNumberFormat="1" applyFont="1" applyBorder="1" applyAlignment="1">
      <alignment horizontal="center"/>
    </xf>
    <xf numFmtId="173" fontId="34" fillId="0" borderId="31" xfId="11" applyNumberFormat="1" applyFont="1" applyBorder="1" applyAlignment="1">
      <alignment horizontal="center"/>
    </xf>
    <xf numFmtId="173" fontId="20" fillId="0" borderId="29" xfId="11" applyNumberFormat="1" applyFont="1" applyBorder="1" applyAlignment="1">
      <alignment horizontal="center"/>
    </xf>
    <xf numFmtId="173" fontId="20" fillId="0" borderId="24" xfId="11" applyNumberFormat="1" applyFont="1" applyBorder="1" applyAlignment="1">
      <alignment horizontal="center"/>
    </xf>
    <xf numFmtId="173" fontId="32" fillId="0" borderId="49" xfId="11" applyNumberFormat="1" applyFont="1" applyBorder="1" applyAlignment="1">
      <alignment horizontal="center"/>
    </xf>
    <xf numFmtId="173" fontId="36" fillId="0" borderId="34" xfId="11" applyNumberFormat="1" applyFont="1" applyBorder="1" applyAlignment="1">
      <alignment horizontal="center"/>
    </xf>
    <xf numFmtId="173" fontId="32" fillId="0" borderId="34" xfId="11" applyNumberFormat="1" applyFont="1" applyBorder="1" applyAlignment="1">
      <alignment horizontal="center"/>
    </xf>
    <xf numFmtId="173" fontId="34" fillId="0" borderId="49" xfId="11" applyNumberFormat="1" applyFont="1" applyBorder="1" applyAlignment="1">
      <alignment horizontal="center"/>
    </xf>
    <xf numFmtId="173" fontId="34" fillId="0" borderId="32" xfId="11" applyNumberFormat="1" applyFont="1" applyBorder="1" applyAlignment="1">
      <alignment horizontal="center"/>
    </xf>
    <xf numFmtId="173" fontId="34" fillId="0" borderId="50" xfId="11" applyNumberFormat="1" applyFont="1" applyBorder="1" applyAlignment="1">
      <alignment horizontal="center"/>
    </xf>
    <xf numFmtId="173" fontId="34" fillId="0" borderId="34" xfId="11" applyNumberFormat="1" applyFont="1" applyBorder="1" applyAlignment="1">
      <alignment horizontal="center"/>
    </xf>
    <xf numFmtId="173" fontId="20" fillId="0" borderId="49" xfId="11" applyNumberFormat="1" applyFont="1" applyBorder="1"/>
    <xf numFmtId="173" fontId="20" fillId="0" borderId="23" xfId="11" applyNumberFormat="1" applyFont="1" applyBorder="1"/>
    <xf numFmtId="173" fontId="32" fillId="0" borderId="50" xfId="11" applyNumberFormat="1" applyFont="1" applyBorder="1" applyAlignment="1">
      <alignment horizontal="center"/>
    </xf>
    <xf numFmtId="173" fontId="20" fillId="0" borderId="0" xfId="11" applyNumberFormat="1" applyFont="1" applyAlignment="1">
      <alignment horizontal="centerContinuous"/>
    </xf>
    <xf numFmtId="173" fontId="20" fillId="0" borderId="23" xfId="11" applyNumberFormat="1" applyFont="1" applyBorder="1" applyAlignment="1">
      <alignment horizontal="centerContinuous"/>
    </xf>
    <xf numFmtId="173" fontId="20" fillId="0" borderId="31" xfId="11" applyNumberFormat="1" applyFont="1" applyBorder="1" applyAlignment="1">
      <alignment horizontal="centerContinuous"/>
    </xf>
    <xf numFmtId="173" fontId="34" fillId="0" borderId="29" xfId="11" applyNumberFormat="1" applyFont="1" applyBorder="1" applyAlignment="1">
      <alignment horizontal="centerContinuous"/>
    </xf>
    <xf numFmtId="173" fontId="20" fillId="0" borderId="23" xfId="11" applyNumberFormat="1" applyFont="1" applyBorder="1" applyAlignment="1">
      <alignment horizontal="center"/>
    </xf>
    <xf numFmtId="173" fontId="20" fillId="0" borderId="34" xfId="11" applyNumberFormat="1" applyFont="1" applyBorder="1"/>
    <xf numFmtId="173" fontId="20" fillId="0" borderId="33" xfId="11" applyNumberFormat="1" applyFont="1" applyBorder="1"/>
    <xf numFmtId="173" fontId="20" fillId="0" borderId="32" xfId="11" applyNumberFormat="1" applyFont="1" applyBorder="1"/>
    <xf numFmtId="173" fontId="20" fillId="0" borderId="34" xfId="11" applyNumberFormat="1" applyFont="1" applyBorder="1" applyAlignment="1">
      <alignment horizontal="centerContinuous"/>
    </xf>
    <xf numFmtId="173" fontId="20" fillId="0" borderId="32" xfId="11" applyNumberFormat="1" applyFont="1" applyBorder="1" applyAlignment="1">
      <alignment horizontal="centerContinuous"/>
    </xf>
    <xf numFmtId="173" fontId="37" fillId="0" borderId="0" xfId="11" applyNumberFormat="1" applyFont="1"/>
    <xf numFmtId="175" fontId="3" fillId="0" borderId="0" xfId="11" applyNumberFormat="1"/>
    <xf numFmtId="172" fontId="3" fillId="0" borderId="0" xfId="14" applyNumberFormat="1" applyFont="1"/>
    <xf numFmtId="172" fontId="13" fillId="0" borderId="0" xfId="14" applyNumberFormat="1" applyFont="1"/>
    <xf numFmtId="175" fontId="13" fillId="0" borderId="0" xfId="11" applyNumberFormat="1" applyFont="1"/>
    <xf numFmtId="172" fontId="14" fillId="0" borderId="0" xfId="14" applyNumberFormat="1" applyFont="1" applyAlignment="1">
      <alignment horizontal="center"/>
    </xf>
    <xf numFmtId="172" fontId="15" fillId="0" borderId="0" xfId="14" applyNumberFormat="1" applyFont="1"/>
    <xf numFmtId="175" fontId="16" fillId="0" borderId="0" xfId="11" applyNumberFormat="1" applyFont="1" applyAlignment="1">
      <alignment horizontal="right"/>
    </xf>
    <xf numFmtId="175" fontId="15" fillId="0" borderId="0" xfId="11" applyNumberFormat="1" applyFont="1" applyAlignment="1">
      <alignment horizontal="right"/>
    </xf>
    <xf numFmtId="175" fontId="15" fillId="0" borderId="0" xfId="11" applyNumberFormat="1" applyFont="1"/>
    <xf numFmtId="175" fontId="16" fillId="6" borderId="0" xfId="11" applyNumberFormat="1" applyFont="1" applyFill="1" applyAlignment="1">
      <alignment horizontal="right"/>
    </xf>
    <xf numFmtId="172" fontId="13" fillId="6" borderId="0" xfId="14" applyNumberFormat="1" applyFont="1" applyFill="1"/>
    <xf numFmtId="175" fontId="15" fillId="6" borderId="0" xfId="11" applyNumberFormat="1" applyFont="1" applyFill="1" applyAlignment="1">
      <alignment horizontal="right"/>
    </xf>
    <xf numFmtId="175" fontId="18" fillId="0" borderId="0" xfId="11" applyNumberFormat="1" applyFont="1" applyAlignment="1">
      <alignment horizontal="right"/>
    </xf>
    <xf numFmtId="175" fontId="19" fillId="6" borderId="0" xfId="11" applyNumberFormat="1" applyFont="1" applyFill="1" applyAlignment="1">
      <alignment horizontal="center"/>
    </xf>
    <xf numFmtId="172" fontId="20" fillId="0" borderId="0" xfId="14" applyNumberFormat="1" applyFont="1"/>
    <xf numFmtId="175" fontId="21" fillId="0" borderId="37" xfId="11" applyNumberFormat="1" applyFont="1" applyBorder="1"/>
    <xf numFmtId="175" fontId="22" fillId="6" borderId="37" xfId="11" applyNumberFormat="1" applyFont="1" applyFill="1" applyBorder="1"/>
    <xf numFmtId="172" fontId="21" fillId="0" borderId="9" xfId="14" applyNumberFormat="1" applyFont="1" applyBorder="1"/>
    <xf numFmtId="172" fontId="3" fillId="0" borderId="37" xfId="14" applyNumberFormat="1" applyFont="1" applyBorder="1"/>
    <xf numFmtId="175" fontId="3" fillId="0" borderId="37" xfId="11" applyNumberFormat="1" applyBorder="1"/>
    <xf numFmtId="175" fontId="3" fillId="0" borderId="39" xfId="11" applyNumberFormat="1" applyBorder="1"/>
    <xf numFmtId="175" fontId="3" fillId="0" borderId="8" xfId="11" applyNumberFormat="1" applyBorder="1"/>
    <xf numFmtId="175" fontId="3" fillId="0" borderId="4" xfId="11" applyNumberFormat="1" applyBorder="1"/>
    <xf numFmtId="172" fontId="21" fillId="0" borderId="8" xfId="14" applyNumberFormat="1" applyFont="1" applyBorder="1"/>
    <xf numFmtId="175" fontId="21" fillId="0" borderId="8" xfId="11" applyNumberFormat="1" applyFont="1" applyBorder="1"/>
    <xf numFmtId="175" fontId="3" fillId="6" borderId="39" xfId="11" applyNumberFormat="1" applyFill="1" applyBorder="1"/>
    <xf numFmtId="175" fontId="3" fillId="6" borderId="4" xfId="11" applyNumberFormat="1" applyFill="1" applyBorder="1"/>
    <xf numFmtId="172" fontId="23" fillId="7" borderId="4" xfId="14" applyNumberFormat="1" applyFont="1" applyFill="1" applyBorder="1"/>
    <xf numFmtId="172" fontId="24" fillId="7" borderId="4" xfId="14" applyNumberFormat="1" applyFont="1" applyFill="1" applyBorder="1"/>
    <xf numFmtId="175" fontId="3" fillId="7" borderId="4" xfId="11" applyNumberFormat="1" applyFill="1" applyBorder="1"/>
    <xf numFmtId="175" fontId="20" fillId="7" borderId="4" xfId="11" applyNumberFormat="1" applyFont="1" applyFill="1" applyBorder="1"/>
    <xf numFmtId="175" fontId="21" fillId="6" borderId="9" xfId="11" applyNumberFormat="1" applyFont="1" applyFill="1" applyBorder="1"/>
    <xf numFmtId="172" fontId="26" fillId="7" borderId="4" xfId="14" applyNumberFormat="1" applyFont="1" applyFill="1" applyBorder="1"/>
    <xf numFmtId="175" fontId="27" fillId="7" borderId="4" xfId="11" applyNumberFormat="1" applyFont="1" applyFill="1" applyBorder="1"/>
    <xf numFmtId="175" fontId="27" fillId="7" borderId="42" xfId="11" applyNumberFormat="1" applyFont="1" applyFill="1" applyBorder="1"/>
    <xf numFmtId="172" fontId="3" fillId="0" borderId="8" xfId="14" applyNumberFormat="1" applyFont="1" applyBorder="1"/>
    <xf numFmtId="172" fontId="24" fillId="0" borderId="4" xfId="14" applyNumberFormat="1" applyFont="1" applyBorder="1"/>
    <xf numFmtId="172" fontId="21" fillId="7" borderId="9" xfId="14" applyNumberFormat="1" applyFont="1" applyFill="1" applyBorder="1"/>
    <xf numFmtId="172" fontId="3" fillId="7" borderId="4" xfId="14" applyNumberFormat="1" applyFont="1" applyFill="1" applyBorder="1"/>
    <xf numFmtId="172" fontId="3" fillId="7" borderId="5" xfId="14" applyNumberFormat="1" applyFont="1" applyFill="1" applyBorder="1"/>
    <xf numFmtId="175" fontId="3" fillId="7" borderId="5" xfId="11" applyNumberFormat="1" applyFill="1" applyBorder="1"/>
    <xf numFmtId="175" fontId="27" fillId="7" borderId="5" xfId="11" applyNumberFormat="1" applyFont="1" applyFill="1" applyBorder="1"/>
    <xf numFmtId="172" fontId="3" fillId="0" borderId="5" xfId="14" applyNumberFormat="1" applyFont="1" applyBorder="1"/>
    <xf numFmtId="175" fontId="3" fillId="0" borderId="5" xfId="11" applyNumberFormat="1" applyBorder="1"/>
    <xf numFmtId="172" fontId="3" fillId="0" borderId="4" xfId="14" applyNumberFormat="1" applyFont="1" applyBorder="1"/>
    <xf numFmtId="172" fontId="20" fillId="0" borderId="5" xfId="14" applyNumberFormat="1" applyFont="1" applyBorder="1"/>
    <xf numFmtId="175" fontId="20" fillId="0" borderId="5" xfId="11" applyNumberFormat="1" applyFont="1" applyBorder="1"/>
    <xf numFmtId="172" fontId="20" fillId="0" borderId="19" xfId="14" applyNumberFormat="1" applyFont="1" applyBorder="1"/>
    <xf numFmtId="175" fontId="20" fillId="0" borderId="19" xfId="11" applyNumberFormat="1" applyFont="1" applyBorder="1"/>
    <xf numFmtId="172" fontId="21" fillId="8" borderId="9" xfId="14" applyNumberFormat="1" applyFont="1" applyFill="1" applyBorder="1"/>
    <xf numFmtId="172" fontId="21" fillId="8" borderId="43" xfId="14" applyNumberFormat="1" applyFont="1" applyFill="1" applyBorder="1"/>
    <xf numFmtId="172" fontId="26" fillId="8" borderId="4" xfId="14" applyNumberFormat="1" applyFont="1" applyFill="1" applyBorder="1"/>
    <xf numFmtId="175" fontId="21" fillId="8" borderId="4" xfId="11" applyNumberFormat="1" applyFont="1" applyFill="1" applyBorder="1"/>
    <xf numFmtId="175" fontId="21" fillId="8" borderId="43" xfId="11" applyNumberFormat="1" applyFont="1" applyFill="1" applyBorder="1"/>
    <xf numFmtId="172" fontId="21" fillId="8" borderId="4" xfId="14" applyNumberFormat="1" applyFont="1" applyFill="1" applyBorder="1"/>
    <xf numFmtId="172" fontId="3" fillId="8" borderId="4" xfId="14" applyNumberFormat="1" applyFont="1" applyFill="1" applyBorder="1"/>
    <xf numFmtId="175" fontId="27" fillId="8" borderId="4" xfId="11" applyNumberFormat="1" applyFont="1" applyFill="1" applyBorder="1"/>
    <xf numFmtId="175" fontId="3" fillId="8" borderId="4" xfId="11" applyNumberFormat="1" applyFill="1" applyBorder="1"/>
    <xf numFmtId="175" fontId="27" fillId="0" borderId="4" xfId="11" applyNumberFormat="1" applyFont="1" applyBorder="1"/>
    <xf numFmtId="172" fontId="26" fillId="0" borderId="9" xfId="14" applyNumberFormat="1" applyFont="1" applyBorder="1"/>
    <xf numFmtId="172" fontId="26" fillId="0" borderId="0" xfId="14" applyNumberFormat="1" applyFont="1"/>
    <xf numFmtId="172" fontId="26" fillId="0" borderId="4" xfId="14" applyNumberFormat="1" applyFont="1" applyBorder="1"/>
    <xf numFmtId="175" fontId="26" fillId="0" borderId="4" xfId="11" applyNumberFormat="1" applyFont="1" applyBorder="1"/>
    <xf numFmtId="175" fontId="26" fillId="0" borderId="0" xfId="11" applyNumberFormat="1" applyFont="1"/>
    <xf numFmtId="175" fontId="30" fillId="6" borderId="39" xfId="11" applyNumberFormat="1" applyFont="1" applyFill="1" applyBorder="1"/>
    <xf numFmtId="175" fontId="30" fillId="6" borderId="4" xfId="11" applyNumberFormat="1" applyFont="1" applyFill="1" applyBorder="1"/>
    <xf numFmtId="172" fontId="21" fillId="7" borderId="4" xfId="14" applyNumberFormat="1" applyFont="1" applyFill="1" applyBorder="1"/>
    <xf numFmtId="175" fontId="21" fillId="7" borderId="4" xfId="11" applyNumberFormat="1" applyFont="1" applyFill="1" applyBorder="1"/>
    <xf numFmtId="172" fontId="31" fillId="8" borderId="4" xfId="14" applyNumberFormat="1" applyFont="1" applyFill="1" applyBorder="1"/>
    <xf numFmtId="172" fontId="21" fillId="0" borderId="4" xfId="14" applyNumberFormat="1" applyFont="1" applyBorder="1"/>
    <xf numFmtId="175" fontId="31" fillId="0" borderId="4" xfId="11" applyNumberFormat="1" applyFont="1" applyBorder="1"/>
    <xf numFmtId="175" fontId="21" fillId="0" borderId="4" xfId="11" applyNumberFormat="1" applyFont="1" applyBorder="1"/>
    <xf numFmtId="172" fontId="3" fillId="0" borderId="4" xfId="14" applyNumberFormat="1" applyFont="1" applyBorder="1" applyAlignment="1">
      <alignment horizontal="center"/>
    </xf>
    <xf numFmtId="175" fontId="21" fillId="0" borderId="39" xfId="11" applyNumberFormat="1" applyFont="1" applyBorder="1"/>
    <xf numFmtId="175" fontId="21" fillId="0" borderId="9" xfId="11" applyNumberFormat="1" applyFont="1" applyBorder="1"/>
    <xf numFmtId="172" fontId="21" fillId="7" borderId="9" xfId="14" applyNumberFormat="1" applyFont="1" applyFill="1" applyBorder="1" applyAlignment="1">
      <alignment horizontal="center"/>
    </xf>
    <xf numFmtId="175" fontId="21" fillId="7" borderId="9" xfId="11" applyNumberFormat="1" applyFont="1" applyFill="1" applyBorder="1"/>
    <xf numFmtId="172" fontId="21" fillId="0" borderId="9" xfId="14" applyNumberFormat="1" applyFont="1" applyBorder="1" applyAlignment="1">
      <alignment horizontal="center"/>
    </xf>
    <xf numFmtId="175" fontId="12" fillId="0" borderId="0" xfId="15" applyNumberFormat="1" applyFont="1"/>
    <xf numFmtId="175" fontId="3" fillId="0" borderId="45" xfId="11" applyNumberFormat="1" applyBorder="1"/>
    <xf numFmtId="175" fontId="3" fillId="0" borderId="46" xfId="11" applyNumberFormat="1" applyBorder="1"/>
    <xf numFmtId="172" fontId="3" fillId="0" borderId="46" xfId="14" applyNumberFormat="1" applyFont="1" applyBorder="1"/>
    <xf numFmtId="172" fontId="3" fillId="0" borderId="46" xfId="14" applyNumberFormat="1" applyFont="1" applyBorder="1" applyAlignment="1">
      <alignment horizontal="center"/>
    </xf>
    <xf numFmtId="175" fontId="20" fillId="0" borderId="31" xfId="11" applyNumberFormat="1" applyFont="1" applyBorder="1"/>
    <xf numFmtId="175" fontId="32" fillId="0" borderId="48" xfId="11" applyNumberFormat="1" applyFont="1" applyBorder="1" applyAlignment="1">
      <alignment horizontal="center"/>
    </xf>
    <xf numFmtId="175" fontId="33" fillId="0" borderId="31" xfId="11" applyNumberFormat="1" applyFont="1" applyBorder="1" applyAlignment="1">
      <alignment horizontal="center"/>
    </xf>
    <xf numFmtId="175" fontId="32" fillId="0" borderId="31" xfId="11" applyNumberFormat="1" applyFont="1" applyBorder="1" applyAlignment="1">
      <alignment horizontal="center"/>
    </xf>
    <xf numFmtId="175" fontId="34" fillId="0" borderId="48" xfId="11" applyNumberFormat="1" applyFont="1" applyBorder="1" applyAlignment="1">
      <alignment horizontal="center"/>
    </xf>
    <xf numFmtId="175" fontId="34" fillId="0" borderId="29" xfId="11" applyNumberFormat="1" applyFont="1" applyBorder="1" applyAlignment="1">
      <alignment horizontal="center"/>
    </xf>
    <xf numFmtId="172" fontId="34" fillId="0" borderId="48" xfId="14" applyNumberFormat="1" applyFont="1" applyBorder="1" applyAlignment="1">
      <alignment horizontal="center"/>
    </xf>
    <xf numFmtId="172" fontId="35" fillId="0" borderId="48" xfId="14" applyNumberFormat="1" applyFont="1" applyBorder="1" applyAlignment="1">
      <alignment horizontal="center"/>
    </xf>
    <xf numFmtId="172" fontId="34" fillId="0" borderId="31" xfId="14" applyNumberFormat="1" applyFont="1" applyBorder="1" applyAlignment="1">
      <alignment horizontal="center"/>
    </xf>
    <xf numFmtId="175" fontId="35" fillId="0" borderId="48" xfId="11" applyNumberFormat="1" applyFont="1" applyBorder="1" applyAlignment="1">
      <alignment horizontal="center"/>
    </xf>
    <xf numFmtId="175" fontId="20" fillId="0" borderId="24" xfId="11" applyNumberFormat="1" applyFont="1" applyBorder="1" applyAlignment="1">
      <alignment horizontal="center"/>
    </xf>
    <xf numFmtId="175" fontId="32" fillId="0" borderId="49" xfId="11" applyNumberFormat="1" applyFont="1" applyBorder="1" applyAlignment="1">
      <alignment horizontal="center"/>
    </xf>
    <xf numFmtId="175" fontId="36" fillId="0" borderId="34" xfId="11" applyNumberFormat="1" applyFont="1" applyBorder="1" applyAlignment="1">
      <alignment horizontal="center"/>
    </xf>
    <xf numFmtId="175" fontId="32" fillId="0" borderId="34" xfId="11" applyNumberFormat="1" applyFont="1" applyBorder="1" applyAlignment="1">
      <alignment horizontal="center"/>
    </xf>
    <xf numFmtId="175" fontId="34" fillId="0" borderId="49" xfId="11" applyNumberFormat="1" applyFont="1" applyBorder="1" applyAlignment="1">
      <alignment horizontal="center"/>
    </xf>
    <xf numFmtId="175" fontId="34" fillId="0" borderId="32" xfId="11" applyNumberFormat="1" applyFont="1" applyBorder="1" applyAlignment="1">
      <alignment horizontal="center"/>
    </xf>
    <xf numFmtId="172" fontId="34" fillId="0" borderId="49" xfId="14" applyNumberFormat="1" applyFont="1" applyBorder="1" applyAlignment="1">
      <alignment horizontal="center"/>
    </xf>
    <xf numFmtId="172" fontId="34" fillId="0" borderId="50" xfId="14" applyNumberFormat="1" applyFont="1" applyBorder="1" applyAlignment="1">
      <alignment horizontal="center"/>
    </xf>
    <xf numFmtId="172" fontId="34" fillId="0" borderId="34" xfId="14" applyNumberFormat="1" applyFont="1" applyBorder="1" applyAlignment="1">
      <alignment horizontal="center"/>
    </xf>
    <xf numFmtId="175" fontId="20" fillId="0" borderId="49" xfId="11" applyNumberFormat="1" applyFont="1" applyBorder="1"/>
    <xf numFmtId="175" fontId="34" fillId="0" borderId="50" xfId="11" applyNumberFormat="1" applyFont="1" applyBorder="1" applyAlignment="1">
      <alignment horizontal="center"/>
    </xf>
    <xf numFmtId="175" fontId="32" fillId="0" borderId="50" xfId="11" applyNumberFormat="1" applyFont="1" applyBorder="1" applyAlignment="1">
      <alignment horizontal="center"/>
    </xf>
    <xf numFmtId="175" fontId="20" fillId="0" borderId="0" xfId="11" applyNumberFormat="1" applyFont="1" applyAlignment="1">
      <alignment horizontal="centerContinuous"/>
    </xf>
    <xf numFmtId="175" fontId="20" fillId="0" borderId="23" xfId="11" applyNumberFormat="1" applyFont="1" applyBorder="1" applyAlignment="1">
      <alignment horizontal="centerContinuous"/>
    </xf>
    <xf numFmtId="172" fontId="20" fillId="0" borderId="31" xfId="14" applyNumberFormat="1" applyFont="1" applyBorder="1" applyAlignment="1">
      <alignment horizontal="centerContinuous"/>
    </xf>
    <xf numFmtId="175" fontId="34" fillId="0" borderId="29" xfId="11" applyNumberFormat="1" applyFont="1" applyBorder="1" applyAlignment="1">
      <alignment horizontal="centerContinuous"/>
    </xf>
    <xf numFmtId="175" fontId="20" fillId="0" borderId="34" xfId="11" applyNumberFormat="1" applyFont="1" applyBorder="1"/>
    <xf numFmtId="175" fontId="20" fillId="0" borderId="33" xfId="11" applyNumberFormat="1" applyFont="1" applyBorder="1"/>
    <xf numFmtId="175" fontId="20" fillId="0" borderId="32" xfId="11" applyNumberFormat="1" applyFont="1" applyBorder="1"/>
    <xf numFmtId="172" fontId="20" fillId="0" borderId="49" xfId="14" applyNumberFormat="1" applyFont="1" applyBorder="1"/>
    <xf numFmtId="172" fontId="20" fillId="0" borderId="34" xfId="14" applyNumberFormat="1" applyFont="1" applyBorder="1" applyAlignment="1">
      <alignment horizontal="centerContinuous"/>
    </xf>
    <xf numFmtId="175" fontId="20" fillId="0" borderId="32" xfId="11" applyNumberFormat="1" applyFont="1" applyBorder="1" applyAlignment="1">
      <alignment horizontal="centerContinuous"/>
    </xf>
    <xf numFmtId="0" fontId="42" fillId="3" borderId="0" xfId="0" applyFont="1" applyFill="1"/>
    <xf numFmtId="0" fontId="42" fillId="0" borderId="0" xfId="0" applyFont="1"/>
    <xf numFmtId="0" fontId="43" fillId="0" borderId="0" xfId="0" applyFont="1"/>
    <xf numFmtId="14" fontId="43" fillId="4" borderId="0" xfId="0" applyNumberFormat="1" applyFont="1" applyFill="1" applyAlignment="1">
      <alignment horizontal="center"/>
    </xf>
    <xf numFmtId="0" fontId="44" fillId="3" borderId="0" xfId="0" applyFont="1" applyFill="1" applyAlignment="1">
      <alignment vertical="center" wrapText="1"/>
    </xf>
    <xf numFmtId="0" fontId="45" fillId="3" borderId="0" xfId="0" applyFont="1" applyFill="1"/>
    <xf numFmtId="0" fontId="44" fillId="3" borderId="0" xfId="0" applyFont="1" applyFill="1" applyAlignment="1">
      <alignment horizontal="center" vertical="center"/>
    </xf>
    <xf numFmtId="164" fontId="43" fillId="4" borderId="0" xfId="1" applyFont="1" applyFill="1" applyAlignment="1">
      <alignment horizontal="center"/>
    </xf>
    <xf numFmtId="1" fontId="43" fillId="4" borderId="0" xfId="0" applyNumberFormat="1" applyFont="1" applyFill="1" applyAlignment="1">
      <alignment horizontal="center"/>
    </xf>
    <xf numFmtId="0" fontId="44" fillId="3" borderId="0" xfId="0" applyFont="1" applyFill="1" applyAlignment="1">
      <alignment vertical="center"/>
    </xf>
    <xf numFmtId="17" fontId="43" fillId="4" borderId="0" xfId="0" applyNumberFormat="1" applyFont="1" applyFill="1" applyAlignment="1">
      <alignment horizontal="center"/>
    </xf>
    <xf numFmtId="14" fontId="44" fillId="3" borderId="0" xfId="0" applyNumberFormat="1" applyFont="1" applyFill="1" applyAlignment="1">
      <alignment horizontal="center" vertical="center"/>
    </xf>
    <xf numFmtId="0" fontId="47" fillId="3" borderId="0" xfId="0" applyFont="1" applyFill="1"/>
    <xf numFmtId="0" fontId="42" fillId="3" borderId="0" xfId="0" applyFont="1" applyFill="1" applyAlignment="1">
      <alignment horizontal="center"/>
    </xf>
    <xf numFmtId="0" fontId="42" fillId="2" borderId="0" xfId="0" applyFont="1" applyFill="1"/>
    <xf numFmtId="0" fontId="42" fillId="2" borderId="0" xfId="0" applyFont="1" applyFill="1" applyAlignment="1">
      <alignment horizontal="center"/>
    </xf>
    <xf numFmtId="0" fontId="47" fillId="2" borderId="0" xfId="0" applyFont="1" applyFill="1"/>
    <xf numFmtId="0" fontId="47" fillId="0" borderId="0" xfId="0" applyFont="1"/>
    <xf numFmtId="0" fontId="45" fillId="0" borderId="0" xfId="0" applyFont="1" applyAlignment="1">
      <alignment horizontal="center"/>
    </xf>
    <xf numFmtId="0" fontId="48" fillId="0" borderId="0" xfId="0" applyFont="1"/>
    <xf numFmtId="0" fontId="42" fillId="0" borderId="0" xfId="0" quotePrefix="1" applyFont="1"/>
    <xf numFmtId="0" fontId="49" fillId="0" borderId="0" xfId="2" applyFont="1" applyFill="1"/>
    <xf numFmtId="0" fontId="50" fillId="0" borderId="0" xfId="0" applyFont="1" applyAlignment="1">
      <alignment vertical="center" wrapText="1"/>
    </xf>
    <xf numFmtId="0" fontId="51" fillId="0" borderId="0" xfId="0" applyFont="1"/>
    <xf numFmtId="41" fontId="51" fillId="2" borderId="0" xfId="14" applyFont="1" applyFill="1"/>
    <xf numFmtId="4" fontId="51" fillId="0" borderId="0" xfId="0" applyNumberFormat="1" applyFont="1"/>
    <xf numFmtId="4" fontId="52" fillId="0" borderId="0" xfId="0" applyNumberFormat="1" applyFont="1"/>
    <xf numFmtId="0" fontId="52" fillId="0" borderId="0" xfId="0" applyFont="1"/>
    <xf numFmtId="4" fontId="42" fillId="0" borderId="0" xfId="0" applyNumberFormat="1" applyFont="1"/>
    <xf numFmtId="4" fontId="56" fillId="0" borderId="0" xfId="0" applyNumberFormat="1" applyFont="1"/>
    <xf numFmtId="0" fontId="57" fillId="0" borderId="0" xfId="0" applyFont="1" applyAlignment="1">
      <alignment horizontal="center"/>
    </xf>
    <xf numFmtId="41" fontId="57" fillId="0" borderId="0" xfId="14" applyFont="1" applyAlignment="1">
      <alignment horizontal="center"/>
    </xf>
    <xf numFmtId="0" fontId="58" fillId="0" borderId="20" xfId="0" applyFont="1" applyBorder="1"/>
    <xf numFmtId="1" fontId="58" fillId="2" borderId="21" xfId="0" applyNumberFormat="1" applyFont="1" applyFill="1" applyBorder="1" applyAlignment="1">
      <alignment horizontal="center" vertical="center"/>
    </xf>
    <xf numFmtId="1" fontId="58" fillId="2" borderId="22" xfId="0" applyNumberFormat="1" applyFont="1" applyFill="1" applyBorder="1" applyAlignment="1">
      <alignment horizontal="center" vertical="center"/>
    </xf>
    <xf numFmtId="0" fontId="58" fillId="0" borderId="23" xfId="0" applyFont="1" applyBorder="1"/>
    <xf numFmtId="41" fontId="42" fillId="2" borderId="0" xfId="14" applyFont="1" applyFill="1" applyBorder="1" applyAlignment="1">
      <alignment horizontal="center" vertical="center"/>
    </xf>
    <xf numFmtId="4" fontId="42" fillId="2" borderId="24" xfId="0" applyNumberFormat="1" applyFont="1" applyFill="1" applyBorder="1" applyAlignment="1">
      <alignment horizontal="center" vertical="center"/>
    </xf>
    <xf numFmtId="4" fontId="56" fillId="0" borderId="0" xfId="4" applyNumberFormat="1" applyFont="1" applyAlignment="1">
      <alignment vertical="center"/>
    </xf>
    <xf numFmtId="164" fontId="42" fillId="2" borderId="24" xfId="1" applyFont="1" applyFill="1" applyBorder="1" applyAlignment="1">
      <alignment horizontal="center" vertical="center"/>
    </xf>
    <xf numFmtId="0" fontId="42" fillId="0" borderId="23" xfId="0" applyFont="1" applyBorder="1"/>
    <xf numFmtId="172" fontId="42" fillId="0" borderId="0" xfId="14" applyNumberFormat="1" applyFont="1" applyBorder="1"/>
    <xf numFmtId="164" fontId="42" fillId="0" borderId="24" xfId="1" applyFont="1" applyBorder="1" applyAlignment="1">
      <alignment horizontal="center" vertical="center"/>
    </xf>
    <xf numFmtId="0" fontId="48" fillId="0" borderId="23" xfId="0" applyFont="1" applyBorder="1"/>
    <xf numFmtId="172" fontId="42" fillId="2" borderId="0" xfId="14" applyNumberFormat="1" applyFont="1" applyFill="1" applyBorder="1" applyAlignment="1">
      <alignment horizontal="center" vertical="center"/>
    </xf>
    <xf numFmtId="172" fontId="58" fillId="2" borderId="2" xfId="14" applyNumberFormat="1" applyFont="1" applyFill="1" applyBorder="1" applyAlignment="1">
      <alignment horizontal="center" vertical="center"/>
    </xf>
    <xf numFmtId="164" fontId="58" fillId="2" borderId="25" xfId="1" applyFont="1" applyFill="1" applyBorder="1" applyAlignment="1">
      <alignment horizontal="center" vertical="center"/>
    </xf>
    <xf numFmtId="172" fontId="42" fillId="0" borderId="0" xfId="14" applyNumberFormat="1" applyFont="1" applyBorder="1" applyAlignment="1">
      <alignment horizontal="center" vertical="center"/>
    </xf>
    <xf numFmtId="172" fontId="58" fillId="2" borderId="0" xfId="14" applyNumberFormat="1" applyFont="1" applyFill="1" applyBorder="1" applyAlignment="1">
      <alignment horizontal="center" vertical="center"/>
    </xf>
    <xf numFmtId="164" fontId="58" fillId="2" borderId="24" xfId="1" applyFont="1" applyFill="1" applyBorder="1" applyAlignment="1">
      <alignment horizontal="center" vertical="center"/>
    </xf>
    <xf numFmtId="172" fontId="58" fillId="2" borderId="10" xfId="14" applyNumberFormat="1" applyFont="1" applyFill="1" applyBorder="1" applyAlignment="1">
      <alignment horizontal="center" vertical="center"/>
    </xf>
    <xf numFmtId="164" fontId="58" fillId="2" borderId="26" xfId="1" applyFont="1" applyFill="1" applyBorder="1" applyAlignment="1">
      <alignment horizontal="center" vertical="center"/>
    </xf>
    <xf numFmtId="172" fontId="48" fillId="2" borderId="0" xfId="14" applyNumberFormat="1" applyFont="1" applyFill="1" applyBorder="1" applyAlignment="1">
      <alignment horizontal="center" vertical="center"/>
    </xf>
    <xf numFmtId="164" fontId="48" fillId="2" borderId="24" xfId="1" applyFont="1" applyFill="1" applyBorder="1" applyAlignment="1">
      <alignment horizontal="center" vertical="center"/>
    </xf>
    <xf numFmtId="172" fontId="48" fillId="2" borderId="1" xfId="14" applyNumberFormat="1" applyFont="1" applyFill="1" applyBorder="1" applyAlignment="1">
      <alignment horizontal="center" vertical="center"/>
    </xf>
    <xf numFmtId="164" fontId="48" fillId="2" borderId="27" xfId="1" applyFont="1" applyFill="1" applyBorder="1" applyAlignment="1">
      <alignment horizontal="center" vertical="center"/>
    </xf>
    <xf numFmtId="4" fontId="48" fillId="0" borderId="0" xfId="0" applyNumberFormat="1" applyFont="1"/>
    <xf numFmtId="4" fontId="59" fillId="0" borderId="0" xfId="0" applyNumberFormat="1" applyFont="1"/>
    <xf numFmtId="172" fontId="58" fillId="2" borderId="26" xfId="14" applyNumberFormat="1" applyFont="1" applyFill="1" applyBorder="1" applyAlignment="1">
      <alignment horizontal="center" vertical="center"/>
    </xf>
    <xf numFmtId="0" fontId="58" fillId="0" borderId="28" xfId="0" applyFont="1" applyBorder="1"/>
    <xf numFmtId="172" fontId="58" fillId="2" borderId="1" xfId="14" applyNumberFormat="1" applyFont="1" applyFill="1" applyBorder="1" applyAlignment="1">
      <alignment horizontal="center" vertical="center"/>
    </xf>
    <xf numFmtId="164" fontId="58" fillId="2" borderId="27" xfId="1" applyFont="1" applyFill="1" applyBorder="1" applyAlignment="1">
      <alignment horizontal="center" vertical="center"/>
    </xf>
    <xf numFmtId="172" fontId="58" fillId="2" borderId="24" xfId="14" applyNumberFormat="1" applyFont="1" applyFill="1" applyBorder="1" applyAlignment="1">
      <alignment horizontal="center" vertical="center"/>
    </xf>
    <xf numFmtId="172" fontId="58" fillId="0" borderId="2" xfId="14" applyNumberFormat="1" applyFont="1" applyBorder="1" applyAlignment="1">
      <alignment horizontal="center" vertical="center"/>
    </xf>
    <xf numFmtId="164" fontId="58" fillId="0" borderId="25" xfId="1" applyFont="1" applyBorder="1" applyAlignment="1">
      <alignment horizontal="center" vertical="center"/>
    </xf>
    <xf numFmtId="169" fontId="59" fillId="0" borderId="0" xfId="1" applyNumberFormat="1" applyFont="1" applyBorder="1"/>
    <xf numFmtId="164" fontId="59" fillId="0" borderId="0" xfId="1" applyFont="1" applyBorder="1"/>
    <xf numFmtId="0" fontId="55" fillId="0" borderId="23" xfId="0" applyFont="1" applyBorder="1"/>
    <xf numFmtId="172" fontId="55" fillId="2" borderId="10" xfId="14" applyNumberFormat="1" applyFont="1" applyFill="1" applyBorder="1" applyAlignment="1">
      <alignment horizontal="center" vertical="center"/>
    </xf>
    <xf numFmtId="0" fontId="58" fillId="0" borderId="29" xfId="0" applyFont="1" applyBorder="1"/>
    <xf numFmtId="41" fontId="48" fillId="2" borderId="30" xfId="14" applyFont="1" applyFill="1" applyBorder="1"/>
    <xf numFmtId="4" fontId="48" fillId="2" borderId="31" xfId="0" applyNumberFormat="1" applyFont="1" applyFill="1" applyBorder="1"/>
    <xf numFmtId="0" fontId="55" fillId="0" borderId="0" xfId="0" applyFont="1"/>
    <xf numFmtId="41" fontId="48" fillId="2" borderId="0" xfId="14" applyFont="1" applyFill="1"/>
    <xf numFmtId="4" fontId="48" fillId="2" borderId="0" xfId="0" applyNumberFormat="1" applyFont="1" applyFill="1"/>
    <xf numFmtId="41" fontId="42" fillId="2" borderId="0" xfId="14" applyFont="1" applyFill="1"/>
    <xf numFmtId="4" fontId="42" fillId="2" borderId="0" xfId="0" applyNumberFormat="1" applyFont="1" applyFill="1"/>
    <xf numFmtId="0" fontId="51" fillId="2" borderId="0" xfId="0" applyFont="1" applyFill="1"/>
    <xf numFmtId="0" fontId="54" fillId="0" borderId="0" xfId="0" applyFont="1" applyAlignment="1">
      <alignment horizontal="center"/>
    </xf>
    <xf numFmtId="0" fontId="42" fillId="0" borderId="32" xfId="0" applyFont="1" applyBorder="1"/>
    <xf numFmtId="0" fontId="42" fillId="0" borderId="28" xfId="0" applyFont="1" applyBorder="1"/>
    <xf numFmtId="164" fontId="42" fillId="0" borderId="0" xfId="1" applyFont="1" applyBorder="1" applyAlignment="1">
      <alignment horizontal="center" vertical="center"/>
    </xf>
    <xf numFmtId="164" fontId="42" fillId="0" borderId="0" xfId="1" applyFont="1" applyBorder="1" applyAlignment="1">
      <alignment horizontal="right" vertical="center"/>
    </xf>
    <xf numFmtId="164" fontId="42" fillId="0" borderId="24" xfId="1" applyFont="1" applyBorder="1" applyAlignment="1">
      <alignment horizontal="right" vertical="center"/>
    </xf>
    <xf numFmtId="49" fontId="48" fillId="0" borderId="23" xfId="0" applyNumberFormat="1" applyFont="1" applyBorder="1"/>
    <xf numFmtId="164" fontId="42" fillId="0" borderId="1" xfId="1" applyFont="1" applyBorder="1" applyAlignment="1">
      <alignment horizontal="right" vertical="center"/>
    </xf>
    <xf numFmtId="164" fontId="42" fillId="0" borderId="27" xfId="1" applyFont="1" applyBorder="1" applyAlignment="1">
      <alignment horizontal="right" vertical="center"/>
    </xf>
    <xf numFmtId="164" fontId="58" fillId="0" borderId="1" xfId="1" applyFont="1" applyBorder="1" applyAlignment="1">
      <alignment horizontal="right" vertical="center"/>
    </xf>
    <xf numFmtId="164" fontId="58" fillId="0" borderId="27" xfId="1" applyFont="1" applyBorder="1" applyAlignment="1">
      <alignment horizontal="right"/>
    </xf>
    <xf numFmtId="164" fontId="42" fillId="0" borderId="24" xfId="1" applyFont="1" applyBorder="1" applyAlignment="1">
      <alignment horizontal="right"/>
    </xf>
    <xf numFmtId="3" fontId="42" fillId="0" borderId="0" xfId="0" applyNumberFormat="1" applyFont="1"/>
    <xf numFmtId="49" fontId="42" fillId="0" borderId="23" xfId="0" applyNumberFormat="1" applyFont="1" applyBorder="1"/>
    <xf numFmtId="49" fontId="58" fillId="0" borderId="23" xfId="0" applyNumberFormat="1" applyFont="1" applyBorder="1"/>
    <xf numFmtId="164" fontId="58" fillId="0" borderId="2" xfId="1" applyFont="1" applyBorder="1" applyAlignment="1">
      <alignment horizontal="right" vertical="center"/>
    </xf>
    <xf numFmtId="164" fontId="58" fillId="0" borderId="25" xfId="1" applyFont="1" applyBorder="1" applyAlignment="1">
      <alignment horizontal="right"/>
    </xf>
    <xf numFmtId="164" fontId="58" fillId="0" borderId="10" xfId="1" applyFont="1" applyBorder="1" applyAlignment="1">
      <alignment horizontal="right" vertical="center"/>
    </xf>
    <xf numFmtId="164" fontId="58" fillId="0" borderId="26" xfId="1" applyFont="1" applyBorder="1" applyAlignment="1">
      <alignment horizontal="right"/>
    </xf>
    <xf numFmtId="4" fontId="60" fillId="0" borderId="0" xfId="0" applyNumberFormat="1" applyFont="1"/>
    <xf numFmtId="3" fontId="42" fillId="0" borderId="24" xfId="0" applyNumberFormat="1" applyFont="1" applyBorder="1" applyAlignment="1">
      <alignment horizontal="center" vertical="center"/>
    </xf>
    <xf numFmtId="49" fontId="42" fillId="0" borderId="29" xfId="0" applyNumberFormat="1" applyFont="1" applyBorder="1"/>
    <xf numFmtId="3" fontId="48" fillId="0" borderId="30" xfId="0" applyNumberFormat="1" applyFont="1" applyBorder="1"/>
    <xf numFmtId="3" fontId="42" fillId="0" borderId="31" xfId="0" applyNumberFormat="1" applyFont="1" applyBorder="1"/>
    <xf numFmtId="169" fontId="42" fillId="0" borderId="0" xfId="1" applyNumberFormat="1" applyFont="1"/>
    <xf numFmtId="49" fontId="58" fillId="0" borderId="0" xfId="0" applyNumberFormat="1" applyFont="1"/>
    <xf numFmtId="3" fontId="58" fillId="0" borderId="0" xfId="0" applyNumberFormat="1" applyFont="1"/>
    <xf numFmtId="0" fontId="60" fillId="0" borderId="0" xfId="0" applyFont="1"/>
    <xf numFmtId="3" fontId="60" fillId="0" borderId="0" xfId="0" applyNumberFormat="1" applyFont="1"/>
    <xf numFmtId="0" fontId="62" fillId="0" borderId="0" xfId="0" applyFont="1"/>
    <xf numFmtId="0" fontId="58" fillId="0" borderId="0" xfId="0" applyFont="1"/>
    <xf numFmtId="0" fontId="51" fillId="0" borderId="0" xfId="0" applyFont="1" applyAlignment="1">
      <alignment horizontal="center"/>
    </xf>
    <xf numFmtId="4" fontId="58" fillId="0" borderId="0" xfId="0" applyNumberFormat="1" applyFont="1"/>
    <xf numFmtId="0" fontId="42" fillId="0" borderId="0" xfId="0" applyFont="1" applyAlignment="1">
      <alignment horizont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4" xfId="0" applyFont="1" applyBorder="1" applyAlignment="1">
      <alignment horizontal="center" vertical="center" wrapText="1"/>
    </xf>
    <xf numFmtId="4" fontId="42" fillId="0" borderId="0" xfId="0" applyNumberFormat="1" applyFont="1" applyAlignment="1">
      <alignment horizontal="center"/>
    </xf>
    <xf numFmtId="0" fontId="58" fillId="0" borderId="6" xfId="0" applyFont="1" applyBorder="1" applyAlignment="1">
      <alignment horizontal="center" vertical="center" wrapText="1"/>
    </xf>
    <xf numFmtId="172" fontId="42" fillId="0" borderId="5" xfId="14" applyNumberFormat="1" applyFont="1" applyBorder="1" applyAlignment="1">
      <alignment horizontal="right"/>
    </xf>
    <xf numFmtId="172" fontId="48" fillId="0" borderId="5" xfId="14" applyNumberFormat="1" applyFont="1" applyBorder="1" applyAlignment="1">
      <alignment horizontal="right"/>
    </xf>
    <xf numFmtId="0" fontId="58" fillId="0" borderId="0" xfId="0" applyFont="1" applyAlignment="1">
      <alignment horizontal="center"/>
    </xf>
    <xf numFmtId="0" fontId="58" fillId="0" borderId="8" xfId="0" applyFont="1" applyBorder="1" applyAlignment="1">
      <alignment horizontal="center" vertical="center" wrapText="1"/>
    </xf>
    <xf numFmtId="172" fontId="42" fillId="0" borderId="8" xfId="14" applyNumberFormat="1" applyFont="1" applyBorder="1" applyAlignment="1">
      <alignment horizontal="right"/>
    </xf>
    <xf numFmtId="172" fontId="48" fillId="0" borderId="8" xfId="14" applyNumberFormat="1" applyFont="1" applyBorder="1" applyAlignment="1">
      <alignment horizontal="right"/>
    </xf>
    <xf numFmtId="172" fontId="48" fillId="0" borderId="8" xfId="14" applyNumberFormat="1" applyFont="1" applyBorder="1" applyAlignment="1">
      <alignment horizontal="right" vertical="center"/>
    </xf>
    <xf numFmtId="0" fontId="58" fillId="0" borderId="0" xfId="0" applyFont="1" applyAlignment="1">
      <alignment vertical="center"/>
    </xf>
    <xf numFmtId="4" fontId="58" fillId="0" borderId="0" xfId="0" applyNumberFormat="1" applyFont="1" applyAlignment="1">
      <alignment vertical="center"/>
    </xf>
    <xf numFmtId="0" fontId="48" fillId="0" borderId="8" xfId="0" applyFont="1" applyBorder="1" applyAlignment="1">
      <alignment vertical="center"/>
    </xf>
    <xf numFmtId="0" fontId="48" fillId="0" borderId="8" xfId="0" applyFont="1" applyBorder="1" applyAlignment="1">
      <alignment horizontal="left"/>
    </xf>
    <xf numFmtId="0" fontId="58" fillId="0" borderId="0" xfId="0" applyFont="1" applyAlignment="1">
      <alignment horizontal="center" wrapText="1"/>
    </xf>
    <xf numFmtId="4" fontId="58" fillId="0" borderId="0" xfId="0" applyNumberFormat="1" applyFont="1" applyAlignment="1">
      <alignment horizontal="center"/>
    </xf>
    <xf numFmtId="14" fontId="58" fillId="0" borderId="0" xfId="0" applyNumberFormat="1" applyFont="1" applyAlignment="1">
      <alignment horizontal="center"/>
    </xf>
    <xf numFmtId="172" fontId="48" fillId="0" borderId="8" xfId="14" applyNumberFormat="1" applyFont="1" applyBorder="1" applyAlignment="1">
      <alignment horizontal="right" wrapText="1"/>
    </xf>
    <xf numFmtId="0" fontId="48" fillId="0" borderId="9" xfId="0" applyFont="1" applyBorder="1"/>
    <xf numFmtId="172" fontId="48" fillId="0" borderId="9" xfId="14" applyNumberFormat="1" applyFont="1" applyBorder="1" applyAlignment="1">
      <alignment horizontal="right"/>
    </xf>
    <xf numFmtId="3" fontId="58" fillId="0" borderId="4" xfId="0" applyNumberFormat="1" applyFont="1" applyBorder="1" applyAlignment="1">
      <alignment horizontal="center" vertical="center"/>
    </xf>
    <xf numFmtId="164" fontId="43" fillId="0" borderId="4" xfId="1" applyFont="1" applyBorder="1" applyAlignment="1">
      <alignment horizontal="center" vertical="center"/>
    </xf>
    <xf numFmtId="3" fontId="48" fillId="0" borderId="0" xfId="0" applyNumberFormat="1" applyFont="1"/>
    <xf numFmtId="4" fontId="48" fillId="0" borderId="1" xfId="0" applyNumberFormat="1" applyFont="1" applyBorder="1"/>
    <xf numFmtId="164" fontId="43" fillId="0" borderId="19" xfId="1" applyFont="1" applyBorder="1" applyAlignment="1">
      <alignment horizontal="center" vertical="center"/>
    </xf>
    <xf numFmtId="0" fontId="49" fillId="0" borderId="0" xfId="0" applyFont="1"/>
    <xf numFmtId="41" fontId="48" fillId="0" borderId="0" xfId="14" applyFont="1"/>
    <xf numFmtId="2" fontId="55" fillId="0" borderId="0" xfId="0" applyNumberFormat="1" applyFont="1" applyAlignment="1">
      <alignment horizontal="center"/>
    </xf>
    <xf numFmtId="2" fontId="48" fillId="0" borderId="0" xfId="0" applyNumberFormat="1" applyFont="1"/>
    <xf numFmtId="167" fontId="48" fillId="0" borderId="0" xfId="0" applyNumberFormat="1" applyFont="1" applyAlignment="1">
      <alignment horizontal="right"/>
    </xf>
    <xf numFmtId="0" fontId="48" fillId="0" borderId="6" xfId="0" applyFont="1" applyBorder="1"/>
    <xf numFmtId="0" fontId="48" fillId="0" borderId="11" xfId="0" applyFont="1" applyBorder="1"/>
    <xf numFmtId="0" fontId="48" fillId="0" borderId="16" xfId="0" applyFont="1" applyBorder="1"/>
    <xf numFmtId="1" fontId="58" fillId="0" borderId="1" xfId="0" applyNumberFormat="1" applyFont="1" applyBorder="1" applyAlignment="1">
      <alignment horizontal="center" vertical="center"/>
    </xf>
    <xf numFmtId="3" fontId="58" fillId="0" borderId="1" xfId="0" applyNumberFormat="1" applyFont="1" applyBorder="1" applyAlignment="1">
      <alignment horizontal="center" vertical="center"/>
    </xf>
    <xf numFmtId="3" fontId="58" fillId="0" borderId="14" xfId="0" applyNumberFormat="1" applyFont="1" applyBorder="1" applyAlignment="1">
      <alignment horizontal="center" vertical="center"/>
    </xf>
    <xf numFmtId="0" fontId="48" fillId="0" borderId="12" xfId="0" applyFont="1" applyBorder="1"/>
    <xf numFmtId="3" fontId="58" fillId="0" borderId="0" xfId="0" applyNumberFormat="1" applyFont="1" applyAlignment="1">
      <alignment horizontal="center" vertical="center"/>
    </xf>
    <xf numFmtId="0" fontId="58" fillId="0" borderId="0" xfId="0" applyFont="1" applyAlignment="1">
      <alignment horizontal="center" vertical="center"/>
    </xf>
    <xf numFmtId="164" fontId="58" fillId="0" borderId="13" xfId="1" applyFont="1" applyBorder="1" applyAlignment="1">
      <alignment horizontal="center" vertical="center"/>
    </xf>
    <xf numFmtId="0" fontId="58" fillId="0" borderId="12" xfId="0" applyFont="1" applyBorder="1"/>
    <xf numFmtId="164" fontId="43" fillId="2" borderId="1" xfId="1" applyFont="1" applyFill="1" applyBorder="1" applyAlignment="1">
      <alignment horizontal="center" vertical="center"/>
    </xf>
    <xf numFmtId="164" fontId="58" fillId="0" borderId="0" xfId="1" applyFont="1" applyBorder="1" applyAlignment="1">
      <alignment horizontal="right" vertical="center"/>
    </xf>
    <xf numFmtId="164" fontId="58" fillId="0" borderId="14" xfId="1" applyFont="1" applyBorder="1" applyAlignment="1">
      <alignment horizontal="right" vertical="center"/>
    </xf>
    <xf numFmtId="164" fontId="58" fillId="0" borderId="13" xfId="1" applyFont="1" applyBorder="1" applyAlignment="1">
      <alignment horizontal="right" vertical="center"/>
    </xf>
    <xf numFmtId="164" fontId="48" fillId="0" borderId="0" xfId="1" applyFont="1" applyBorder="1" applyAlignment="1">
      <alignment horizontal="right" vertical="center"/>
    </xf>
    <xf numFmtId="164" fontId="48" fillId="0" borderId="13" xfId="1" applyFont="1" applyBorder="1" applyAlignment="1">
      <alignment horizontal="right" vertical="center"/>
    </xf>
    <xf numFmtId="164" fontId="48" fillId="0" borderId="13" xfId="1" applyFont="1" applyBorder="1" applyAlignment="1">
      <alignment vertical="center"/>
    </xf>
    <xf numFmtId="164" fontId="42" fillId="2" borderId="0" xfId="1" applyFont="1" applyFill="1" applyBorder="1" applyAlignment="1">
      <alignment horizontal="right" vertical="center"/>
    </xf>
    <xf numFmtId="164" fontId="48" fillId="0" borderId="14" xfId="1" quotePrefix="1" applyFont="1" applyBorder="1" applyAlignment="1">
      <alignment horizontal="right" vertical="center"/>
    </xf>
    <xf numFmtId="164" fontId="58" fillId="0" borderId="15" xfId="1" applyFont="1" applyBorder="1" applyAlignment="1">
      <alignment horizontal="right" vertical="center"/>
    </xf>
    <xf numFmtId="4" fontId="42" fillId="2" borderId="0" xfId="0" applyNumberFormat="1" applyFont="1" applyFill="1" applyAlignment="1">
      <alignment horizontal="center" vertical="center"/>
    </xf>
    <xf numFmtId="164" fontId="48" fillId="0" borderId="1" xfId="1" applyFont="1" applyBorder="1" applyAlignment="1">
      <alignment horizontal="right" vertical="center"/>
    </xf>
    <xf numFmtId="164" fontId="48" fillId="0" borderId="14" xfId="1" applyFont="1" applyBorder="1" applyAlignment="1">
      <alignment horizontal="right" vertical="center"/>
    </xf>
    <xf numFmtId="0" fontId="58" fillId="0" borderId="17" xfId="0" applyFont="1" applyBorder="1"/>
    <xf numFmtId="164" fontId="58" fillId="0" borderId="3" xfId="1" applyFont="1" applyBorder="1" applyAlignment="1">
      <alignment horizontal="right" vertical="center"/>
    </xf>
    <xf numFmtId="164" fontId="58" fillId="0" borderId="18" xfId="1" applyFont="1" applyBorder="1" applyAlignment="1">
      <alignment horizontal="right" vertical="center"/>
    </xf>
    <xf numFmtId="41" fontId="56" fillId="0" borderId="1" xfId="14" applyFont="1" applyBorder="1"/>
    <xf numFmtId="37" fontId="48" fillId="0" borderId="1" xfId="0" applyNumberFormat="1" applyFont="1" applyBorder="1"/>
    <xf numFmtId="37" fontId="48" fillId="0" borderId="14" xfId="0" applyNumberFormat="1" applyFont="1" applyBorder="1"/>
    <xf numFmtId="168" fontId="48" fillId="0" borderId="0" xfId="0" applyNumberFormat="1" applyFont="1"/>
    <xf numFmtId="37" fontId="48" fillId="0" borderId="0" xfId="0" applyNumberFormat="1" applyFont="1"/>
    <xf numFmtId="164" fontId="48" fillId="0" borderId="0" xfId="0" applyNumberFormat="1" applyFont="1"/>
    <xf numFmtId="41" fontId="51" fillId="0" borderId="0" xfId="14" applyFont="1"/>
    <xf numFmtId="0" fontId="53" fillId="0" borderId="0" xfId="0" applyFont="1"/>
    <xf numFmtId="0" fontId="55" fillId="0" borderId="0" xfId="0" applyFont="1" applyAlignment="1">
      <alignment horizontal="center"/>
    </xf>
    <xf numFmtId="172" fontId="61" fillId="0" borderId="0" xfId="14" applyNumberFormat="1" applyFont="1" applyAlignment="1">
      <alignment horizontal="center"/>
    </xf>
    <xf numFmtId="41" fontId="58" fillId="2" borderId="35" xfId="14" applyFont="1" applyFill="1" applyBorder="1" applyAlignment="1">
      <alignment horizontal="center"/>
    </xf>
    <xf numFmtId="41" fontId="58" fillId="2" borderId="22" xfId="14" applyFont="1" applyFill="1" applyBorder="1" applyAlignment="1">
      <alignment horizontal="center"/>
    </xf>
    <xf numFmtId="41" fontId="42" fillId="2" borderId="0" xfId="14" applyFont="1" applyFill="1" applyBorder="1" applyAlignment="1">
      <alignment horizontal="center"/>
    </xf>
    <xf numFmtId="41" fontId="42" fillId="2" borderId="24" xfId="14" applyFont="1" applyFill="1" applyBorder="1" applyAlignment="1">
      <alignment horizontal="center"/>
    </xf>
    <xf numFmtId="41" fontId="58" fillId="2" borderId="2" xfId="14" applyFont="1" applyFill="1" applyBorder="1" applyAlignment="1">
      <alignment horizontal="center"/>
    </xf>
    <xf numFmtId="41" fontId="58" fillId="2" borderId="25" xfId="14" applyFont="1" applyFill="1" applyBorder="1" applyAlignment="1">
      <alignment horizontal="center"/>
    </xf>
    <xf numFmtId="4" fontId="60" fillId="2" borderId="0" xfId="0" applyNumberFormat="1" applyFont="1" applyFill="1"/>
    <xf numFmtId="3" fontId="60" fillId="2" borderId="0" xfId="0" applyNumberFormat="1" applyFont="1" applyFill="1"/>
    <xf numFmtId="41" fontId="58" fillId="2" borderId="0" xfId="14" applyFont="1" applyFill="1" applyBorder="1" applyAlignment="1">
      <alignment horizontal="center"/>
    </xf>
    <xf numFmtId="41" fontId="58" fillId="2" borderId="24" xfId="14" applyFont="1" applyFill="1" applyBorder="1" applyAlignment="1">
      <alignment horizontal="center"/>
    </xf>
    <xf numFmtId="41" fontId="48" fillId="2" borderId="0" xfId="14" applyFont="1" applyFill="1" applyBorder="1" applyAlignment="1">
      <alignment horizontal="center"/>
    </xf>
    <xf numFmtId="41" fontId="48" fillId="2" borderId="24" xfId="14" applyFont="1" applyFill="1" applyBorder="1" applyAlignment="1">
      <alignment horizontal="center"/>
    </xf>
    <xf numFmtId="41" fontId="58" fillId="2" borderId="0" xfId="14" applyFont="1" applyFill="1" applyBorder="1" applyAlignment="1">
      <alignment horizontal="center" vertical="center"/>
    </xf>
    <xf numFmtId="41" fontId="48" fillId="2" borderId="0" xfId="14" applyFont="1" applyFill="1" applyBorder="1" applyAlignment="1">
      <alignment horizontal="center" vertical="center"/>
    </xf>
    <xf numFmtId="41" fontId="48" fillId="2" borderId="1" xfId="14" applyFont="1" applyFill="1" applyBorder="1" applyAlignment="1">
      <alignment horizontal="center" vertical="center"/>
    </xf>
    <xf numFmtId="41" fontId="48" fillId="2" borderId="27" xfId="14" applyFont="1" applyFill="1" applyBorder="1" applyAlignment="1">
      <alignment horizontal="center" vertical="center"/>
    </xf>
    <xf numFmtId="41" fontId="58" fillId="2" borderId="10" xfId="14" applyFont="1" applyFill="1" applyBorder="1" applyAlignment="1">
      <alignment horizontal="center" vertical="center"/>
    </xf>
    <xf numFmtId="41" fontId="58" fillId="2" borderId="26" xfId="14" applyFont="1" applyFill="1" applyBorder="1" applyAlignment="1">
      <alignment horizontal="center" vertical="center"/>
    </xf>
    <xf numFmtId="41" fontId="58" fillId="2" borderId="10" xfId="14" applyFont="1" applyFill="1" applyBorder="1" applyAlignment="1">
      <alignment horizontal="center"/>
    </xf>
    <xf numFmtId="41" fontId="58" fillId="2" borderId="26" xfId="14" applyFont="1" applyFill="1" applyBorder="1" applyAlignment="1">
      <alignment horizontal="center"/>
    </xf>
    <xf numFmtId="41" fontId="58" fillId="2" borderId="1" xfId="14" applyFont="1" applyFill="1" applyBorder="1" applyAlignment="1">
      <alignment horizontal="center"/>
    </xf>
    <xf numFmtId="41" fontId="58" fillId="2" borderId="27" xfId="14" applyFont="1" applyFill="1" applyBorder="1" applyAlignment="1">
      <alignment horizontal="center"/>
    </xf>
    <xf numFmtId="41" fontId="58" fillId="2" borderId="11" xfId="14" applyFont="1" applyFill="1" applyBorder="1" applyAlignment="1">
      <alignment horizontal="center"/>
    </xf>
    <xf numFmtId="41" fontId="58" fillId="2" borderId="36" xfId="14" applyFont="1" applyFill="1" applyBorder="1" applyAlignment="1">
      <alignment horizontal="center"/>
    </xf>
    <xf numFmtId="41" fontId="58" fillId="0" borderId="2" xfId="14" applyFont="1" applyBorder="1" applyAlignment="1">
      <alignment horizontal="center"/>
    </xf>
    <xf numFmtId="41" fontId="58" fillId="0" borderId="25" xfId="14" applyFont="1" applyBorder="1" applyAlignment="1">
      <alignment horizontal="center"/>
    </xf>
    <xf numFmtId="0" fontId="42" fillId="0" borderId="29" xfId="0" applyFont="1" applyBorder="1"/>
    <xf numFmtId="41" fontId="55" fillId="2" borderId="0" xfId="14" applyFont="1" applyFill="1" applyAlignment="1">
      <alignment horizontal="center"/>
    </xf>
    <xf numFmtId="41" fontId="42" fillId="2" borderId="0" xfId="14" applyFont="1" applyFill="1" applyAlignment="1">
      <alignment horizontal="center"/>
    </xf>
    <xf numFmtId="41" fontId="51" fillId="2" borderId="0" xfId="14" applyFont="1" applyFill="1" applyAlignment="1">
      <alignment horizontal="right"/>
    </xf>
    <xf numFmtId="41" fontId="51" fillId="0" borderId="0" xfId="14" applyFont="1" applyAlignment="1">
      <alignment horizontal="right"/>
    </xf>
    <xf numFmtId="0" fontId="55" fillId="0" borderId="0" xfId="0" applyFont="1" applyAlignment="1">
      <alignment horizontal="centerContinuous"/>
    </xf>
    <xf numFmtId="14" fontId="55" fillId="0" borderId="0" xfId="0" applyNumberFormat="1" applyFont="1" applyAlignment="1">
      <alignment horizontal="center"/>
    </xf>
    <xf numFmtId="172" fontId="61" fillId="0" borderId="0" xfId="14" applyNumberFormat="1" applyFont="1" applyAlignment="1"/>
    <xf numFmtId="0" fontId="42" fillId="0" borderId="17" xfId="0" applyFont="1" applyBorder="1"/>
    <xf numFmtId="41" fontId="58" fillId="0" borderId="2" xfId="14" applyFont="1" applyBorder="1" applyAlignment="1">
      <alignment horizontal="right" vertical="center"/>
    </xf>
    <xf numFmtId="41" fontId="58" fillId="0" borderId="15" xfId="14" applyFont="1" applyBorder="1" applyAlignment="1">
      <alignment horizontal="right" vertical="center"/>
    </xf>
    <xf numFmtId="4" fontId="43" fillId="0" borderId="0" xfId="0" applyNumberFormat="1" applyFont="1"/>
    <xf numFmtId="41" fontId="42" fillId="0" borderId="0" xfId="14" applyFont="1" applyBorder="1" applyAlignment="1">
      <alignment horizontal="right" vertical="center"/>
    </xf>
    <xf numFmtId="41" fontId="42" fillId="0" borderId="13" xfId="14" applyFont="1" applyBorder="1" applyAlignment="1">
      <alignment horizontal="right" vertical="center"/>
    </xf>
    <xf numFmtId="4" fontId="58" fillId="0" borderId="0" xfId="4" applyNumberFormat="1" applyFont="1" applyAlignment="1">
      <alignment vertical="center"/>
    </xf>
    <xf numFmtId="49" fontId="48" fillId="0" borderId="12" xfId="0" applyNumberFormat="1" applyFont="1" applyBorder="1"/>
    <xf numFmtId="49" fontId="42" fillId="0" borderId="12" xfId="0" applyNumberFormat="1" applyFont="1" applyBorder="1"/>
    <xf numFmtId="49" fontId="58" fillId="0" borderId="12" xfId="0" applyNumberFormat="1" applyFont="1" applyBorder="1"/>
    <xf numFmtId="41" fontId="58" fillId="0" borderId="10" xfId="14" applyFont="1" applyBorder="1" applyAlignment="1">
      <alignment horizontal="right" vertical="center"/>
    </xf>
    <xf numFmtId="41" fontId="58" fillId="0" borderId="18" xfId="14" applyFont="1" applyBorder="1" applyAlignment="1">
      <alignment horizontal="right" vertical="center"/>
    </xf>
    <xf numFmtId="3" fontId="43" fillId="0" borderId="0" xfId="0" applyNumberFormat="1" applyFont="1"/>
    <xf numFmtId="49" fontId="42" fillId="0" borderId="16" xfId="0" applyNumberFormat="1" applyFont="1" applyBorder="1"/>
    <xf numFmtId="41" fontId="42" fillId="0" borderId="1" xfId="14" applyFont="1" applyBorder="1" applyAlignment="1">
      <alignment horizontal="right" vertical="center"/>
    </xf>
    <xf numFmtId="41" fontId="42" fillId="0" borderId="14" xfId="14" applyFont="1" applyBorder="1" applyAlignment="1">
      <alignment horizontal="right" vertical="center"/>
    </xf>
    <xf numFmtId="49" fontId="42" fillId="0" borderId="0" xfId="0" applyNumberFormat="1" applyFont="1"/>
    <xf numFmtId="41" fontId="42" fillId="0" borderId="0" xfId="14" applyFont="1" applyAlignment="1">
      <alignment horizontal="right"/>
    </xf>
    <xf numFmtId="49" fontId="60" fillId="0" borderId="0" xfId="0" applyNumberFormat="1" applyFont="1"/>
    <xf numFmtId="41" fontId="60" fillId="0" borderId="0" xfId="14" applyFont="1" applyAlignment="1">
      <alignment horizontal="right"/>
    </xf>
    <xf numFmtId="0" fontId="43" fillId="0" borderId="1" xfId="0" applyFont="1" applyBorder="1" applyAlignment="1">
      <alignment horizontal="center"/>
    </xf>
    <xf numFmtId="0" fontId="58" fillId="0" borderId="5" xfId="0" applyFont="1" applyBorder="1" applyAlignment="1">
      <alignment horizontal="center" vertical="center" wrapText="1"/>
    </xf>
    <xf numFmtId="41" fontId="42" fillId="0" borderId="5" xfId="14" applyFont="1" applyBorder="1" applyAlignment="1">
      <alignment horizontal="right" vertical="center"/>
    </xf>
    <xf numFmtId="3" fontId="42" fillId="0" borderId="0" xfId="0" applyNumberFormat="1" applyFont="1" applyAlignment="1">
      <alignment horizontal="center"/>
    </xf>
    <xf numFmtId="0" fontId="48" fillId="0" borderId="8" xfId="0" applyFont="1" applyBorder="1" applyAlignment="1">
      <alignment horizontal="center"/>
    </xf>
    <xf numFmtId="41" fontId="42" fillId="0" borderId="8" xfId="14" applyFont="1" applyBorder="1" applyAlignment="1">
      <alignment horizontal="center" vertical="center"/>
    </xf>
    <xf numFmtId="41" fontId="48" fillId="0" borderId="8" xfId="14" applyFont="1" applyBorder="1" applyAlignment="1">
      <alignment horizontal="center" vertical="center"/>
    </xf>
    <xf numFmtId="41" fontId="58" fillId="0" borderId="8" xfId="14" applyFont="1" applyBorder="1" applyAlignment="1">
      <alignment horizontal="center" vertical="center"/>
    </xf>
    <xf numFmtId="41" fontId="48" fillId="0" borderId="8" xfId="14" applyFont="1" applyBorder="1" applyAlignment="1">
      <alignment horizontal="center" vertical="center" wrapText="1"/>
    </xf>
    <xf numFmtId="0" fontId="48" fillId="0" borderId="8" xfId="0" applyFont="1" applyBorder="1" applyAlignment="1">
      <alignment horizontal="left" vertical="center"/>
    </xf>
    <xf numFmtId="41" fontId="48" fillId="0" borderId="8" xfId="14" applyFont="1" applyBorder="1" applyAlignment="1">
      <alignment horizontal="right" vertical="center"/>
    </xf>
    <xf numFmtId="0" fontId="48" fillId="0" borderId="9" xfId="0" applyFont="1" applyBorder="1" applyAlignment="1">
      <alignment vertical="center"/>
    </xf>
    <xf numFmtId="41" fontId="48" fillId="0" borderId="9" xfId="14" applyFont="1" applyBorder="1" applyAlignment="1">
      <alignment horizontal="center" vertical="center"/>
    </xf>
    <xf numFmtId="41" fontId="48" fillId="0" borderId="9" xfId="14" applyFont="1" applyBorder="1" applyAlignment="1">
      <alignment horizontal="right" vertical="center"/>
    </xf>
    <xf numFmtId="41" fontId="43" fillId="0" borderId="4" xfId="14" applyFont="1" applyBorder="1" applyAlignment="1">
      <alignment horizontal="center" vertical="center"/>
    </xf>
    <xf numFmtId="41" fontId="58" fillId="0" borderId="4" xfId="14" applyFont="1" applyBorder="1" applyAlignment="1">
      <alignment horizontal="center" vertical="center" wrapText="1"/>
    </xf>
    <xf numFmtId="41" fontId="43" fillId="0" borderId="19" xfId="14" applyFont="1" applyBorder="1" applyAlignment="1">
      <alignment horizontal="center" vertical="center"/>
    </xf>
    <xf numFmtId="3" fontId="64" fillId="0" borderId="0" xfId="0" applyNumberFormat="1" applyFont="1"/>
    <xf numFmtId="41" fontId="51" fillId="0" borderId="0" xfId="14" applyFont="1" applyAlignment="1">
      <alignment horizontal="center"/>
    </xf>
    <xf numFmtId="41" fontId="58" fillId="0" borderId="0" xfId="14" applyFont="1" applyAlignment="1"/>
    <xf numFmtId="3" fontId="52" fillId="0" borderId="0" xfId="0" applyNumberFormat="1" applyFont="1"/>
    <xf numFmtId="41" fontId="58" fillId="0" borderId="11" xfId="14" applyFont="1" applyBorder="1" applyAlignment="1">
      <alignment horizontal="center"/>
    </xf>
    <xf numFmtId="0" fontId="58" fillId="0" borderId="11" xfId="0" applyFont="1" applyBorder="1" applyAlignment="1">
      <alignment horizontal="center"/>
    </xf>
    <xf numFmtId="0" fontId="64" fillId="0" borderId="0" xfId="0" applyFont="1"/>
    <xf numFmtId="41" fontId="58" fillId="0" borderId="0" xfId="14" applyFont="1" applyBorder="1" applyAlignment="1">
      <alignment horizontal="center"/>
    </xf>
    <xf numFmtId="41" fontId="58" fillId="0" borderId="1" xfId="14" applyFont="1" applyBorder="1" applyAlignment="1">
      <alignment horizontal="right"/>
    </xf>
    <xf numFmtId="164" fontId="58" fillId="0" borderId="0" xfId="1" applyFont="1" applyBorder="1" applyAlignment="1">
      <alignment horizontal="center"/>
    </xf>
    <xf numFmtId="41" fontId="48" fillId="0" borderId="0" xfId="14" applyFont="1" applyBorder="1"/>
    <xf numFmtId="164" fontId="48" fillId="0" borderId="0" xfId="1" applyFont="1" applyBorder="1"/>
    <xf numFmtId="164" fontId="64" fillId="0" borderId="0" xfId="1" applyFont="1"/>
    <xf numFmtId="4" fontId="64" fillId="0" borderId="0" xfId="0" applyNumberFormat="1" applyFont="1"/>
    <xf numFmtId="41" fontId="48" fillId="0" borderId="0" xfId="14" applyFont="1" applyBorder="1" applyAlignment="1">
      <alignment vertical="center"/>
    </xf>
    <xf numFmtId="41" fontId="48" fillId="0" borderId="0" xfId="14" applyFont="1" applyBorder="1" applyAlignment="1">
      <alignment horizontal="right"/>
    </xf>
    <xf numFmtId="41" fontId="42" fillId="2" borderId="0" xfId="14" applyFont="1" applyFill="1" applyBorder="1"/>
    <xf numFmtId="41" fontId="48" fillId="0" borderId="2" xfId="14" applyFont="1" applyBorder="1" applyAlignment="1">
      <alignment horizontal="right"/>
    </xf>
    <xf numFmtId="41" fontId="48" fillId="0" borderId="1" xfId="14" applyFont="1" applyBorder="1" applyAlignment="1">
      <alignment vertical="center"/>
    </xf>
    <xf numFmtId="41" fontId="58" fillId="0" borderId="1" xfId="14" applyFont="1" applyBorder="1"/>
    <xf numFmtId="166" fontId="64" fillId="0" borderId="0" xfId="0" applyNumberFormat="1" applyFont="1"/>
    <xf numFmtId="41" fontId="58" fillId="0" borderId="3" xfId="14" applyFont="1" applyBorder="1"/>
    <xf numFmtId="164" fontId="58" fillId="0" borderId="0" xfId="1" applyFont="1" applyBorder="1"/>
    <xf numFmtId="37" fontId="56" fillId="0" borderId="1" xfId="0" applyNumberFormat="1" applyFont="1" applyBorder="1"/>
    <xf numFmtId="41" fontId="56" fillId="0" borderId="0" xfId="14" applyFont="1"/>
    <xf numFmtId="37" fontId="56" fillId="0" borderId="0" xfId="0" applyNumberFormat="1" applyFont="1"/>
    <xf numFmtId="41" fontId="52" fillId="0" borderId="0" xfId="14" applyFont="1"/>
    <xf numFmtId="0" fontId="48" fillId="0" borderId="0" xfId="0" applyFont="1" applyAlignment="1">
      <alignment horizontal="center"/>
    </xf>
    <xf numFmtId="0" fontId="64" fillId="0" borderId="0" xfId="0" applyFont="1" applyAlignment="1">
      <alignment horizontal="center"/>
    </xf>
    <xf numFmtId="3" fontId="64" fillId="0" borderId="0" xfId="0" applyNumberFormat="1" applyFont="1" applyAlignment="1">
      <alignment horizontal="center"/>
    </xf>
    <xf numFmtId="0" fontId="48" fillId="0" borderId="0" xfId="0" applyFont="1" applyAlignment="1">
      <alignment horizontal="center" vertical="center"/>
    </xf>
    <xf numFmtId="0" fontId="48" fillId="0" borderId="16" xfId="0" applyFont="1" applyBorder="1" applyAlignment="1">
      <alignment horizontal="center" vertical="center"/>
    </xf>
    <xf numFmtId="41" fontId="58" fillId="0" borderId="1" xfId="14" applyFont="1" applyBorder="1" applyAlignment="1">
      <alignment horizontal="center" vertical="center"/>
    </xf>
    <xf numFmtId="0" fontId="58" fillId="0" borderId="1" xfId="0" applyFont="1" applyBorder="1" applyAlignment="1">
      <alignment horizontal="center" vertical="center"/>
    </xf>
    <xf numFmtId="0" fontId="64" fillId="0" borderId="0" xfId="0" applyFont="1" applyAlignment="1">
      <alignment horizontal="center" vertical="center"/>
    </xf>
    <xf numFmtId="3" fontId="64" fillId="0" borderId="0" xfId="0" applyNumberFormat="1" applyFont="1" applyAlignment="1">
      <alignment horizontal="center" vertical="center"/>
    </xf>
    <xf numFmtId="0" fontId="48" fillId="0" borderId="6" xfId="0" applyFont="1" applyBorder="1" applyAlignment="1">
      <alignment horizontal="center"/>
    </xf>
    <xf numFmtId="0" fontId="42" fillId="0" borderId="0" xfId="0" applyFont="1" applyAlignment="1">
      <alignment horizontal="left" vertical="center"/>
    </xf>
    <xf numFmtId="0" fontId="42" fillId="0" borderId="0" xfId="0" applyFont="1" applyAlignment="1">
      <alignment horizontal="left"/>
    </xf>
    <xf numFmtId="0" fontId="43" fillId="0" borderId="0" xfId="0" applyFont="1" applyAlignment="1">
      <alignment horizontal="left" vertical="center"/>
    </xf>
    <xf numFmtId="0" fontId="43" fillId="0" borderId="0" xfId="0" applyFont="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67" fillId="0" borderId="4" xfId="0" applyFont="1" applyBorder="1" applyAlignment="1">
      <alignment horizontal="left" vertical="center"/>
    </xf>
    <xf numFmtId="0" fontId="67" fillId="0" borderId="4" xfId="0" applyFont="1" applyBorder="1" applyAlignment="1">
      <alignment horizontal="center" vertical="center" wrapText="1"/>
    </xf>
    <xf numFmtId="0" fontId="68" fillId="0" borderId="4" xfId="0" applyFont="1" applyBorder="1" applyAlignment="1">
      <alignment horizontal="left" vertical="center"/>
    </xf>
    <xf numFmtId="172" fontId="48" fillId="0" borderId="4" xfId="14" applyNumberFormat="1" applyFont="1" applyBorder="1" applyAlignment="1">
      <alignment vertical="center"/>
    </xf>
    <xf numFmtId="0" fontId="68" fillId="0" borderId="4" xfId="0" applyFont="1" applyBorder="1" applyAlignment="1">
      <alignment horizontal="center" vertical="center"/>
    </xf>
    <xf numFmtId="172" fontId="68" fillId="0" borderId="4" xfId="14" applyNumberFormat="1" applyFont="1" applyBorder="1" applyAlignment="1">
      <alignment horizontal="center" vertical="center"/>
    </xf>
    <xf numFmtId="164" fontId="68" fillId="0" borderId="4" xfId="1" applyFont="1" applyBorder="1" applyAlignment="1">
      <alignment horizontal="center" vertical="center"/>
    </xf>
    <xf numFmtId="172" fontId="42" fillId="2" borderId="4" xfId="14" applyNumberFormat="1" applyFont="1" applyFill="1" applyBorder="1" applyAlignment="1">
      <alignment horizontal="center" vertical="center"/>
    </xf>
    <xf numFmtId="43" fontId="42" fillId="0" borderId="0" xfId="0" applyNumberFormat="1" applyFont="1"/>
    <xf numFmtId="41" fontId="68" fillId="0" borderId="4" xfId="14" applyFont="1" applyBorder="1" applyAlignment="1">
      <alignment horizontal="center" vertical="center"/>
    </xf>
    <xf numFmtId="41" fontId="42" fillId="0" borderId="0" xfId="14" applyFont="1"/>
    <xf numFmtId="164" fontId="67" fillId="0" borderId="4" xfId="1" applyFont="1" applyBorder="1" applyAlignment="1">
      <alignment horizontal="center" vertical="center"/>
    </xf>
    <xf numFmtId="164" fontId="42" fillId="0" borderId="0" xfId="0" applyNumberFormat="1" applyFont="1" applyAlignment="1">
      <alignment horizontal="left"/>
    </xf>
    <xf numFmtId="0" fontId="67" fillId="0" borderId="4" xfId="0" applyFont="1" applyBorder="1" applyAlignment="1">
      <alignment horizontal="center" vertical="center"/>
    </xf>
    <xf numFmtId="0" fontId="42" fillId="0" borderId="4" xfId="0" applyFont="1" applyBorder="1" applyAlignment="1">
      <alignment horizontal="center" vertical="center"/>
    </xf>
    <xf numFmtId="164" fontId="42" fillId="0" borderId="4" xfId="1" applyFont="1" applyBorder="1" applyAlignment="1">
      <alignment horizontal="right" vertical="center"/>
    </xf>
    <xf numFmtId="0" fontId="68" fillId="0" borderId="4" xfId="0" applyFont="1" applyBorder="1" applyAlignment="1">
      <alignment horizontal="right" vertical="center"/>
    </xf>
    <xf numFmtId="0" fontId="42" fillId="0" borderId="4" xfId="0" applyFont="1" applyBorder="1" applyAlignment="1">
      <alignment horizontal="center"/>
    </xf>
    <xf numFmtId="164" fontId="42" fillId="0" borderId="0" xfId="1" applyFont="1"/>
    <xf numFmtId="171" fontId="42" fillId="0" borderId="0" xfId="0" applyNumberFormat="1" applyFont="1"/>
    <xf numFmtId="171" fontId="42" fillId="0" borderId="0" xfId="0" applyNumberFormat="1" applyFont="1" applyAlignment="1">
      <alignment horizontal="left"/>
    </xf>
    <xf numFmtId="164" fontId="42" fillId="0" borderId="0" xfId="1" applyFont="1" applyFill="1"/>
    <xf numFmtId="0" fontId="42" fillId="0" borderId="12" xfId="0" applyFont="1" applyBorder="1"/>
    <xf numFmtId="164" fontId="42" fillId="0" borderId="4" xfId="1" applyFont="1" applyBorder="1"/>
    <xf numFmtId="0" fontId="43" fillId="0" borderId="0" xfId="0" applyFont="1" applyAlignment="1">
      <alignment vertical="center"/>
    </xf>
    <xf numFmtId="172" fontId="42" fillId="0" borderId="4" xfId="14" applyNumberFormat="1" applyFont="1" applyBorder="1"/>
    <xf numFmtId="164" fontId="68" fillId="0" borderId="4" xfId="1" applyFont="1" applyBorder="1" applyAlignment="1">
      <alignment horizontal="center" vertical="center" wrapText="1"/>
    </xf>
    <xf numFmtId="172" fontId="67" fillId="0" borderId="4" xfId="14" applyNumberFormat="1" applyFont="1" applyBorder="1" applyAlignment="1">
      <alignment horizontal="right" vertical="center"/>
    </xf>
    <xf numFmtId="0" fontId="42" fillId="0" borderId="0" xfId="0" applyFont="1" applyAlignment="1">
      <alignment vertical="center"/>
    </xf>
    <xf numFmtId="0" fontId="42" fillId="0" borderId="0" xfId="0" applyFont="1" applyAlignment="1">
      <alignment vertical="top" wrapText="1"/>
    </xf>
    <xf numFmtId="0" fontId="42" fillId="0" borderId="0" xfId="0" applyFont="1" applyAlignment="1">
      <alignment vertical="top"/>
    </xf>
    <xf numFmtId="172" fontId="48" fillId="0" borderId="0" xfId="14" applyNumberFormat="1" applyFont="1" applyBorder="1" applyAlignment="1">
      <alignment horizontal="center" vertical="center"/>
    </xf>
    <xf numFmtId="173" fontId="24" fillId="0" borderId="41" xfId="11" applyNumberFormat="1" applyFont="1" applyBorder="1"/>
    <xf numFmtId="175" fontId="24" fillId="0" borderId="5" xfId="11" applyNumberFormat="1" applyFont="1" applyBorder="1"/>
    <xf numFmtId="175" fontId="24" fillId="0" borderId="4" xfId="11" applyNumberFormat="1" applyFont="1" applyBorder="1"/>
    <xf numFmtId="172" fontId="24" fillId="0" borderId="4" xfId="14" applyNumberFormat="1" applyFont="1" applyFill="1" applyBorder="1"/>
    <xf numFmtId="172" fontId="24" fillId="0" borderId="5" xfId="14" applyNumberFormat="1" applyFont="1" applyFill="1" applyBorder="1"/>
    <xf numFmtId="172" fontId="24" fillId="0" borderId="9" xfId="14" applyNumberFormat="1" applyFont="1" applyFill="1" applyBorder="1"/>
    <xf numFmtId="175" fontId="71" fillId="0" borderId="4" xfId="11" applyNumberFormat="1" applyFont="1" applyBorder="1"/>
    <xf numFmtId="175" fontId="71" fillId="0" borderId="0" xfId="11" applyNumberFormat="1" applyFont="1"/>
    <xf numFmtId="175" fontId="71" fillId="0" borderId="39" xfId="11" applyNumberFormat="1" applyFont="1" applyBorder="1"/>
    <xf numFmtId="3" fontId="71" fillId="0" borderId="0" xfId="11" applyNumberFormat="1" applyFont="1"/>
    <xf numFmtId="0" fontId="71" fillId="0" borderId="0" xfId="11" applyFont="1"/>
    <xf numFmtId="41" fontId="61" fillId="0" borderId="1" xfId="14" applyFont="1" applyBorder="1"/>
    <xf numFmtId="173" fontId="72" fillId="0" borderId="41" xfId="11" applyNumberFormat="1" applyFont="1" applyBorder="1"/>
    <xf numFmtId="175" fontId="73" fillId="0" borderId="5" xfId="11" applyNumberFormat="1" applyFont="1" applyBorder="1"/>
    <xf numFmtId="175" fontId="73" fillId="0" borderId="4" xfId="11" applyNumberFormat="1" applyFont="1" applyBorder="1"/>
    <xf numFmtId="172" fontId="74" fillId="0" borderId="4" xfId="14" applyNumberFormat="1" applyFont="1" applyFill="1" applyBorder="1"/>
    <xf numFmtId="172" fontId="73" fillId="0" borderId="5" xfId="14" applyNumberFormat="1" applyFont="1" applyFill="1" applyBorder="1"/>
    <xf numFmtId="172" fontId="74" fillId="0" borderId="9" xfId="14" applyNumberFormat="1" applyFont="1" applyFill="1" applyBorder="1"/>
    <xf numFmtId="175" fontId="73" fillId="0" borderId="39" xfId="11" applyNumberFormat="1" applyFont="1" applyBorder="1"/>
    <xf numFmtId="0" fontId="73" fillId="0" borderId="0" xfId="11" applyFont="1"/>
    <xf numFmtId="41" fontId="56" fillId="0" borderId="0" xfId="14" applyFont="1" applyBorder="1" applyAlignment="1">
      <alignment horizontal="right" vertical="center"/>
    </xf>
    <xf numFmtId="173" fontId="21" fillId="0" borderId="5" xfId="11" applyNumberFormat="1" applyFont="1" applyBorder="1"/>
    <xf numFmtId="0" fontId="75" fillId="0" borderId="0" xfId="0" applyFont="1"/>
    <xf numFmtId="0" fontId="0" fillId="0" borderId="4" xfId="0" applyBorder="1" applyAlignment="1">
      <alignment horizontal="left" vertical="center"/>
    </xf>
    <xf numFmtId="14" fontId="0" fillId="0" borderId="4" xfId="0" applyNumberFormat="1" applyBorder="1" applyAlignment="1">
      <alignment horizontal="center" vertical="center"/>
    </xf>
    <xf numFmtId="164" fontId="0" fillId="0" borderId="4" xfId="1" applyFont="1" applyBorder="1" applyAlignment="1">
      <alignment horizontal="left" vertical="center"/>
    </xf>
    <xf numFmtId="164" fontId="0" fillId="0" borderId="4" xfId="1" applyFont="1" applyBorder="1" applyAlignment="1">
      <alignment horizontal="right" vertical="center"/>
    </xf>
    <xf numFmtId="10" fontId="0" fillId="0" borderId="4" xfId="1" applyNumberFormat="1" applyFont="1" applyBorder="1" applyAlignment="1">
      <alignment horizontal="right" vertical="center"/>
    </xf>
    <xf numFmtId="10" fontId="0" fillId="0" borderId="4" xfId="3" applyNumberFormat="1" applyFont="1" applyBorder="1" applyAlignment="1">
      <alignment horizontal="right" vertical="center"/>
    </xf>
    <xf numFmtId="0" fontId="75" fillId="0" borderId="4" xfId="0" applyFont="1" applyBorder="1" applyAlignment="1">
      <alignment horizontal="left" vertical="center"/>
    </xf>
    <xf numFmtId="164" fontId="75" fillId="0" borderId="4" xfId="1" applyFont="1" applyBorder="1" applyAlignment="1">
      <alignment horizontal="left" vertical="center"/>
    </xf>
    <xf numFmtId="14" fontId="75" fillId="0" borderId="4" xfId="0" applyNumberFormat="1" applyFont="1" applyBorder="1" applyAlignment="1">
      <alignment horizontal="center" vertical="center"/>
    </xf>
    <xf numFmtId="164" fontId="75" fillId="0" borderId="4" xfId="1" applyFont="1" applyBorder="1" applyAlignment="1">
      <alignment horizontal="right" vertical="center"/>
    </xf>
    <xf numFmtId="10" fontId="75" fillId="0" borderId="4" xfId="3" applyNumberFormat="1" applyFont="1" applyBorder="1" applyAlignment="1">
      <alignment horizontal="right" vertical="center"/>
    </xf>
    <xf numFmtId="164" fontId="2" fillId="0" borderId="4" xfId="1" applyFont="1" applyBorder="1" applyAlignment="1">
      <alignment horizontal="right" vertical="center"/>
    </xf>
    <xf numFmtId="169" fontId="2" fillId="0" borderId="4" xfId="1" applyNumberFormat="1" applyFont="1" applyBorder="1" applyAlignment="1">
      <alignment horizontal="right" vertical="center"/>
    </xf>
    <xf numFmtId="10" fontId="2" fillId="0" borderId="4" xfId="3" applyNumberFormat="1" applyFont="1" applyBorder="1" applyAlignment="1">
      <alignment horizontal="right" vertical="center"/>
    </xf>
    <xf numFmtId="170" fontId="2" fillId="0" borderId="4" xfId="3" applyNumberFormat="1" applyFont="1" applyBorder="1" applyAlignment="1">
      <alignment horizontal="right" vertical="center"/>
    </xf>
    <xf numFmtId="43" fontId="76" fillId="0" borderId="0" xfId="0" applyNumberFormat="1" applyFont="1"/>
    <xf numFmtId="0" fontId="76" fillId="0" borderId="0" xfId="0" applyFont="1"/>
    <xf numFmtId="0" fontId="70" fillId="0" borderId="0" xfId="0" applyFont="1"/>
    <xf numFmtId="164" fontId="70" fillId="0" borderId="0" xfId="1" applyFont="1"/>
    <xf numFmtId="172" fontId="76" fillId="0" borderId="0" xfId="14" applyNumberFormat="1" applyFont="1"/>
    <xf numFmtId="172" fontId="70" fillId="0" borderId="0" xfId="14" applyNumberFormat="1" applyFont="1"/>
    <xf numFmtId="43" fontId="70" fillId="0" borderId="0" xfId="0" applyNumberFormat="1" applyFont="1"/>
    <xf numFmtId="165" fontId="70" fillId="0" borderId="0" xfId="0" applyNumberFormat="1" applyFont="1"/>
    <xf numFmtId="164" fontId="70" fillId="0" borderId="0" xfId="0" applyNumberFormat="1" applyFont="1"/>
    <xf numFmtId="14" fontId="0" fillId="0" borderId="4" xfId="0" applyNumberFormat="1" applyBorder="1" applyAlignment="1">
      <alignment horizontal="right" vertical="center"/>
    </xf>
    <xf numFmtId="176" fontId="61" fillId="0" borderId="0" xfId="14" applyNumberFormat="1" applyFont="1"/>
    <xf numFmtId="41" fontId="61" fillId="0" borderId="30" xfId="14" applyFont="1" applyFill="1" applyBorder="1" applyAlignment="1">
      <alignment horizontal="center"/>
    </xf>
    <xf numFmtId="41" fontId="56" fillId="0" borderId="31" xfId="14" applyFont="1" applyFill="1" applyBorder="1" applyAlignment="1">
      <alignment horizontal="center"/>
    </xf>
    <xf numFmtId="41" fontId="56" fillId="0" borderId="0" xfId="14" applyFont="1" applyFill="1" applyAlignment="1">
      <alignment horizontal="center"/>
    </xf>
    <xf numFmtId="2" fontId="61" fillId="0" borderId="0" xfId="0" applyNumberFormat="1" applyFont="1"/>
    <xf numFmtId="41" fontId="58" fillId="0" borderId="5" xfId="14" applyFont="1" applyBorder="1" applyAlignment="1">
      <alignment horizontal="right" vertical="center"/>
    </xf>
    <xf numFmtId="41" fontId="58" fillId="0" borderId="7" xfId="14" applyFont="1" applyBorder="1" applyAlignment="1">
      <alignment horizontal="center"/>
    </xf>
    <xf numFmtId="41" fontId="58" fillId="0" borderId="14" xfId="14" applyFont="1" applyBorder="1" applyAlignment="1">
      <alignment horizontal="center" vertical="center"/>
    </xf>
    <xf numFmtId="41" fontId="58" fillId="0" borderId="13" xfId="14" applyFont="1" applyBorder="1" applyAlignment="1">
      <alignment horizontal="center"/>
    </xf>
    <xf numFmtId="41" fontId="58" fillId="0" borderId="14" xfId="14" applyFont="1" applyBorder="1" applyAlignment="1">
      <alignment horizontal="center"/>
    </xf>
    <xf numFmtId="41" fontId="48" fillId="0" borderId="13" xfId="14" applyFont="1" applyBorder="1" applyAlignment="1">
      <alignment horizontal="center"/>
    </xf>
    <xf numFmtId="41" fontId="48" fillId="0" borderId="13" xfId="14" applyFont="1" applyBorder="1" applyAlignment="1">
      <alignment vertical="center"/>
    </xf>
    <xf numFmtId="41" fontId="48" fillId="0" borderId="15" xfId="14" applyFont="1" applyBorder="1" applyAlignment="1">
      <alignment horizontal="right"/>
    </xf>
    <xf numFmtId="41" fontId="48" fillId="0" borderId="13" xfId="14" applyFont="1" applyBorder="1" applyAlignment="1">
      <alignment horizontal="right"/>
    </xf>
    <xf numFmtId="41" fontId="48" fillId="0" borderId="14" xfId="14" applyFont="1" applyBorder="1" applyAlignment="1">
      <alignment horizontal="right"/>
    </xf>
    <xf numFmtId="41" fontId="58" fillId="0" borderId="18" xfId="14" applyFont="1" applyBorder="1"/>
    <xf numFmtId="41" fontId="56" fillId="0" borderId="14" xfId="14" applyFont="1" applyBorder="1"/>
    <xf numFmtId="41" fontId="58" fillId="0" borderId="14" xfId="14" applyFont="1" applyBorder="1" applyAlignment="1">
      <alignment horizontal="right"/>
    </xf>
    <xf numFmtId="41" fontId="77" fillId="2" borderId="0" xfId="14" applyFont="1" applyFill="1" applyBorder="1" applyAlignment="1">
      <alignment horizontal="center" vertical="center"/>
    </xf>
    <xf numFmtId="41" fontId="77" fillId="2" borderId="24" xfId="14" applyFont="1" applyFill="1" applyBorder="1" applyAlignment="1">
      <alignment horizontal="center"/>
    </xf>
    <xf numFmtId="164" fontId="42" fillId="0" borderId="4" xfId="1" applyFont="1" applyFill="1" applyBorder="1" applyAlignment="1">
      <alignment horizontal="right" vertical="center"/>
    </xf>
    <xf numFmtId="164" fontId="68" fillId="0" borderId="4" xfId="1" applyFont="1" applyFill="1" applyBorder="1" applyAlignment="1">
      <alignment horizontal="center" vertical="center"/>
    </xf>
    <xf numFmtId="164" fontId="2" fillId="0" borderId="0" xfId="1" applyFont="1" applyBorder="1" applyAlignment="1">
      <alignment horizontal="left" vertical="center"/>
    </xf>
    <xf numFmtId="0" fontId="65" fillId="0" borderId="0" xfId="2" applyFont="1" applyFill="1" applyAlignment="1">
      <alignment horizontal="left"/>
    </xf>
    <xf numFmtId="164" fontId="0" fillId="0" borderId="4" xfId="1" applyFont="1" applyFill="1" applyBorder="1" applyAlignment="1">
      <alignment horizontal="left" vertical="center"/>
    </xf>
    <xf numFmtId="164" fontId="0" fillId="0" borderId="4" xfId="1" applyFont="1" applyFill="1" applyBorder="1" applyAlignment="1">
      <alignment horizontal="right" vertical="center"/>
    </xf>
    <xf numFmtId="10" fontId="0" fillId="0" borderId="4" xfId="3" applyNumberFormat="1" applyFont="1" applyFill="1" applyBorder="1" applyAlignment="1">
      <alignment horizontal="right" vertical="center"/>
    </xf>
    <xf numFmtId="0" fontId="2" fillId="0" borderId="0" xfId="0" applyFont="1" applyAlignment="1">
      <alignment horizontal="left" vertical="center"/>
    </xf>
    <xf numFmtId="164" fontId="1" fillId="0" borderId="0" xfId="1" applyFont="1"/>
    <xf numFmtId="171" fontId="1" fillId="0" borderId="0" xfId="0" applyNumberFormat="1" applyFont="1"/>
    <xf numFmtId="171" fontId="70" fillId="0" borderId="0" xfId="0" applyNumberFormat="1" applyFont="1"/>
    <xf numFmtId="14" fontId="42" fillId="0" borderId="0" xfId="0" applyNumberFormat="1" applyFont="1"/>
    <xf numFmtId="164" fontId="42" fillId="0" borderId="0" xfId="0" applyNumberFormat="1" applyFont="1"/>
    <xf numFmtId="10" fontId="42" fillId="0" borderId="0" xfId="3" applyNumberFormat="1" applyFont="1"/>
    <xf numFmtId="177" fontId="42" fillId="0" borderId="0" xfId="0" applyNumberFormat="1" applyFont="1"/>
    <xf numFmtId="171" fontId="42" fillId="0" borderId="0" xfId="0" applyNumberFormat="1" applyFont="1" applyAlignment="1">
      <alignment horizontal="center"/>
    </xf>
    <xf numFmtId="0" fontId="58" fillId="0" borderId="6" xfId="0" applyFont="1" applyBorder="1"/>
    <xf numFmtId="41" fontId="42" fillId="0" borderId="11" xfId="14" applyFont="1" applyBorder="1" applyAlignment="1">
      <alignment horizontal="right" vertical="center"/>
    </xf>
    <xf numFmtId="41" fontId="42" fillId="0" borderId="7" xfId="14" applyFont="1" applyBorder="1" applyAlignment="1">
      <alignment horizontal="right" vertical="center"/>
    </xf>
    <xf numFmtId="172" fontId="42" fillId="0" borderId="11" xfId="14" applyNumberFormat="1" applyFont="1" applyBorder="1" applyAlignment="1">
      <alignment horizontal="right" vertical="center"/>
    </xf>
    <xf numFmtId="172" fontId="42" fillId="0" borderId="12" xfId="14" applyNumberFormat="1" applyFont="1" applyBorder="1" applyAlignment="1">
      <alignment horizontal="right"/>
    </xf>
    <xf numFmtId="172" fontId="48" fillId="0" borderId="12" xfId="14" applyNumberFormat="1" applyFont="1" applyBorder="1" applyAlignment="1">
      <alignment horizontal="right" vertical="center"/>
    </xf>
    <xf numFmtId="172" fontId="48" fillId="0" borderId="12" xfId="14" applyNumberFormat="1" applyFont="1" applyBorder="1" applyAlignment="1">
      <alignment horizontal="right"/>
    </xf>
    <xf numFmtId="0" fontId="58" fillId="0" borderId="9" xfId="0" applyFont="1" applyBorder="1" applyAlignment="1">
      <alignment horizontal="center" vertical="center" wrapText="1"/>
    </xf>
    <xf numFmtId="0" fontId="46" fillId="3" borderId="0" xfId="0" applyFont="1" applyFill="1" applyAlignment="1">
      <alignment horizontal="center" vertical="center"/>
    </xf>
    <xf numFmtId="0" fontId="44" fillId="3" borderId="0" xfId="0" applyFont="1" applyFill="1" applyAlignment="1">
      <alignment horizontal="center" vertical="center"/>
    </xf>
    <xf numFmtId="14" fontId="44" fillId="3" borderId="0" xfId="0" applyNumberFormat="1" applyFont="1" applyFill="1" applyAlignment="1">
      <alignment horizontal="center" vertical="center"/>
    </xf>
    <xf numFmtId="0" fontId="54" fillId="0" borderId="0" xfId="0" applyFont="1" applyAlignment="1">
      <alignment horizontal="center"/>
    </xf>
    <xf numFmtId="0" fontId="55" fillId="0" borderId="0" xfId="0" applyFont="1" applyAlignment="1">
      <alignment horizontal="center" vertical="center"/>
    </xf>
    <xf numFmtId="0" fontId="53" fillId="0" borderId="0" xfId="0" applyFont="1" applyAlignment="1">
      <alignment horizontal="center" wrapText="1"/>
    </xf>
    <xf numFmtId="0" fontId="48" fillId="0" borderId="0" xfId="0" applyFont="1" applyAlignment="1">
      <alignment horizontal="center"/>
    </xf>
    <xf numFmtId="1" fontId="58" fillId="0" borderId="33" xfId="0" applyNumberFormat="1" applyFont="1" applyBorder="1" applyAlignment="1">
      <alignment horizontal="center" vertical="center"/>
    </xf>
    <xf numFmtId="0" fontId="58" fillId="0" borderId="1" xfId="0" applyFont="1" applyBorder="1" applyAlignment="1">
      <alignment horizontal="center" vertical="center"/>
    </xf>
    <xf numFmtId="1" fontId="58" fillId="0" borderId="34" xfId="0" applyNumberFormat="1" applyFont="1" applyBorder="1" applyAlignment="1">
      <alignment horizontal="center" vertical="center"/>
    </xf>
    <xf numFmtId="0" fontId="58" fillId="0" borderId="27" xfId="0" applyFont="1" applyBorder="1" applyAlignment="1">
      <alignment horizontal="center" vertical="center"/>
    </xf>
    <xf numFmtId="0" fontId="53" fillId="0" borderId="0" xfId="0" applyFont="1" applyAlignment="1">
      <alignment horizontal="center"/>
    </xf>
    <xf numFmtId="0" fontId="42" fillId="0" borderId="0" xfId="0" applyFont="1" applyAlignment="1">
      <alignment horizontal="center"/>
    </xf>
    <xf numFmtId="0" fontId="58" fillId="0" borderId="0" xfId="0" applyFont="1" applyAlignment="1">
      <alignment horizontal="center"/>
    </xf>
    <xf numFmtId="0" fontId="63" fillId="0" borderId="0" xfId="0" applyFont="1" applyAlignment="1">
      <alignment horizontal="center"/>
    </xf>
    <xf numFmtId="1" fontId="58" fillId="0" borderId="7" xfId="0" applyNumberFormat="1" applyFont="1" applyBorder="1" applyAlignment="1">
      <alignment horizontal="center" vertical="center"/>
    </xf>
    <xf numFmtId="1" fontId="58" fillId="0" borderId="14" xfId="0" applyNumberFormat="1" applyFont="1" applyBorder="1" applyAlignment="1">
      <alignment horizontal="center" vertical="center"/>
    </xf>
    <xf numFmtId="1" fontId="58" fillId="0" borderId="11" xfId="0" applyNumberFormat="1" applyFont="1" applyBorder="1" applyAlignment="1">
      <alignment horizontal="center" vertical="center"/>
    </xf>
    <xf numFmtId="1" fontId="58" fillId="0" borderId="1" xfId="0" applyNumberFormat="1" applyFont="1" applyBorder="1" applyAlignment="1">
      <alignment horizontal="center" vertical="center"/>
    </xf>
    <xf numFmtId="0" fontId="51" fillId="0" borderId="0" xfId="0" applyFont="1" applyAlignment="1">
      <alignment horizontal="center"/>
    </xf>
    <xf numFmtId="14" fontId="55" fillId="0" borderId="0" xfId="0" applyNumberFormat="1" applyFont="1" applyAlignment="1">
      <alignment horizontal="center"/>
    </xf>
    <xf numFmtId="0" fontId="55" fillId="0" borderId="0" xfId="0" applyFont="1" applyAlignment="1">
      <alignment horizontal="center"/>
    </xf>
    <xf numFmtId="0" fontId="62" fillId="0" borderId="0" xfId="0" applyFont="1" applyAlignment="1">
      <alignment horizontal="center"/>
    </xf>
    <xf numFmtId="0" fontId="43" fillId="0" borderId="0" xfId="0" applyFont="1" applyAlignment="1">
      <alignment horizontal="center"/>
    </xf>
    <xf numFmtId="0" fontId="43" fillId="0" borderId="0" xfId="0" applyFont="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xf>
    <xf numFmtId="0" fontId="43"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horizontal="left" vertical="center" wrapText="1"/>
    </xf>
    <xf numFmtId="0" fontId="42" fillId="0" borderId="0" xfId="0" applyFont="1" applyAlignment="1">
      <alignment horizontal="left" vertical="top" wrapText="1"/>
    </xf>
    <xf numFmtId="0" fontId="67" fillId="0" borderId="4" xfId="0" applyFont="1" applyBorder="1" applyAlignment="1">
      <alignment horizontal="center" vertical="center"/>
    </xf>
    <xf numFmtId="0" fontId="68" fillId="0" borderId="17" xfId="0" applyFont="1" applyBorder="1" applyAlignment="1">
      <alignment horizontal="center" vertical="center"/>
    </xf>
    <xf numFmtId="0" fontId="68" fillId="0" borderId="15" xfId="0" applyFont="1" applyBorder="1" applyAlignment="1">
      <alignment horizontal="center" vertical="center"/>
    </xf>
    <xf numFmtId="0" fontId="6" fillId="0" borderId="0" xfId="0" applyFont="1" applyAlignment="1">
      <alignment horizontal="center"/>
    </xf>
    <xf numFmtId="0" fontId="10" fillId="0" borderId="0" xfId="0" applyFont="1" applyAlignment="1">
      <alignment horizont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cellXfs>
  <cellStyles count="16">
    <cellStyle name="Excel Built-in Normal" xfId="5" xr:uid="{00000000-0005-0000-0000-000000000000}"/>
    <cellStyle name="Hipervínculo" xfId="2" builtinId="8"/>
    <cellStyle name="Millares" xfId="1" builtinId="3"/>
    <cellStyle name="Millares [0]" xfId="14" builtinId="6"/>
    <cellStyle name="Millares [0] 2" xfId="8" xr:uid="{00000000-0005-0000-0000-000004000000}"/>
    <cellStyle name="Millares [0] 2 2" xfId="9" xr:uid="{00000000-0005-0000-0000-000005000000}"/>
    <cellStyle name="Millares [0] 3" xfId="7" xr:uid="{00000000-0005-0000-0000-000006000000}"/>
    <cellStyle name="Millares 10" xfId="13" xr:uid="{3A84075D-396D-45B2-9C3D-2ADBB2DEE384}"/>
    <cellStyle name="Millares 2" xfId="10" xr:uid="{00000000-0005-0000-0000-000007000000}"/>
    <cellStyle name="Millares 2 2" xfId="15" xr:uid="{662D1792-7228-44B5-86FC-8864EC1E436D}"/>
    <cellStyle name="Millares 3" xfId="6" xr:uid="{00000000-0005-0000-0000-000008000000}"/>
    <cellStyle name="Normal" xfId="0" builtinId="0"/>
    <cellStyle name="Normal 2" xfId="11" xr:uid="{00000000-0005-0000-0000-00000A000000}"/>
    <cellStyle name="Normal 3" xfId="4" xr:uid="{00000000-0005-0000-0000-00000B000000}"/>
    <cellStyle name="Porcentaje" xfId="3" builtinId="5"/>
    <cellStyle name="Porcentaje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3</xdr:row>
      <xdr:rowOff>4984</xdr:rowOff>
    </xdr:to>
    <xdr:pic>
      <xdr:nvPicPr>
        <xdr:cNvPr id="3" name="Imagen 2">
          <a:extLst>
            <a:ext uri="{FF2B5EF4-FFF2-40B4-BE49-F238E27FC236}">
              <a16:creationId xmlns:a16="http://schemas.microsoft.com/office/drawing/2014/main" id="{ECDC1058-2548-4395-B906-5B988C68E7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319" t="28657" r="16299" b="33792"/>
        <a:stretch/>
      </xdr:blipFill>
      <xdr:spPr>
        <a:xfrm>
          <a:off x="0" y="0"/>
          <a:ext cx="3305175" cy="900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sady_pereira_inpositiva_com_py/Documents/Investor%20SA/Contabilidad/Conformaciones%20de%20Cuentas%20Contables/Conformacion%202019/Segundo%20Semestre%202019/Plantilla%20Exel%20EEFF%20cnv_SET_19.xlsx?17C11E68" TargetMode="External"/><Relationship Id="rId1" Type="http://schemas.openxmlformats.org/officeDocument/2006/relationships/externalLinkPath" Target="file:///\\17C11E68\Plantilla%20Exel%20EEFF%20cnv_SET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INV/Desktop/Informe%201er%20Semestre%2006-2018/Res%20173%20INVESTOR%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ROCIO-INV/Desktop/Informe%201er%20Semestre%2006-2018/Res%20173%20INVESTOR%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ady_pereira_inpositiva_com_py/Documents/19.Fondo%20Ganadero/Contabilidad/Conformaciones%20de%20Cuentas%20Contables/Copia%20de%20Conformaci&#243;n%20IN%20GANADERO%2030%2009%202022%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ady_pereira_inpositiva_com_py/Documents/19.Fondo%20Ganadero/Contabilidad/CNV/Informes%202021/09.ESTADOS%20FINANCIEROS%20FI%20IN%20GANADERO%20USD%20SETIEMBRE%202021.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personal/sady_pereira_inpositiva_com_py/Documents/10.Investor%20SA/Contabilidad/CNV_EEFF_Informes/2020/EEFF%20a%20presentar/Plantillas%20utilizadas/Copia%20de%202.%20EEFF%20AL%2031.03.20%20FINAL_Plantilla.xlsx?DD05067B" TargetMode="External"/><Relationship Id="rId1" Type="http://schemas.openxmlformats.org/officeDocument/2006/relationships/externalLinkPath" Target="file:///\\DD05067B\Copia%20de%202.%20EEFF%20AL%2031.03.20%20FINAL_Plantilla.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personal/sady_pereira_inpositiva_com_py/Documents/19.Fondo%20Ganadero/Contabilidad/Conformaciones%20de%20Cuentas%20Contables/2021/09.Setiembre%202021/SSP%20Conformaci&#243;n%20IN%20GANADERO%2030%2009%202021.xlsx?92EF0B84" TargetMode="External"/><Relationship Id="rId1" Type="http://schemas.openxmlformats.org/officeDocument/2006/relationships/externalLinkPath" Target="file:///\\92EF0B84\SSP%20Conformaci&#243;n%20IN%20GANADERO%2030%2009%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sady_pereira_inpositiva_com_py/Documents/19.Fondo%20Ganadero/Contabilidad/Conformaciones%20de%20Cuentas%20Contables/12.Diciembre/SSP-Conformaci&#243;n%20IN%20GANADERO%2031%201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Cash Investor ML"/>
      <sheetName val="Cash Investor ME"/>
      <sheetName val="Inversiones Instrumentos Financ"/>
      <sheetName val="Anticipo Renta"/>
      <sheetName val="IVA Crédito Fiscal Saldo Favor"/>
      <sheetName val="Ant. A Proveedores Locales ML"/>
      <sheetName val="Ant. A Proveedores Locales ME"/>
      <sheetName val="Cant de Ganado"/>
      <sheetName val="Inventario FINGA SETIEMBRE"/>
      <sheetName val="Compras de Ganado Vacuno"/>
      <sheetName val="Costo de Ventas"/>
      <sheetName val="Alquileres Pagados ME"/>
      <sheetName val="Consumo Combustible"/>
      <sheetName val="Cuadro de Revalúo 2022"/>
      <sheetName val="Proveedores Locales ML"/>
      <sheetName val="Proveedores Locales ME"/>
      <sheetName val="Plan Fondo de Inversión"/>
    </sheetNames>
    <sheetDataSet>
      <sheetData sheetId="0">
        <row r="15">
          <cell r="I15">
            <v>185429.8438450346</v>
          </cell>
        </row>
        <row r="17">
          <cell r="I17">
            <v>24155.69914407243</v>
          </cell>
        </row>
        <row r="19">
          <cell r="I19">
            <v>5728.174977079675</v>
          </cell>
        </row>
        <row r="20">
          <cell r="I20">
            <v>25257.78</v>
          </cell>
        </row>
        <row r="22">
          <cell r="I22">
            <v>83883.579723882489</v>
          </cell>
        </row>
        <row r="23">
          <cell r="I23">
            <v>46404.61</v>
          </cell>
        </row>
        <row r="25">
          <cell r="I25">
            <v>416295.60821540729</v>
          </cell>
        </row>
        <row r="38">
          <cell r="I38">
            <v>220801.44966640155</v>
          </cell>
        </row>
        <row r="41">
          <cell r="I41">
            <v>861534.2239545295</v>
          </cell>
        </row>
        <row r="44">
          <cell r="I44">
            <v>3931110.9994956823</v>
          </cell>
        </row>
        <row r="59">
          <cell r="I59">
            <v>82132.34</v>
          </cell>
        </row>
        <row r="61">
          <cell r="I61">
            <v>11209.442326246986</v>
          </cell>
        </row>
        <row r="64">
          <cell r="I64">
            <v>765673.18258422613</v>
          </cell>
        </row>
        <row r="74">
          <cell r="I74">
            <v>53665.839463078148</v>
          </cell>
        </row>
        <row r="84">
          <cell r="I84">
            <v>23793.143679711593</v>
          </cell>
        </row>
        <row r="86">
          <cell r="H86">
            <v>427803851</v>
          </cell>
        </row>
        <row r="87">
          <cell r="I87">
            <v>60389.903473294464</v>
          </cell>
        </row>
        <row r="93">
          <cell r="H93">
            <v>41523827000</v>
          </cell>
        </row>
        <row r="97">
          <cell r="H97">
            <v>4426620011.4899998</v>
          </cell>
        </row>
        <row r="98">
          <cell r="I98">
            <v>491256.17</v>
          </cell>
        </row>
      </sheetData>
      <sheetData sheetId="1">
        <row r="13">
          <cell r="G13">
            <v>81560.136328297725</v>
          </cell>
        </row>
        <row r="16">
          <cell r="G16">
            <v>172.00385545790064</v>
          </cell>
        </row>
        <row r="19">
          <cell r="G19">
            <v>0.3982624428111895</v>
          </cell>
        </row>
        <row r="23">
          <cell r="C23">
            <v>643656650</v>
          </cell>
        </row>
        <row r="24">
          <cell r="G24">
            <v>1237380.7128839921</v>
          </cell>
        </row>
        <row r="27">
          <cell r="C27">
            <v>8254830402</v>
          </cell>
        </row>
        <row r="29">
          <cell r="G29">
            <v>204354.14042652806</v>
          </cell>
        </row>
        <row r="32">
          <cell r="C32">
            <v>538367220</v>
          </cell>
          <cell r="G32">
            <v>77798.056664248565</v>
          </cell>
        </row>
        <row r="42">
          <cell r="G42">
            <v>378968.28987031901</v>
          </cell>
        </row>
        <row r="44">
          <cell r="G44">
            <v>1258.8973216995228</v>
          </cell>
        </row>
        <row r="49">
          <cell r="G49">
            <v>123515.70838981164</v>
          </cell>
        </row>
        <row r="57">
          <cell r="G57">
            <v>25488.612237466146</v>
          </cell>
        </row>
        <row r="60">
          <cell r="G60">
            <v>90.480429360439061</v>
          </cell>
        </row>
        <row r="62">
          <cell r="G62">
            <v>467.69088707323345</v>
          </cell>
        </row>
        <row r="66">
          <cell r="C66">
            <v>262867253</v>
          </cell>
        </row>
        <row r="67">
          <cell r="G67">
            <v>316.89768585821508</v>
          </cell>
        </row>
        <row r="72">
          <cell r="G72">
            <v>93396.36</v>
          </cell>
        </row>
        <row r="74">
          <cell r="C74">
            <v>4426620012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BG USD"/>
      <sheetName val="2.EERR USD"/>
      <sheetName val="3.VARIAC. PA USD"/>
      <sheetName val="4.FLUJO EFECTIVO USD"/>
      <sheetName val="5.BG G"/>
      <sheetName val="6.EERR G"/>
      <sheetName val="7.VARIAC. PN G"/>
      <sheetName val="8.FLUJO EFECTIVO G"/>
      <sheetName val="9.INFORME DEL SINDICO"/>
      <sheetName val="10.Notas a EEFF"/>
      <sheetName val="11.Cuadro de Inversiones"/>
    </sheetNames>
    <sheetDataSet>
      <sheetData sheetId="0"/>
      <sheetData sheetId="1"/>
      <sheetData sheetId="2">
        <row r="12">
          <cell r="C12">
            <v>1021.06</v>
          </cell>
        </row>
        <row r="13">
          <cell r="C13">
            <v>0.78</v>
          </cell>
        </row>
        <row r="16">
          <cell r="C16">
            <v>3363.51</v>
          </cell>
        </row>
        <row r="18">
          <cell r="C18">
            <v>104.66</v>
          </cell>
        </row>
        <row r="19">
          <cell r="C19">
            <v>22259.98</v>
          </cell>
        </row>
      </sheetData>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alance Gral. Resol. 6"/>
      <sheetName val="Estado de Resultado Resol. 6"/>
      <sheetName val="Flujo de Efectivo Resol. Res 6"/>
      <sheetName val="Estado de Variacion PN "/>
      <sheetName val="NOTA A LOS ESTADOS CONTA. 1-4"/>
      <sheetName val="NOTA 5 A-C CRITERIOS ESPECIF."/>
      <sheetName val="NOTA D - DISPONIBILIDADES"/>
      <sheetName val="NOTA E - INVERSIONES"/>
      <sheetName val="NOTA F - CREDITOS"/>
      <sheetName val="NOTA G BIENES DE USO"/>
      <sheetName val="NOTA H CARGOS DIFERIDOS"/>
      <sheetName val=" NOTA I INTANGIBLES"/>
      <sheetName val="NOTA J OTROS ACTIVOS CTES Y NO "/>
      <sheetName val="NOTA K PRESTAMOS"/>
      <sheetName val="NOTA L DOCUMENTOS Y CTAS A PAGA"/>
      <sheetName val="NOTAS M-Q ACREEDORES CTO PLAZO"/>
      <sheetName val="NOTA R SALDOS Y TRANSACCIONES "/>
      <sheetName val="NOTA S RESULTADOS CON PERSONAS"/>
      <sheetName val=" NOTA T PATRIMONIO"/>
      <sheetName val="NOTA V INGRESOS OPERATIVOS"/>
      <sheetName val="NOTA W OTROS GASTOS OPERATIVOS"/>
      <sheetName val="NOTA X OTROS INGRESOS Y EGRESOS"/>
      <sheetName val="NOTA Y RESULTADOS FINANCIEROS"/>
      <sheetName val="NOTA Z RESULT EXTRAORD"/>
      <sheetName val="NOTA 6 INFORMACION REFERENTE"/>
      <sheetName val="2018 (2)"/>
    </sheetNames>
    <sheetDataSet>
      <sheetData sheetId="0"/>
      <sheetData sheetId="1">
        <row r="22">
          <cell r="G22">
            <v>0</v>
          </cell>
        </row>
        <row r="23">
          <cell r="G2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Investor Casa De Bolsa S.A. ML"/>
      <sheetName val="Investor Casa De Bolsa S.A. ME"/>
      <sheetName val="CDA- CP ML"/>
      <sheetName val="BONOS CORP- CP ME"/>
      <sheetName val="IVA Crédito Fiscal Saldo Favor"/>
      <sheetName val="Ant. A Proveedores Locales ML"/>
      <sheetName val="Ant. A Proveedores Locales ME"/>
      <sheetName val="Ganado Vacuno en Producción"/>
      <sheetName val="CDA- LP ML"/>
      <sheetName val="BONOS CORP- LP ME"/>
      <sheetName val="Proveedores Locales ML"/>
      <sheetName val="Comisiones A Pagar ME"/>
      <sheetName val="Plan Fondo de Inversión"/>
    </sheetNames>
    <sheetDataSet>
      <sheetData sheetId="0"/>
      <sheetData sheetId="1">
        <row r="18">
          <cell r="C18">
            <v>14800460</v>
          </cell>
        </row>
        <row r="33">
          <cell r="C33">
            <v>3133161</v>
          </cell>
        </row>
        <row r="37">
          <cell r="C37">
            <v>-132258117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Inversiones Instrumentos Financ"/>
      <sheetName val="Portafolio CDA CP"/>
      <sheetName val="Portafolio CDA CP (2)"/>
      <sheetName val="Portafolio Bonos CP"/>
      <sheetName val="Portafolio Bonos LP (2)"/>
      <sheetName val="Clientes Locales Gs."/>
      <sheetName val="IVA Crédito Fiscal Saldo Favor"/>
      <sheetName val="Cant de Ganado"/>
      <sheetName val="Compras de Ganado Vacuno"/>
      <sheetName val="Inventario FG.IN Dic.21"/>
      <sheetName val="Resumen Valoracion VF"/>
      <sheetName val="Alquileres Pagados ME"/>
      <sheetName val="Proveedores Locales ML"/>
      <sheetName val="Plan Fondo de Inversión"/>
    </sheetNames>
    <sheetDataSet>
      <sheetData sheetId="0">
        <row r="15">
          <cell r="E15">
            <v>1793373924</v>
          </cell>
        </row>
        <row r="17">
          <cell r="I17">
            <v>249081.6646072297</v>
          </cell>
        </row>
        <row r="18">
          <cell r="I18">
            <v>11931.8</v>
          </cell>
        </row>
      </sheetData>
      <sheetData sheetId="1">
        <row r="12">
          <cell r="C12">
            <v>155673318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I19">
            <v>375485408</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showGridLines="0" tabSelected="1" topLeftCell="A13" zoomScaleNormal="100" workbookViewId="0">
      <selection activeCell="K19" sqref="K19"/>
    </sheetView>
  </sheetViews>
  <sheetFormatPr baseColWidth="10" defaultColWidth="16.109375" defaultRowHeight="15.6" x14ac:dyDescent="0.35"/>
  <cols>
    <col min="1" max="11" width="16.109375" style="261"/>
    <col min="12" max="12" width="27.109375" style="261" hidden="1" customWidth="1"/>
    <col min="13" max="13" width="10.33203125" style="261" hidden="1" customWidth="1"/>
    <col min="14" max="14" width="19.88671875" style="261" hidden="1" customWidth="1"/>
    <col min="15" max="15" width="11.6640625" style="261" hidden="1" customWidth="1"/>
    <col min="16" max="16" width="5.44140625" style="261" hidden="1" customWidth="1"/>
    <col min="17" max="17" width="9.109375" style="261" customWidth="1"/>
    <col min="18" max="16384" width="16.109375" style="261"/>
  </cols>
  <sheetData>
    <row r="1" spans="1:16" x14ac:dyDescent="0.35">
      <c r="A1" s="260"/>
      <c r="B1" s="260"/>
      <c r="C1" s="260"/>
      <c r="D1" s="260"/>
      <c r="E1" s="260"/>
      <c r="F1" s="260"/>
      <c r="G1" s="260"/>
      <c r="H1" s="260"/>
      <c r="I1" s="260"/>
      <c r="J1" s="260"/>
      <c r="K1" s="260"/>
      <c r="N1" s="262" t="s">
        <v>60</v>
      </c>
      <c r="O1" s="263">
        <v>44562</v>
      </c>
    </row>
    <row r="2" spans="1:16" ht="26.4" x14ac:dyDescent="0.6">
      <c r="A2" s="264"/>
      <c r="B2" s="264"/>
      <c r="C2" s="264"/>
      <c r="D2" s="260"/>
      <c r="E2" s="260"/>
      <c r="F2" s="260"/>
      <c r="G2" s="260"/>
      <c r="H2" s="260"/>
      <c r="I2" s="265"/>
      <c r="J2" s="266"/>
      <c r="K2" s="265"/>
      <c r="L2" s="261" t="s">
        <v>63</v>
      </c>
      <c r="M2" s="267">
        <v>7078.87</v>
      </c>
      <c r="N2" s="262" t="s">
        <v>62</v>
      </c>
      <c r="O2" s="263">
        <v>44561</v>
      </c>
      <c r="P2" s="268">
        <v>2021</v>
      </c>
    </row>
    <row r="3" spans="1:16" ht="26.4" x14ac:dyDescent="0.6">
      <c r="A3" s="264"/>
      <c r="B3" s="264"/>
      <c r="C3" s="264"/>
      <c r="D3" s="260"/>
      <c r="E3" s="260"/>
      <c r="F3" s="260"/>
      <c r="G3" s="260"/>
      <c r="H3" s="260"/>
      <c r="I3" s="265"/>
      <c r="J3" s="269"/>
      <c r="K3" s="265"/>
      <c r="L3" s="261" t="s">
        <v>61</v>
      </c>
      <c r="M3" s="267">
        <f>+M2</f>
        <v>7078.87</v>
      </c>
      <c r="N3" s="262" t="s">
        <v>64</v>
      </c>
      <c r="O3" s="263">
        <v>44834</v>
      </c>
      <c r="P3" s="268">
        <v>2022</v>
      </c>
    </row>
    <row r="4" spans="1:16" ht="26.4" x14ac:dyDescent="0.6">
      <c r="A4" s="264"/>
      <c r="B4" s="264"/>
      <c r="C4" s="264"/>
      <c r="D4" s="260"/>
      <c r="E4" s="260"/>
      <c r="F4" s="260"/>
      <c r="G4" s="260"/>
      <c r="H4" s="260"/>
      <c r="I4" s="265"/>
      <c r="J4" s="269"/>
      <c r="K4" s="265"/>
      <c r="N4" s="262"/>
      <c r="O4" s="270">
        <f>+O3</f>
        <v>44834</v>
      </c>
    </row>
    <row r="5" spans="1:16" ht="26.4" x14ac:dyDescent="0.6">
      <c r="A5" s="264"/>
      <c r="B5" s="264"/>
      <c r="C5" s="264"/>
      <c r="D5" s="260"/>
      <c r="E5" s="260"/>
      <c r="F5" s="260"/>
      <c r="G5" s="260"/>
      <c r="H5" s="260"/>
      <c r="I5" s="265"/>
      <c r="J5" s="271"/>
      <c r="K5" s="265"/>
    </row>
    <row r="6" spans="1:16" ht="10.5" customHeight="1" x14ac:dyDescent="0.35">
      <c r="A6" s="264"/>
      <c r="B6" s="264"/>
      <c r="C6" s="264"/>
      <c r="D6" s="260"/>
      <c r="E6" s="260"/>
      <c r="F6" s="260"/>
      <c r="G6" s="260"/>
      <c r="H6" s="260"/>
      <c r="I6" s="260"/>
      <c r="J6" s="260"/>
      <c r="K6" s="260"/>
    </row>
    <row r="7" spans="1:16" ht="29.25" customHeight="1" x14ac:dyDescent="0.35">
      <c r="A7" s="679" t="s">
        <v>165</v>
      </c>
      <c r="B7" s="679"/>
      <c r="C7" s="679"/>
      <c r="D7" s="679"/>
      <c r="E7" s="679"/>
      <c r="F7" s="679"/>
      <c r="G7" s="679"/>
      <c r="H7" s="679"/>
      <c r="I7" s="679"/>
      <c r="J7" s="679"/>
      <c r="K7" s="679"/>
    </row>
    <row r="8" spans="1:16" ht="22.5" customHeight="1" x14ac:dyDescent="0.35">
      <c r="A8" s="260"/>
      <c r="B8" s="260"/>
      <c r="C8" s="679" t="s">
        <v>65</v>
      </c>
      <c r="D8" s="679"/>
      <c r="E8" s="679"/>
      <c r="F8" s="679"/>
      <c r="G8" s="679"/>
      <c r="H8" s="679"/>
      <c r="I8" s="679"/>
      <c r="J8" s="260"/>
      <c r="K8" s="260"/>
    </row>
    <row r="9" spans="1:16" ht="26.4" x14ac:dyDescent="0.35">
      <c r="A9" s="260"/>
      <c r="B9" s="260"/>
      <c r="C9" s="680" t="s">
        <v>312</v>
      </c>
      <c r="D9" s="680"/>
      <c r="E9" s="680"/>
      <c r="F9" s="680"/>
      <c r="G9" s="680"/>
      <c r="H9" s="680"/>
      <c r="I9" s="680"/>
      <c r="J9" s="272"/>
      <c r="K9" s="260"/>
    </row>
    <row r="10" spans="1:16" ht="26.4" x14ac:dyDescent="0.35">
      <c r="A10" s="260"/>
      <c r="B10" s="260"/>
      <c r="C10" s="681">
        <f>+O3</f>
        <v>44834</v>
      </c>
      <c r="D10" s="681"/>
      <c r="E10" s="681"/>
      <c r="F10" s="681"/>
      <c r="G10" s="681"/>
      <c r="H10" s="681"/>
      <c r="I10" s="681"/>
      <c r="J10" s="272"/>
      <c r="K10" s="260"/>
    </row>
    <row r="11" spans="1:16" ht="5.25" customHeight="1" x14ac:dyDescent="0.35">
      <c r="A11" s="260"/>
      <c r="B11" s="260"/>
      <c r="C11" s="273"/>
      <c r="D11" s="273"/>
      <c r="E11" s="273"/>
      <c r="F11" s="273"/>
      <c r="G11" s="273"/>
      <c r="H11" s="273"/>
      <c r="I11" s="272"/>
      <c r="J11" s="272"/>
      <c r="K11" s="260"/>
    </row>
    <row r="12" spans="1:16" x14ac:dyDescent="0.35">
      <c r="A12" s="274"/>
      <c r="B12" s="274"/>
      <c r="C12" s="275"/>
      <c r="D12" s="275"/>
      <c r="E12" s="275"/>
      <c r="F12" s="275"/>
      <c r="G12" s="275"/>
      <c r="H12" s="275"/>
      <c r="I12" s="276"/>
      <c r="J12" s="276"/>
      <c r="K12" s="274"/>
    </row>
    <row r="13" spans="1:16" ht="26.4" x14ac:dyDescent="0.6">
      <c r="C13" s="277"/>
      <c r="D13" s="277"/>
      <c r="E13" s="278" t="s">
        <v>66</v>
      </c>
    </row>
    <row r="14" spans="1:16" x14ac:dyDescent="0.35">
      <c r="B14" s="279"/>
      <c r="C14" s="280" t="s">
        <v>70</v>
      </c>
      <c r="H14" s="281">
        <v>1</v>
      </c>
      <c r="I14" s="279"/>
    </row>
    <row r="15" spans="1:16" x14ac:dyDescent="0.35">
      <c r="B15" s="279"/>
      <c r="C15" s="261" t="s">
        <v>69</v>
      </c>
      <c r="H15" s="281">
        <v>2</v>
      </c>
      <c r="I15" s="279"/>
    </row>
    <row r="16" spans="1:16" x14ac:dyDescent="0.35">
      <c r="B16" s="279"/>
      <c r="C16" s="280" t="s">
        <v>68</v>
      </c>
      <c r="H16" s="281">
        <v>3</v>
      </c>
      <c r="I16" s="279"/>
    </row>
    <row r="17" spans="2:12" x14ac:dyDescent="0.35">
      <c r="B17" s="279"/>
      <c r="C17" s="261" t="s">
        <v>67</v>
      </c>
      <c r="H17" s="281">
        <v>4</v>
      </c>
      <c r="I17" s="279"/>
    </row>
    <row r="18" spans="2:12" x14ac:dyDescent="0.35">
      <c r="B18" s="279"/>
      <c r="C18" s="280" t="s">
        <v>71</v>
      </c>
      <c r="H18" s="281">
        <v>5</v>
      </c>
      <c r="I18" s="279"/>
    </row>
    <row r="19" spans="2:12" x14ac:dyDescent="0.35">
      <c r="B19" s="279"/>
      <c r="C19" s="261" t="s">
        <v>72</v>
      </c>
      <c r="H19" s="281">
        <v>6</v>
      </c>
      <c r="I19" s="279"/>
    </row>
    <row r="20" spans="2:12" x14ac:dyDescent="0.35">
      <c r="B20" s="279"/>
      <c r="C20" s="280" t="s">
        <v>73</v>
      </c>
      <c r="H20" s="281">
        <v>7</v>
      </c>
      <c r="I20" s="279"/>
    </row>
    <row r="21" spans="2:12" x14ac:dyDescent="0.35">
      <c r="B21" s="279"/>
      <c r="C21" s="261" t="s">
        <v>74</v>
      </c>
      <c r="H21" s="281">
        <v>8</v>
      </c>
      <c r="I21" s="279"/>
    </row>
    <row r="22" spans="2:12" x14ac:dyDescent="0.35">
      <c r="B22" s="279"/>
      <c r="C22" s="280" t="s">
        <v>80</v>
      </c>
      <c r="H22" s="281">
        <v>9</v>
      </c>
      <c r="I22" s="279"/>
    </row>
    <row r="23" spans="2:12" x14ac:dyDescent="0.35">
      <c r="B23" s="279"/>
      <c r="C23" s="261" t="s">
        <v>76</v>
      </c>
      <c r="H23" s="281">
        <v>10</v>
      </c>
      <c r="I23" s="279"/>
    </row>
    <row r="24" spans="2:12" x14ac:dyDescent="0.35">
      <c r="B24" s="279"/>
      <c r="C24" s="280"/>
      <c r="H24" s="281"/>
      <c r="I24" s="279"/>
    </row>
    <row r="25" spans="2:12" x14ac:dyDescent="0.35">
      <c r="H25" s="279"/>
      <c r="I25" s="279"/>
    </row>
    <row r="26" spans="2:12" x14ac:dyDescent="0.35">
      <c r="H26" s="279"/>
      <c r="I26" s="279"/>
    </row>
    <row r="31" spans="2:12" ht="17.399999999999999" x14ac:dyDescent="0.35">
      <c r="L31" s="282"/>
    </row>
    <row r="32" spans="2:12" ht="17.399999999999999" x14ac:dyDescent="0.35">
      <c r="L32" s="282"/>
    </row>
  </sheetData>
  <mergeCells count="4">
    <mergeCell ref="C8:I8"/>
    <mergeCell ref="C9:I9"/>
    <mergeCell ref="C10:I10"/>
    <mergeCell ref="A7:K7"/>
  </mergeCells>
  <hyperlinks>
    <hyperlink ref="H14" location="'1.BG USD'!A1" display="'1.BG USD'!A1" xr:uid="{BD539D5F-3E5E-4C5A-BDE0-B768A173DBBA}"/>
    <hyperlink ref="H15" location="'2.EERR USD'!A1" display="'2.EERR USD'!A1" xr:uid="{F341BC8B-5332-4276-ACD5-0C1EAD796584}"/>
    <hyperlink ref="H16" location="'3.VARIAC. PA USD'!A1" display="'3.VARIAC. PA USD'!A1" xr:uid="{F228EC3F-3E80-480A-B6C8-065B5C9F26C8}"/>
    <hyperlink ref="H17" location="'4.FLUJO EFECTIVO USD'!A1" display="'4.FLUJO EFECTIVO USD'!A1" xr:uid="{DF3B87C5-F219-4FB1-8943-461C789640DC}"/>
    <hyperlink ref="H18" location="'5.BG G'!A1" display="'5.BG G'!A1" xr:uid="{49A52BF0-34A9-40DC-A26F-3C6D34949F61}"/>
    <hyperlink ref="H19" location="'6.EERR G'!A1" display="'6.EERR G'!A1" xr:uid="{1FE2AF7E-76FE-48AA-A366-B4C6BAEEABE7}"/>
    <hyperlink ref="H20" location="'7.VARIAC. PN G'!A1" display="'7.VARIAC. PN G'!A1" xr:uid="{F8906F2F-B430-4748-8E2D-B63408EF0A0E}"/>
    <hyperlink ref="H21" location="'8.FLUJO EFECTIVO G'!A1" display="'8.FLUJO EFECTIVO G'!A1" xr:uid="{0E75E853-A136-4F97-A9A3-7F486EDAE49A}"/>
    <hyperlink ref="H22" location="'9.Notas a EEFF'!A1" display="'9.Notas a EEFF'!A1" xr:uid="{9FAD05B5-34B1-4CF1-8FBE-7BE1A80A23ED}"/>
    <hyperlink ref="H23" location="'10.Cuadro de Inversiones'!A1" display="'10.Cuadro de Inversiones'!A1" xr:uid="{3F249E92-025B-4EBD-BB5B-C3E8A60B5875}"/>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2A89-0BF7-4C1A-B676-60AEAFB04334}">
  <sheetPr>
    <tabColor rgb="FFA32794"/>
  </sheetPr>
  <dimension ref="A1:DG101"/>
  <sheetViews>
    <sheetView zoomScale="130" zoomScaleNormal="130" workbookViewId="0">
      <pane xSplit="1" ySplit="7" topLeftCell="B53" activePane="bottomRight" state="frozen"/>
      <selection pane="topRight" activeCell="B1" sqref="B1"/>
      <selection pane="bottomLeft" activeCell="A8" sqref="A8"/>
      <selection pane="bottomRight" activeCell="D41" sqref="D41"/>
    </sheetView>
  </sheetViews>
  <sheetFormatPr baseColWidth="10" defaultColWidth="11.44140625" defaultRowHeight="13.2" x14ac:dyDescent="0.25"/>
  <cols>
    <col min="1" max="1" width="45.6640625" style="26" customWidth="1"/>
    <col min="2" max="2" width="28.33203125" style="26" bestFit="1" customWidth="1"/>
    <col min="3" max="3" width="18.44140625" style="26" bestFit="1" customWidth="1"/>
    <col min="4" max="4" width="19.33203125" style="26" bestFit="1" customWidth="1"/>
    <col min="5" max="6" width="16" style="26" customWidth="1"/>
    <col min="7" max="7" width="18.44140625" style="26" bestFit="1" customWidth="1"/>
    <col min="8" max="8" width="14.44140625" style="26" bestFit="1" customWidth="1"/>
    <col min="9" max="11" width="15.33203125" style="26" customWidth="1"/>
    <col min="12" max="13" width="18.44140625" style="26" customWidth="1"/>
    <col min="14" max="14" width="20.109375" style="26" bestFit="1" customWidth="1"/>
    <col min="15" max="15" width="17.44140625" style="26" customWidth="1"/>
    <col min="16" max="16384" width="11.44140625" style="26"/>
  </cols>
  <sheetData>
    <row r="1" spans="1:15" ht="17.399999999999999" x14ac:dyDescent="0.3">
      <c r="A1" s="144" t="s">
        <v>310</v>
      </c>
      <c r="B1" s="43"/>
      <c r="C1" s="43"/>
      <c r="D1" s="43"/>
      <c r="E1" s="43"/>
      <c r="F1" s="43"/>
      <c r="G1" s="43"/>
      <c r="H1" s="43"/>
      <c r="I1" s="43"/>
      <c r="J1" s="43"/>
      <c r="K1" s="43"/>
      <c r="L1" s="43"/>
      <c r="M1" s="43"/>
      <c r="N1" s="43"/>
      <c r="O1" s="43"/>
    </row>
    <row r="2" spans="1:15" ht="17.399999999999999" x14ac:dyDescent="0.3">
      <c r="A2" s="144"/>
      <c r="B2" s="43"/>
      <c r="C2" s="43"/>
      <c r="D2" s="43"/>
      <c r="E2" s="43"/>
      <c r="F2" s="43" t="s">
        <v>309</v>
      </c>
      <c r="G2" s="43" t="s">
        <v>308</v>
      </c>
      <c r="H2" s="43"/>
      <c r="I2" s="43"/>
      <c r="J2" s="43"/>
      <c r="K2" s="43"/>
      <c r="L2" s="43"/>
      <c r="M2" s="43"/>
      <c r="N2" s="43"/>
      <c r="O2" s="43"/>
    </row>
    <row r="3" spans="1:15" ht="18" thickBot="1" x14ac:dyDescent="0.35">
      <c r="A3" s="144"/>
      <c r="B3" s="43"/>
      <c r="C3" s="43"/>
      <c r="D3" s="43"/>
      <c r="E3" s="43"/>
      <c r="F3" s="43" t="s">
        <v>307</v>
      </c>
      <c r="G3" s="43" t="s">
        <v>306</v>
      </c>
      <c r="H3" s="43"/>
      <c r="I3" s="43"/>
      <c r="J3" s="43"/>
      <c r="K3" s="43"/>
      <c r="L3" s="43"/>
      <c r="M3" s="43"/>
      <c r="N3" s="43"/>
      <c r="O3" s="43"/>
    </row>
    <row r="4" spans="1:15" x14ac:dyDescent="0.25">
      <c r="A4" s="141"/>
      <c r="B4" s="131"/>
      <c r="C4" s="143"/>
      <c r="D4" s="142"/>
      <c r="E4" s="131"/>
      <c r="F4" s="131"/>
      <c r="G4" s="141"/>
      <c r="H4" s="140"/>
      <c r="I4" s="140"/>
      <c r="J4" s="140"/>
      <c r="K4" s="140"/>
      <c r="L4" s="140"/>
      <c r="M4" s="127" t="s">
        <v>305</v>
      </c>
      <c r="N4" s="127" t="s">
        <v>304</v>
      </c>
      <c r="O4" s="139"/>
    </row>
    <row r="5" spans="1:15" ht="13.8" thickBot="1" x14ac:dyDescent="0.3">
      <c r="A5" s="138" t="s">
        <v>17</v>
      </c>
      <c r="B5" s="129" t="s">
        <v>302</v>
      </c>
      <c r="C5" s="137" t="s">
        <v>303</v>
      </c>
      <c r="D5" s="136"/>
      <c r="E5" s="129" t="s">
        <v>302</v>
      </c>
      <c r="F5" s="129" t="s">
        <v>301</v>
      </c>
      <c r="G5" s="135" t="s">
        <v>300</v>
      </c>
      <c r="H5" s="134"/>
      <c r="I5" s="134"/>
      <c r="J5" s="134"/>
      <c r="K5" s="134"/>
      <c r="L5" s="134"/>
      <c r="M5" s="129" t="s">
        <v>299</v>
      </c>
      <c r="N5" s="133" t="s">
        <v>298</v>
      </c>
      <c r="O5" s="123" t="s">
        <v>108</v>
      </c>
    </row>
    <row r="6" spans="1:15" x14ac:dyDescent="0.25">
      <c r="A6" s="132"/>
      <c r="B6" s="129" t="s">
        <v>19</v>
      </c>
      <c r="C6" s="131"/>
      <c r="D6" s="130"/>
      <c r="E6" s="129" t="s">
        <v>19</v>
      </c>
      <c r="F6" s="127" t="s">
        <v>290</v>
      </c>
      <c r="G6" s="128" t="s">
        <v>297</v>
      </c>
      <c r="H6" s="127" t="s">
        <v>296</v>
      </c>
      <c r="I6" s="124" t="s">
        <v>295</v>
      </c>
      <c r="J6" s="124" t="s">
        <v>294</v>
      </c>
      <c r="K6" s="126" t="s">
        <v>293</v>
      </c>
      <c r="L6" s="125" t="s">
        <v>292</v>
      </c>
      <c r="M6" s="124" t="s">
        <v>291</v>
      </c>
      <c r="N6" s="124" t="s">
        <v>291</v>
      </c>
      <c r="O6" s="123"/>
    </row>
    <row r="7" spans="1:15" ht="14.4" thickBot="1" x14ac:dyDescent="0.3">
      <c r="A7" s="122"/>
      <c r="B7" s="120" t="s">
        <v>359</v>
      </c>
      <c r="C7" s="118" t="s">
        <v>290</v>
      </c>
      <c r="D7" s="121" t="s">
        <v>176</v>
      </c>
      <c r="E7" s="120" t="s">
        <v>289</v>
      </c>
      <c r="F7" s="118" t="s">
        <v>288</v>
      </c>
      <c r="G7" s="119" t="s">
        <v>287</v>
      </c>
      <c r="H7" s="118" t="s">
        <v>286</v>
      </c>
      <c r="I7" s="115" t="s">
        <v>285</v>
      </c>
      <c r="J7" s="117" t="s">
        <v>284</v>
      </c>
      <c r="K7" s="117" t="s">
        <v>283</v>
      </c>
      <c r="L7" s="116" t="s">
        <v>282</v>
      </c>
      <c r="M7" s="115" t="s">
        <v>281</v>
      </c>
      <c r="N7" s="115" t="s">
        <v>281</v>
      </c>
      <c r="O7" s="114"/>
    </row>
    <row r="8" spans="1:15" x14ac:dyDescent="0.25">
      <c r="A8" s="113" t="s">
        <v>280</v>
      </c>
      <c r="B8" s="111"/>
      <c r="C8" s="111"/>
      <c r="D8" s="112"/>
      <c r="E8" s="111"/>
      <c r="F8" s="111"/>
      <c r="G8" s="111"/>
      <c r="H8" s="111"/>
      <c r="I8" s="111"/>
      <c r="J8" s="111"/>
      <c r="K8" s="111"/>
      <c r="L8" s="111"/>
      <c r="M8" s="111"/>
      <c r="N8" s="111"/>
      <c r="O8" s="110"/>
    </row>
    <row r="9" spans="1:15" x14ac:dyDescent="0.25">
      <c r="A9" s="109" t="s">
        <v>39</v>
      </c>
      <c r="B9" s="48">
        <f>+'5.BG G'!C10</f>
        <v>1312633758.6993001</v>
      </c>
      <c r="C9" s="48"/>
      <c r="D9" s="107"/>
      <c r="E9" s="48">
        <v>1793373924</v>
      </c>
      <c r="F9" s="48">
        <f t="shared" ref="F9:F21" si="0">B9-E9+C9-D9</f>
        <v>-480740165.30069995</v>
      </c>
      <c r="G9" s="48"/>
      <c r="H9" s="48"/>
      <c r="I9" s="48"/>
      <c r="J9" s="48"/>
      <c r="K9" s="48"/>
      <c r="L9" s="48"/>
      <c r="M9" s="48"/>
      <c r="N9" s="48"/>
      <c r="O9" s="104">
        <f>F9</f>
        <v>-480740165.30069995</v>
      </c>
    </row>
    <row r="10" spans="1:15" ht="13.8" x14ac:dyDescent="0.3">
      <c r="A10" s="109" t="s">
        <v>279</v>
      </c>
      <c r="B10" s="108">
        <f>+'5.BG G'!C20</f>
        <v>1563024758</v>
      </c>
      <c r="C10" s="48"/>
      <c r="D10" s="107"/>
      <c r="E10" s="48">
        <v>717999829</v>
      </c>
      <c r="F10" s="48">
        <f t="shared" si="0"/>
        <v>845024929</v>
      </c>
      <c r="G10" s="48"/>
      <c r="H10" s="48"/>
      <c r="I10" s="48"/>
      <c r="J10" s="48"/>
      <c r="K10" s="48"/>
      <c r="L10" s="48">
        <f>-F10</f>
        <v>-845024929</v>
      </c>
      <c r="M10" s="48"/>
      <c r="N10" s="48"/>
      <c r="O10" s="104"/>
    </row>
    <row r="11" spans="1:15" x14ac:dyDescent="0.25">
      <c r="A11" s="106" t="s">
        <v>278</v>
      </c>
      <c r="B11" s="70">
        <v>0</v>
      </c>
      <c r="C11" s="70"/>
      <c r="D11" s="105"/>
      <c r="E11" s="70">
        <v>0</v>
      </c>
      <c r="F11" s="70">
        <f t="shared" si="0"/>
        <v>0</v>
      </c>
      <c r="G11" s="48"/>
      <c r="H11" s="48"/>
      <c r="I11" s="48"/>
      <c r="J11" s="48">
        <f>-F11</f>
        <v>0</v>
      </c>
      <c r="K11" s="48"/>
      <c r="L11" s="48"/>
      <c r="M11" s="48"/>
      <c r="N11" s="48"/>
      <c r="O11" s="104"/>
    </row>
    <row r="12" spans="1:15" x14ac:dyDescent="0.25">
      <c r="A12" s="69" t="s">
        <v>277</v>
      </c>
      <c r="B12" s="53">
        <v>0</v>
      </c>
      <c r="C12" s="53"/>
      <c r="D12" s="103"/>
      <c r="E12" s="53">
        <v>0</v>
      </c>
      <c r="F12" s="48">
        <f t="shared" si="0"/>
        <v>0</v>
      </c>
      <c r="G12" s="53">
        <f>-F12</f>
        <v>0</v>
      </c>
      <c r="H12" s="53"/>
      <c r="I12" s="53"/>
      <c r="J12" s="53"/>
      <c r="K12" s="53"/>
      <c r="L12" s="53"/>
      <c r="M12" s="53"/>
      <c r="N12" s="53"/>
      <c r="O12" s="51"/>
    </row>
    <row r="13" spans="1:15" x14ac:dyDescent="0.25">
      <c r="A13" s="69" t="s">
        <v>276</v>
      </c>
      <c r="B13" s="53">
        <f>+'5.BG G'!C21+'5.BG G'!C25</f>
        <v>6759443114.5808001</v>
      </c>
      <c r="C13" s="53"/>
      <c r="D13" s="53">
        <f>-D47</f>
        <v>0</v>
      </c>
      <c r="E13" s="53">
        <v>1303530119</v>
      </c>
      <c r="F13" s="48">
        <f t="shared" si="0"/>
        <v>5455912995.5808001</v>
      </c>
      <c r="H13" s="53"/>
      <c r="I13" s="53"/>
      <c r="J13" s="53"/>
      <c r="K13" s="53"/>
      <c r="L13" s="53">
        <f>-F13</f>
        <v>-5455912995.5808001</v>
      </c>
      <c r="M13" s="53"/>
      <c r="N13" s="53"/>
      <c r="O13" s="51"/>
    </row>
    <row r="14" spans="1:15" x14ac:dyDescent="0.25">
      <c r="A14" s="102" t="s">
        <v>275</v>
      </c>
      <c r="B14" s="100">
        <v>0</v>
      </c>
      <c r="C14" s="100"/>
      <c r="D14" s="100"/>
      <c r="E14" s="100">
        <v>0</v>
      </c>
      <c r="F14" s="48">
        <f t="shared" si="0"/>
        <v>0</v>
      </c>
      <c r="G14" s="57"/>
      <c r="H14" s="57"/>
      <c r="I14" s="57"/>
      <c r="J14" s="57"/>
      <c r="K14" s="57"/>
      <c r="L14" s="57"/>
      <c r="M14" s="57"/>
      <c r="N14" s="57"/>
      <c r="O14" s="56"/>
    </row>
    <row r="15" spans="1:15" x14ac:dyDescent="0.25">
      <c r="A15" s="69" t="s">
        <v>274</v>
      </c>
      <c r="B15" s="53">
        <f>+'5.BG G'!C14+'5.BG G'!C34</f>
        <v>8367003414.1278009</v>
      </c>
      <c r="C15" s="53"/>
      <c r="D15" s="53"/>
      <c r="E15" s="53">
        <v>5787780532</v>
      </c>
      <c r="F15" s="48">
        <f t="shared" si="0"/>
        <v>2579222882.1278009</v>
      </c>
      <c r="G15" s="53"/>
      <c r="H15" s="53"/>
      <c r="I15" s="53"/>
      <c r="J15" s="53"/>
      <c r="K15" s="53"/>
      <c r="L15" s="53"/>
      <c r="M15" s="53">
        <f>-F15</f>
        <v>-2579222882.1278009</v>
      </c>
      <c r="N15" s="53"/>
      <c r="O15" s="51"/>
    </row>
    <row r="16" spans="1:15" x14ac:dyDescent="0.25">
      <c r="A16" s="69" t="s">
        <v>273</v>
      </c>
      <c r="B16" s="53">
        <f>+'5.BG G'!C16</f>
        <v>27827823721</v>
      </c>
      <c r="C16" s="53">
        <f>+D44+D40</f>
        <v>-7716463182</v>
      </c>
      <c r="E16" s="53">
        <v>11237815503</v>
      </c>
      <c r="F16" s="48">
        <f t="shared" si="0"/>
        <v>8873545036</v>
      </c>
      <c r="G16" s="53"/>
      <c r="H16" s="53"/>
      <c r="I16" s="53"/>
      <c r="J16" s="53"/>
      <c r="K16" s="53"/>
      <c r="L16" s="53"/>
      <c r="M16" s="53">
        <f>-F16</f>
        <v>-8873545036</v>
      </c>
      <c r="N16" s="53"/>
      <c r="O16" s="51"/>
    </row>
    <row r="17" spans="1:111" x14ac:dyDescent="0.25">
      <c r="A17" s="102" t="s">
        <v>272</v>
      </c>
      <c r="B17" s="100">
        <f>+'5.BG G'!C39</f>
        <v>548322096</v>
      </c>
      <c r="C17" s="101"/>
      <c r="D17" s="100"/>
      <c r="E17" s="100">
        <v>0</v>
      </c>
      <c r="F17" s="48">
        <f t="shared" si="0"/>
        <v>548322096</v>
      </c>
      <c r="G17" s="53"/>
      <c r="H17" s="53"/>
      <c r="I17" s="53"/>
      <c r="J17" s="53"/>
      <c r="K17" s="53"/>
      <c r="L17" s="53"/>
      <c r="M17" s="53">
        <f>-F17</f>
        <v>-548322096</v>
      </c>
      <c r="N17" s="53"/>
      <c r="O17" s="51"/>
    </row>
    <row r="18" spans="1:111" x14ac:dyDescent="0.25">
      <c r="A18" s="86" t="s">
        <v>271</v>
      </c>
      <c r="B18" s="85">
        <v>0</v>
      </c>
      <c r="C18" s="85"/>
      <c r="D18" s="99"/>
      <c r="E18" s="85">
        <v>0</v>
      </c>
      <c r="F18" s="82">
        <f t="shared" si="0"/>
        <v>0</v>
      </c>
      <c r="G18" s="57"/>
      <c r="H18" s="57"/>
      <c r="I18" s="57"/>
      <c r="J18" s="57"/>
      <c r="K18" s="57"/>
      <c r="L18" s="57"/>
      <c r="M18" s="57"/>
      <c r="N18" s="57"/>
      <c r="O18" s="56"/>
    </row>
    <row r="19" spans="1:111" x14ac:dyDescent="0.25">
      <c r="A19" s="102" t="s">
        <v>270</v>
      </c>
      <c r="B19" s="100">
        <v>0</v>
      </c>
      <c r="C19" s="101"/>
      <c r="D19" s="100"/>
      <c r="E19" s="100">
        <v>0</v>
      </c>
      <c r="F19" s="48">
        <f t="shared" si="0"/>
        <v>0</v>
      </c>
      <c r="G19" s="53"/>
      <c r="H19" s="53"/>
      <c r="I19" s="53"/>
      <c r="J19" s="53"/>
      <c r="K19" s="53"/>
      <c r="L19" s="53"/>
      <c r="M19" s="53">
        <f>-F19</f>
        <v>0</v>
      </c>
      <c r="N19" s="53"/>
      <c r="O19" s="51"/>
    </row>
    <row r="20" spans="1:111" x14ac:dyDescent="0.25">
      <c r="A20" s="86" t="s">
        <v>269</v>
      </c>
      <c r="B20" s="85">
        <v>0</v>
      </c>
      <c r="C20" s="85"/>
      <c r="D20" s="99"/>
      <c r="E20" s="85">
        <v>0</v>
      </c>
      <c r="F20" s="82">
        <f t="shared" si="0"/>
        <v>0</v>
      </c>
      <c r="G20" s="57"/>
      <c r="H20" s="57"/>
      <c r="I20" s="57"/>
      <c r="J20" s="57"/>
      <c r="K20" s="57"/>
      <c r="L20" s="57"/>
      <c r="M20" s="57"/>
      <c r="N20" s="57"/>
      <c r="O20" s="56"/>
    </row>
    <row r="21" spans="1:111" s="81" customFormat="1" x14ac:dyDescent="0.25">
      <c r="A21" s="98" t="s">
        <v>268</v>
      </c>
      <c r="B21" s="97">
        <v>0</v>
      </c>
      <c r="C21" s="60">
        <v>0</v>
      </c>
      <c r="D21" s="97">
        <v>0</v>
      </c>
      <c r="E21" s="97">
        <v>0</v>
      </c>
      <c r="F21" s="82">
        <f t="shared" si="0"/>
        <v>0</v>
      </c>
      <c r="G21" s="96"/>
      <c r="H21" s="96"/>
      <c r="I21" s="96"/>
      <c r="J21" s="96"/>
      <c r="K21" s="96"/>
      <c r="L21" s="96"/>
      <c r="M21" s="96">
        <f>-F21</f>
        <v>0</v>
      </c>
      <c r="N21" s="96"/>
      <c r="O21" s="95"/>
      <c r="P21" s="76">
        <v>8975342</v>
      </c>
      <c r="Q21" s="76">
        <v>105780824</v>
      </c>
      <c r="R21" s="76">
        <f>+Q21+P21</f>
        <v>114756166</v>
      </c>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row>
    <row r="22" spans="1:111" ht="13.8" thickBot="1" x14ac:dyDescent="0.3">
      <c r="A22" s="94" t="s">
        <v>267</v>
      </c>
      <c r="B22" s="79">
        <f>SUM(B9:B21)</f>
        <v>46378250862.407898</v>
      </c>
      <c r="C22" s="53"/>
      <c r="D22" s="53"/>
      <c r="E22" s="79">
        <v>20840499907</v>
      </c>
      <c r="F22" s="48">
        <v>0</v>
      </c>
      <c r="G22" s="53"/>
      <c r="H22" s="53"/>
      <c r="I22" s="53"/>
      <c r="J22" s="53"/>
      <c r="K22" s="53"/>
      <c r="L22" s="53"/>
      <c r="M22" s="53"/>
      <c r="N22" s="53"/>
      <c r="O22" s="51"/>
      <c r="P22" s="76">
        <v>1599667</v>
      </c>
      <c r="Q22" s="76">
        <v>9474951</v>
      </c>
      <c r="R22" s="76">
        <f>+Q22+P22</f>
        <v>11074618</v>
      </c>
    </row>
    <row r="23" spans="1:111" ht="13.8" thickTop="1" x14ac:dyDescent="0.25">
      <c r="A23" s="78" t="s">
        <v>266</v>
      </c>
      <c r="B23" s="91">
        <f>+B22-'5.BG G'!C41</f>
        <v>0</v>
      </c>
      <c r="C23" s="93"/>
      <c r="D23" s="93"/>
      <c r="E23" s="91">
        <v>0</v>
      </c>
      <c r="F23" s="92">
        <f t="shared" ref="F23:F38" si="1">B23-E23+C23-D23</f>
        <v>0</v>
      </c>
      <c r="G23" s="53"/>
      <c r="H23" s="53"/>
      <c r="I23" s="53"/>
      <c r="J23" s="53"/>
      <c r="K23" s="53"/>
      <c r="L23" s="53"/>
      <c r="M23" s="53"/>
      <c r="N23" s="53"/>
      <c r="O23" s="51"/>
      <c r="P23" s="76">
        <v>4727013</v>
      </c>
      <c r="Q23" s="76">
        <v>30725588</v>
      </c>
      <c r="R23" s="76">
        <f>+Q23+P23</f>
        <v>35452601</v>
      </c>
    </row>
    <row r="24" spans="1:111" x14ac:dyDescent="0.25">
      <c r="A24" s="69" t="s">
        <v>265</v>
      </c>
      <c r="B24" s="75">
        <v>0</v>
      </c>
      <c r="C24" s="53"/>
      <c r="D24" s="53"/>
      <c r="E24" s="75">
        <v>0</v>
      </c>
      <c r="F24" s="48">
        <f t="shared" si="1"/>
        <v>0</v>
      </c>
      <c r="G24" s="53"/>
      <c r="H24" s="53"/>
      <c r="I24" s="53"/>
      <c r="J24" s="53"/>
      <c r="K24" s="53"/>
      <c r="L24" s="53"/>
      <c r="M24" s="53"/>
      <c r="N24" s="53">
        <f>-F24</f>
        <v>0</v>
      </c>
      <c r="O24" s="51"/>
      <c r="P24" s="76">
        <v>5522903</v>
      </c>
      <c r="Q24" s="76">
        <v>52954902</v>
      </c>
      <c r="R24" s="76">
        <f>+Q24+P24</f>
        <v>58477805</v>
      </c>
    </row>
    <row r="25" spans="1:111" x14ac:dyDescent="0.25">
      <c r="A25" s="69" t="s">
        <v>264</v>
      </c>
      <c r="B25" s="53">
        <v>0</v>
      </c>
      <c r="C25" s="53">
        <f>+D31</f>
        <v>0</v>
      </c>
      <c r="D25" s="53"/>
      <c r="E25" s="53">
        <v>0</v>
      </c>
      <c r="F25" s="48">
        <f t="shared" si="1"/>
        <v>0</v>
      </c>
      <c r="G25" s="53">
        <f>-F25</f>
        <v>0</v>
      </c>
      <c r="H25" s="53"/>
      <c r="J25" s="53"/>
      <c r="K25" s="53"/>
      <c r="L25" s="53"/>
      <c r="M25" s="53"/>
      <c r="N25" s="53"/>
      <c r="O25" s="51"/>
      <c r="P25" s="76">
        <v>1172931</v>
      </c>
      <c r="Q25" s="76">
        <v>51608984</v>
      </c>
      <c r="R25" s="76">
        <f>+Q25+P25</f>
        <v>52781915</v>
      </c>
    </row>
    <row r="26" spans="1:111" x14ac:dyDescent="0.25">
      <c r="A26" s="69" t="s">
        <v>263</v>
      </c>
      <c r="B26" s="53">
        <f>-'5.BG G'!C47</f>
        <v>-427803852</v>
      </c>
      <c r="C26" s="53">
        <f>+D46</f>
        <v>0</v>
      </c>
      <c r="D26" s="53"/>
      <c r="E26" s="53">
        <v>-469694408</v>
      </c>
      <c r="F26" s="48">
        <f t="shared" si="1"/>
        <v>41890556</v>
      </c>
      <c r="G26" s="53"/>
      <c r="H26" s="53"/>
      <c r="I26" s="53">
        <f>-F26</f>
        <v>-41890556</v>
      </c>
      <c r="J26" s="53"/>
      <c r="K26" s="53"/>
      <c r="L26" s="53">
        <v>0</v>
      </c>
      <c r="M26" s="53"/>
      <c r="N26" s="53"/>
      <c r="O26" s="51"/>
      <c r="P26" s="91">
        <f>SUM(P21:P25)</f>
        <v>21997856</v>
      </c>
      <c r="Q26" s="91">
        <f>SUM(Q21:Q25)</f>
        <v>250545249</v>
      </c>
      <c r="R26" s="91">
        <f>SUM(R21:R25)</f>
        <v>272543105</v>
      </c>
    </row>
    <row r="27" spans="1:111" x14ac:dyDescent="0.25">
      <c r="A27" s="69" t="s">
        <v>262</v>
      </c>
      <c r="B27" s="53">
        <f>-'[6]Balance Gral. Resol. 6'!G23-'[6]Balance Gral. Resol. 6'!G22</f>
        <v>0</v>
      </c>
      <c r="C27" s="53">
        <v>0</v>
      </c>
      <c r="D27" s="53"/>
      <c r="E27" s="53">
        <v>0</v>
      </c>
      <c r="F27" s="48">
        <f t="shared" si="1"/>
        <v>0</v>
      </c>
      <c r="G27" s="53"/>
      <c r="H27" s="53"/>
      <c r="I27" s="53"/>
      <c r="J27" s="53"/>
      <c r="K27" s="53"/>
      <c r="L27" s="53">
        <v>0</v>
      </c>
      <c r="M27" s="53"/>
      <c r="N27" s="53">
        <f>-F27</f>
        <v>0</v>
      </c>
      <c r="O27" s="51"/>
      <c r="P27" s="76"/>
      <c r="Q27" s="76"/>
      <c r="R27" s="76"/>
    </row>
    <row r="28" spans="1:111" x14ac:dyDescent="0.25">
      <c r="A28" s="69" t="s">
        <v>261</v>
      </c>
      <c r="B28" s="53">
        <v>0</v>
      </c>
      <c r="C28" s="53"/>
      <c r="D28" s="53"/>
      <c r="E28" s="53">
        <v>0</v>
      </c>
      <c r="F28" s="48">
        <f t="shared" si="1"/>
        <v>0</v>
      </c>
      <c r="G28" s="53"/>
      <c r="H28" s="53"/>
      <c r="I28" s="53"/>
      <c r="J28" s="53">
        <f>-F28</f>
        <v>0</v>
      </c>
      <c r="K28" s="43"/>
      <c r="M28" s="53"/>
      <c r="N28" s="53"/>
      <c r="O28" s="51"/>
      <c r="P28" s="76"/>
      <c r="Q28" s="76"/>
      <c r="R28" s="76"/>
    </row>
    <row r="29" spans="1:111" x14ac:dyDescent="0.25">
      <c r="A29" s="69" t="s">
        <v>260</v>
      </c>
      <c r="B29" s="53">
        <v>0</v>
      </c>
      <c r="C29" s="90"/>
      <c r="D29" s="53"/>
      <c r="E29" s="53">
        <v>0</v>
      </c>
      <c r="F29" s="48">
        <f t="shared" si="1"/>
        <v>0</v>
      </c>
      <c r="G29" s="53"/>
      <c r="H29" s="53"/>
      <c r="I29" s="53"/>
      <c r="J29" s="53"/>
      <c r="K29" s="53"/>
      <c r="L29" s="53">
        <f>-F29</f>
        <v>0</v>
      </c>
      <c r="M29" s="53"/>
      <c r="N29" s="53"/>
      <c r="O29" s="51"/>
      <c r="P29" s="76"/>
      <c r="Q29" s="76"/>
      <c r="R29" s="76"/>
    </row>
    <row r="30" spans="1:111" x14ac:dyDescent="0.25">
      <c r="A30" s="89" t="s">
        <v>259</v>
      </c>
      <c r="B30" s="87">
        <f>-'5.BG G'!C48</f>
        <v>-41523827000</v>
      </c>
      <c r="C30" s="88">
        <v>0</v>
      </c>
      <c r="D30" s="87"/>
      <c r="E30" s="87">
        <v>-19697964000</v>
      </c>
      <c r="F30" s="82">
        <f t="shared" si="1"/>
        <v>-21825863000</v>
      </c>
      <c r="G30" s="53"/>
      <c r="H30" s="53"/>
      <c r="I30" s="53"/>
      <c r="J30" s="53"/>
      <c r="K30" s="53"/>
      <c r="L30" s="53"/>
      <c r="M30" s="53"/>
      <c r="N30" s="53">
        <f>-F30</f>
        <v>21825863000</v>
      </c>
      <c r="O30" s="51"/>
      <c r="P30" s="76"/>
      <c r="Q30" s="76"/>
      <c r="R30" s="76"/>
    </row>
    <row r="31" spans="1:111" x14ac:dyDescent="0.25">
      <c r="A31" s="69" t="s">
        <v>258</v>
      </c>
      <c r="B31" s="53">
        <v>0</v>
      </c>
      <c r="C31" s="43"/>
      <c r="D31" s="53">
        <v>0</v>
      </c>
      <c r="E31" s="53">
        <v>0</v>
      </c>
      <c r="F31" s="48">
        <f t="shared" si="1"/>
        <v>0</v>
      </c>
      <c r="G31" s="53"/>
      <c r="H31" s="53"/>
      <c r="I31" s="53"/>
      <c r="J31" s="53"/>
      <c r="K31" s="53"/>
      <c r="L31" s="53"/>
      <c r="M31" s="53"/>
      <c r="N31" s="53">
        <f>-F31</f>
        <v>0</v>
      </c>
      <c r="O31" s="51"/>
      <c r="P31" s="76"/>
      <c r="Q31" s="76"/>
      <c r="R31" s="76"/>
    </row>
    <row r="32" spans="1:111" x14ac:dyDescent="0.25">
      <c r="A32" s="86" t="s">
        <v>257</v>
      </c>
      <c r="B32" s="85">
        <v>0</v>
      </c>
      <c r="C32" s="85">
        <v>0</v>
      </c>
      <c r="D32" s="85">
        <v>0</v>
      </c>
      <c r="E32" s="85">
        <v>0</v>
      </c>
      <c r="F32" s="82">
        <f t="shared" si="1"/>
        <v>0</v>
      </c>
      <c r="G32" s="57"/>
      <c r="H32" s="57"/>
      <c r="I32" s="57"/>
      <c r="J32" s="57"/>
      <c r="K32" s="57"/>
      <c r="L32" s="57"/>
      <c r="M32" s="57"/>
      <c r="N32" s="57"/>
      <c r="O32" s="56"/>
      <c r="P32" s="76"/>
      <c r="Q32" s="76"/>
      <c r="R32" s="76"/>
    </row>
    <row r="33" spans="1:111" x14ac:dyDescent="0.25">
      <c r="A33" s="86" t="s">
        <v>242</v>
      </c>
      <c r="B33" s="85">
        <v>0</v>
      </c>
      <c r="C33" s="85">
        <v>0</v>
      </c>
      <c r="D33" s="85"/>
      <c r="E33" s="85">
        <v>0</v>
      </c>
      <c r="F33" s="82">
        <f t="shared" si="1"/>
        <v>0</v>
      </c>
      <c r="G33" s="57"/>
      <c r="H33" s="57"/>
      <c r="I33" s="57"/>
      <c r="J33" s="57"/>
      <c r="K33" s="57"/>
      <c r="L33" s="57"/>
      <c r="M33" s="57"/>
      <c r="N33" s="57"/>
      <c r="O33" s="56"/>
      <c r="P33" s="76"/>
      <c r="Q33" s="76"/>
      <c r="R33" s="76"/>
    </row>
    <row r="34" spans="1:111" x14ac:dyDescent="0.25">
      <c r="A34" s="86" t="s">
        <v>256</v>
      </c>
      <c r="B34" s="85">
        <v>0</v>
      </c>
      <c r="C34" s="85">
        <v>0</v>
      </c>
      <c r="D34" s="85">
        <v>0</v>
      </c>
      <c r="E34" s="85">
        <v>0</v>
      </c>
      <c r="F34" s="82">
        <f t="shared" si="1"/>
        <v>0</v>
      </c>
      <c r="G34" s="57"/>
      <c r="H34" s="57"/>
      <c r="I34" s="57"/>
      <c r="J34" s="57"/>
      <c r="K34" s="57"/>
      <c r="L34" s="57"/>
      <c r="M34" s="57"/>
      <c r="N34" s="57"/>
      <c r="O34" s="56"/>
      <c r="P34" s="76"/>
      <c r="Q34" s="76"/>
      <c r="R34" s="76"/>
    </row>
    <row r="35" spans="1:111" s="81" customFormat="1" x14ac:dyDescent="0.25">
      <c r="A35" s="86" t="s">
        <v>255</v>
      </c>
      <c r="B35" s="85">
        <f>-'5.BG G'!C50</f>
        <v>0</v>
      </c>
      <c r="C35" s="85">
        <v>0</v>
      </c>
      <c r="D35" s="85">
        <v>0</v>
      </c>
      <c r="E35" s="85">
        <v>0</v>
      </c>
      <c r="F35" s="82">
        <f t="shared" si="1"/>
        <v>0</v>
      </c>
      <c r="G35" s="57"/>
      <c r="H35" s="57"/>
      <c r="I35" s="57"/>
      <c r="J35" s="57"/>
      <c r="K35" s="57"/>
      <c r="L35" s="57"/>
      <c r="M35" s="57"/>
      <c r="N35" s="57"/>
      <c r="O35" s="56"/>
      <c r="P35" s="76"/>
      <c r="Q35" s="76"/>
      <c r="R35" s="7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row>
    <row r="36" spans="1:111" x14ac:dyDescent="0.25">
      <c r="A36" s="102" t="s">
        <v>254</v>
      </c>
      <c r="B36" s="608">
        <f>-'5.BG G'!C50</f>
        <v>0</v>
      </c>
      <c r="C36" s="100">
        <f>+D37</f>
        <v>672841498.83000004</v>
      </c>
      <c r="D36" s="100"/>
      <c r="E36" s="608">
        <v>0</v>
      </c>
      <c r="F36" s="48">
        <f t="shared" si="1"/>
        <v>672841498.83000004</v>
      </c>
      <c r="G36" s="53"/>
      <c r="H36" s="53"/>
      <c r="I36" s="53"/>
      <c r="J36" s="53"/>
      <c r="K36" s="53"/>
      <c r="M36" s="53"/>
      <c r="N36" s="53">
        <f>-F36</f>
        <v>-672841498.83000004</v>
      </c>
      <c r="O36" s="51"/>
      <c r="P36" s="76"/>
      <c r="Q36" s="76"/>
      <c r="R36" s="76"/>
    </row>
    <row r="37" spans="1:111" s="81" customFormat="1" ht="13.8" thickBot="1" x14ac:dyDescent="0.3">
      <c r="A37" s="86" t="s">
        <v>253</v>
      </c>
      <c r="B37" s="83">
        <f>-'5.BG G'!C51</f>
        <v>-4426620011.4899998</v>
      </c>
      <c r="C37" s="85">
        <f>+D56</f>
        <v>4426620011</v>
      </c>
      <c r="D37" s="84">
        <f>-E37</f>
        <v>672841498.83000004</v>
      </c>
      <c r="E37" s="83">
        <v>-672841498.83000004</v>
      </c>
      <c r="F37" s="82">
        <f t="shared" si="1"/>
        <v>-0.48999989032745361</v>
      </c>
      <c r="G37" s="57"/>
      <c r="H37" s="57"/>
      <c r="I37" s="57"/>
      <c r="J37" s="57"/>
      <c r="K37" s="57"/>
      <c r="L37" s="57"/>
      <c r="M37" s="57"/>
      <c r="N37" s="57"/>
      <c r="O37" s="56"/>
      <c r="P37" s="76"/>
      <c r="Q37" s="76"/>
      <c r="R37" s="7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row>
    <row r="38" spans="1:111" ht="13.8" thickBot="1" x14ac:dyDescent="0.3">
      <c r="A38" s="80" t="s">
        <v>52</v>
      </c>
      <c r="B38" s="79">
        <f>SUM(B24:B37)</f>
        <v>-46378250863.489998</v>
      </c>
      <c r="C38" s="53"/>
      <c r="D38" s="53"/>
      <c r="E38" s="79">
        <v>-20840499906.830002</v>
      </c>
      <c r="F38" s="48">
        <f t="shared" si="1"/>
        <v>-25537750956.659996</v>
      </c>
      <c r="G38" s="53"/>
      <c r="H38" s="53"/>
      <c r="I38" s="53"/>
      <c r="J38" s="53"/>
      <c r="K38" s="53"/>
      <c r="L38" s="53"/>
      <c r="M38" s="53"/>
      <c r="N38" s="53"/>
      <c r="O38" s="51"/>
      <c r="P38" s="76"/>
      <c r="Q38" s="76"/>
      <c r="R38" s="76"/>
    </row>
    <row r="39" spans="1:111" ht="13.8" thickTop="1" x14ac:dyDescent="0.25">
      <c r="A39" s="78" t="s">
        <v>252</v>
      </c>
      <c r="B39" s="77">
        <f>+B38+B22</f>
        <v>-1.0820999145507813</v>
      </c>
      <c r="C39" s="53"/>
      <c r="D39" s="53"/>
      <c r="E39" s="77">
        <v>0</v>
      </c>
      <c r="F39" s="48">
        <v>0</v>
      </c>
      <c r="G39" s="53"/>
      <c r="H39" s="53"/>
      <c r="I39" s="53"/>
      <c r="J39" s="53"/>
      <c r="K39" s="53"/>
      <c r="L39" s="53"/>
      <c r="M39" s="53"/>
      <c r="N39" s="53"/>
      <c r="O39" s="51"/>
      <c r="P39" s="76"/>
      <c r="Q39" s="76"/>
      <c r="R39" s="76"/>
    </row>
    <row r="40" spans="1:111" x14ac:dyDescent="0.25">
      <c r="A40" s="69" t="s">
        <v>251</v>
      </c>
      <c r="B40" s="53">
        <f>-'6.EERR G'!C13</f>
        <v>-8562748775.999999</v>
      </c>
      <c r="C40" s="53"/>
      <c r="D40" s="53">
        <f>-'[4]ESTADOS DE RESULTADOS'!$C$27</f>
        <v>-8254830402</v>
      </c>
      <c r="E40" s="53"/>
      <c r="F40" s="48">
        <f t="shared" ref="F40:F51" si="2">B40-E40+C40-D40</f>
        <v>-307918373.99999905</v>
      </c>
      <c r="G40" s="53">
        <f>-F40</f>
        <v>307918373.99999905</v>
      </c>
      <c r="H40" s="53"/>
      <c r="I40" s="53"/>
      <c r="J40" s="53"/>
      <c r="K40" s="53"/>
      <c r="L40" s="53"/>
      <c r="M40" s="53"/>
      <c r="N40" s="53"/>
      <c r="O40" s="51"/>
    </row>
    <row r="41" spans="1:111" x14ac:dyDescent="0.25">
      <c r="A41" s="69" t="s">
        <v>250</v>
      </c>
      <c r="B41" s="53">
        <f>-'6.EERR G'!C11-'6.EERR G'!C12-'6.EERR G'!C14</f>
        <v>-1209250720</v>
      </c>
      <c r="C41" s="53"/>
      <c r="D41" s="53"/>
      <c r="E41" s="53"/>
      <c r="F41" s="48">
        <f t="shared" si="2"/>
        <v>-1209250720</v>
      </c>
      <c r="G41" s="53">
        <f>-F41</f>
        <v>1209250720</v>
      </c>
      <c r="H41" s="53">
        <v>0</v>
      </c>
      <c r="I41" s="53"/>
      <c r="J41" s="53"/>
      <c r="K41" s="53"/>
      <c r="L41" s="53"/>
      <c r="M41" s="53"/>
      <c r="N41" s="53"/>
      <c r="O41" s="51"/>
    </row>
    <row r="42" spans="1:111" x14ac:dyDescent="0.25">
      <c r="A42" s="69" t="s">
        <v>249</v>
      </c>
      <c r="B42" s="53">
        <v>0</v>
      </c>
      <c r="C42" s="53"/>
      <c r="D42" s="53"/>
      <c r="E42" s="53"/>
      <c r="F42" s="48">
        <f t="shared" si="2"/>
        <v>0</v>
      </c>
      <c r="G42" s="53"/>
      <c r="H42" s="53"/>
      <c r="I42" s="53"/>
      <c r="J42" s="53"/>
      <c r="K42" s="53"/>
      <c r="L42" s="53"/>
      <c r="M42" s="53">
        <f>-F42</f>
        <v>0</v>
      </c>
      <c r="N42" s="53"/>
      <c r="O42" s="51"/>
    </row>
    <row r="43" spans="1:111" x14ac:dyDescent="0.25">
      <c r="A43" s="69" t="s">
        <v>248</v>
      </c>
      <c r="B43" s="53">
        <v>0</v>
      </c>
      <c r="C43" s="53"/>
      <c r="D43" s="53"/>
      <c r="E43" s="53"/>
      <c r="F43" s="48">
        <f t="shared" si="2"/>
        <v>0</v>
      </c>
      <c r="G43" s="53"/>
      <c r="H43" s="53"/>
      <c r="I43" s="53"/>
      <c r="J43" s="53"/>
      <c r="K43" s="53"/>
      <c r="L43" s="53"/>
      <c r="M43" s="53">
        <f>-B43</f>
        <v>0</v>
      </c>
      <c r="N43" s="53"/>
      <c r="O43" s="51"/>
    </row>
    <row r="44" spans="1:111" x14ac:dyDescent="0.25">
      <c r="A44" s="69" t="s">
        <v>247</v>
      </c>
      <c r="B44" s="53">
        <f>+'6.EERR G'!C21</f>
        <v>1414142912.9999998</v>
      </c>
      <c r="C44" s="53"/>
      <c r="D44" s="53">
        <f>+'[4]ESTADOS DE RESULTADOS'!$C$32</f>
        <v>538367220</v>
      </c>
      <c r="E44" s="53"/>
      <c r="F44" s="48">
        <f t="shared" si="2"/>
        <v>875775692.99999976</v>
      </c>
      <c r="G44" s="53">
        <v>0</v>
      </c>
      <c r="H44" s="53"/>
      <c r="I44" s="53">
        <f>-F44</f>
        <v>-875775692.99999976</v>
      </c>
      <c r="J44" s="53"/>
      <c r="K44" s="53"/>
      <c r="L44" s="53"/>
      <c r="M44" s="53"/>
      <c r="N44" s="53"/>
      <c r="O44" s="51"/>
    </row>
    <row r="45" spans="1:111" x14ac:dyDescent="0.25">
      <c r="A45" s="69" t="s">
        <v>246</v>
      </c>
      <c r="B45" s="53">
        <v>0</v>
      </c>
      <c r="C45" s="53"/>
      <c r="D45" s="53"/>
      <c r="E45" s="53"/>
      <c r="F45" s="48">
        <f t="shared" si="2"/>
        <v>0</v>
      </c>
      <c r="G45" s="53"/>
      <c r="H45" s="53"/>
      <c r="I45" s="53"/>
      <c r="J45" s="53"/>
      <c r="K45" s="53">
        <f>-F45</f>
        <v>0</v>
      </c>
      <c r="L45" s="53"/>
      <c r="M45" s="53"/>
      <c r="N45" s="53"/>
      <c r="O45" s="51"/>
    </row>
    <row r="46" spans="1:111" x14ac:dyDescent="0.25">
      <c r="A46" s="69" t="s">
        <v>245</v>
      </c>
      <c r="B46" s="53">
        <f>+'6.EERR G'!C17</f>
        <v>2622483304</v>
      </c>
      <c r="C46" s="53"/>
      <c r="D46" s="53">
        <v>0</v>
      </c>
      <c r="E46" s="53"/>
      <c r="F46" s="48">
        <f t="shared" si="2"/>
        <v>2622483304</v>
      </c>
      <c r="G46" s="53"/>
      <c r="H46" s="53"/>
      <c r="I46" s="53"/>
      <c r="J46" s="53"/>
      <c r="K46" s="53"/>
      <c r="L46" s="53">
        <f>-F46</f>
        <v>-2622483304</v>
      </c>
      <c r="M46" s="53"/>
      <c r="N46" s="53"/>
      <c r="O46" s="51"/>
    </row>
    <row r="47" spans="1:111" x14ac:dyDescent="0.25">
      <c r="A47" s="69" t="s">
        <v>244</v>
      </c>
      <c r="B47" s="75">
        <f>+'6.EERR G'!C19+'6.EERR G'!C20+'6.EERR G'!C22</f>
        <v>1308753268</v>
      </c>
      <c r="C47" s="53"/>
      <c r="D47" s="68">
        <v>0</v>
      </c>
      <c r="E47" s="75"/>
      <c r="F47" s="48">
        <f t="shared" si="2"/>
        <v>1308753268</v>
      </c>
      <c r="G47" s="53"/>
      <c r="H47" s="53"/>
      <c r="I47" s="53"/>
      <c r="J47" s="53"/>
      <c r="K47" s="53"/>
      <c r="L47" s="53">
        <f>-F47</f>
        <v>-1308753268</v>
      </c>
      <c r="M47" s="53"/>
      <c r="N47" s="53"/>
      <c r="O47" s="51"/>
    </row>
    <row r="48" spans="1:111" x14ac:dyDescent="0.25">
      <c r="A48" s="71" t="s">
        <v>243</v>
      </c>
      <c r="B48" s="72">
        <v>0</v>
      </c>
      <c r="C48" s="60"/>
      <c r="D48" s="59"/>
      <c r="E48" s="72"/>
      <c r="F48" s="70">
        <f t="shared" si="2"/>
        <v>0</v>
      </c>
      <c r="G48" s="57"/>
      <c r="H48" s="57"/>
      <c r="I48" s="57"/>
      <c r="J48" s="57"/>
      <c r="K48" s="57"/>
      <c r="L48" s="57">
        <f>F48</f>
        <v>0</v>
      </c>
      <c r="M48" s="57"/>
      <c r="N48" s="57"/>
      <c r="O48" s="56"/>
    </row>
    <row r="49" spans="1:15" x14ac:dyDescent="0.25">
      <c r="A49" s="67" t="s">
        <v>242</v>
      </c>
      <c r="B49" s="74">
        <v>0</v>
      </c>
      <c r="C49" s="60"/>
      <c r="D49" s="59"/>
      <c r="E49" s="72"/>
      <c r="F49" s="70">
        <f t="shared" si="2"/>
        <v>0</v>
      </c>
      <c r="G49" s="57"/>
      <c r="H49" s="57"/>
      <c r="I49" s="57"/>
      <c r="J49" s="57"/>
      <c r="K49" s="57"/>
      <c r="L49" s="57">
        <f>-F49</f>
        <v>0</v>
      </c>
      <c r="M49" s="57"/>
      <c r="N49" s="57"/>
      <c r="O49" s="56"/>
    </row>
    <row r="50" spans="1:15" x14ac:dyDescent="0.25">
      <c r="A50" s="73" t="s">
        <v>241</v>
      </c>
      <c r="B50" s="72">
        <v>0</v>
      </c>
      <c r="C50" s="60"/>
      <c r="D50" s="59"/>
      <c r="E50" s="72"/>
      <c r="F50" s="70">
        <f t="shared" si="2"/>
        <v>0</v>
      </c>
      <c r="G50" s="57"/>
      <c r="H50" s="57"/>
      <c r="I50" s="57"/>
      <c r="J50" s="57"/>
      <c r="K50" s="57"/>
      <c r="L50" s="57">
        <f>-F50</f>
        <v>0</v>
      </c>
      <c r="M50" s="57"/>
      <c r="N50" s="57"/>
      <c r="O50" s="56"/>
    </row>
    <row r="51" spans="1:15" x14ac:dyDescent="0.25">
      <c r="A51" s="71" t="s">
        <v>240</v>
      </c>
      <c r="B51" s="60">
        <v>0</v>
      </c>
      <c r="C51" s="60"/>
      <c r="D51" s="59"/>
      <c r="E51" s="60"/>
      <c r="F51" s="70">
        <f t="shared" si="2"/>
        <v>0</v>
      </c>
      <c r="G51" s="53"/>
      <c r="H51" s="53"/>
      <c r="I51" s="53"/>
      <c r="J51" s="53"/>
      <c r="K51" s="53"/>
      <c r="L51" s="53"/>
      <c r="M51" s="53"/>
      <c r="N51" s="53">
        <f>+L5-F51</f>
        <v>0</v>
      </c>
      <c r="O51" s="51"/>
    </row>
    <row r="52" spans="1:15" x14ac:dyDescent="0.25">
      <c r="A52" s="69"/>
      <c r="B52" s="52"/>
      <c r="C52" s="53"/>
      <c r="D52" s="68"/>
      <c r="E52" s="52"/>
      <c r="F52" s="48"/>
      <c r="G52" s="53"/>
      <c r="H52" s="53"/>
      <c r="I52" s="53"/>
      <c r="J52" s="53"/>
      <c r="K52" s="53"/>
      <c r="L52" s="53"/>
      <c r="M52" s="53"/>
      <c r="N52" s="53"/>
      <c r="O52" s="51"/>
    </row>
    <row r="53" spans="1:15" x14ac:dyDescent="0.25">
      <c r="A53" s="69"/>
      <c r="B53" s="53"/>
      <c r="C53" s="53"/>
      <c r="D53" s="68"/>
      <c r="E53" s="52"/>
      <c r="F53" s="48"/>
      <c r="G53" s="53"/>
      <c r="H53" s="53"/>
      <c r="I53" s="53"/>
      <c r="J53" s="53"/>
      <c r="K53" s="53"/>
      <c r="L53" s="53"/>
      <c r="M53" s="53"/>
      <c r="N53" s="53"/>
      <c r="O53" s="51"/>
    </row>
    <row r="54" spans="1:15" x14ac:dyDescent="0.25">
      <c r="A54" s="69"/>
      <c r="B54" s="53">
        <v>0</v>
      </c>
      <c r="C54" s="53"/>
      <c r="D54" s="68"/>
      <c r="E54" s="52"/>
      <c r="F54" s="48"/>
      <c r="G54" s="53"/>
      <c r="H54" s="53"/>
      <c r="I54" s="53"/>
      <c r="J54" s="53"/>
      <c r="K54" s="53"/>
      <c r="L54" s="53"/>
      <c r="M54" s="53"/>
      <c r="N54" s="53"/>
      <c r="O54" s="51"/>
    </row>
    <row r="55" spans="1:15" ht="13.8" thickBot="1" x14ac:dyDescent="0.3">
      <c r="A55" s="67" t="s">
        <v>239</v>
      </c>
      <c r="B55" s="66">
        <v>0</v>
      </c>
      <c r="C55" s="65"/>
      <c r="D55" s="64"/>
      <c r="E55" s="59"/>
      <c r="F55" s="58">
        <f>B55-E55+C55-D55</f>
        <v>0</v>
      </c>
      <c r="G55" s="63"/>
      <c r="H55" s="57"/>
      <c r="I55" s="57"/>
      <c r="J55" s="57"/>
      <c r="K55" s="57"/>
      <c r="L55" s="57">
        <f>-F55</f>
        <v>0</v>
      </c>
      <c r="M55" s="57"/>
      <c r="N55" s="57"/>
      <c r="O55" s="56"/>
    </row>
    <row r="56" spans="1:15" ht="13.8" thickBot="1" x14ac:dyDescent="0.3">
      <c r="A56" s="62" t="s">
        <v>238</v>
      </c>
      <c r="B56" s="61">
        <f>SUM(B40:B55)*-1</f>
        <v>4426620011</v>
      </c>
      <c r="C56" s="60"/>
      <c r="D56" s="59">
        <f>+B56</f>
        <v>4426620011</v>
      </c>
      <c r="E56" s="59"/>
      <c r="F56" s="58">
        <f>B56-E56+C56-D56</f>
        <v>0</v>
      </c>
      <c r="G56" s="57"/>
      <c r="H56" s="57"/>
      <c r="I56" s="57"/>
      <c r="J56" s="57"/>
      <c r="K56" s="57"/>
      <c r="L56" s="57">
        <f>-F56</f>
        <v>0</v>
      </c>
      <c r="M56" s="57"/>
      <c r="N56" s="57"/>
      <c r="O56" s="56"/>
    </row>
    <row r="57" spans="1:15" ht="13.8" thickBot="1" x14ac:dyDescent="0.3">
      <c r="A57" s="55" t="s">
        <v>237</v>
      </c>
      <c r="B57" s="54">
        <f>+B56+B37</f>
        <v>-0.48999977111816406</v>
      </c>
      <c r="C57" s="54"/>
      <c r="D57" s="54"/>
      <c r="E57" s="49"/>
      <c r="F57" s="48"/>
      <c r="G57" s="52"/>
      <c r="H57" s="52"/>
      <c r="I57" s="52"/>
      <c r="J57" s="52"/>
      <c r="K57" s="52"/>
      <c r="L57" s="53"/>
      <c r="M57" s="53"/>
      <c r="N57" s="52"/>
      <c r="O57" s="51"/>
    </row>
    <row r="58" spans="1:15" ht="14.4" thickBot="1" x14ac:dyDescent="0.3">
      <c r="A58" s="50" t="s">
        <v>108</v>
      </c>
      <c r="B58" s="49"/>
      <c r="C58" s="49">
        <f>SUM(C9:C56)</f>
        <v>-2617001672.1700001</v>
      </c>
      <c r="D58" s="49">
        <f>SUM(D9:D57)</f>
        <v>-2617001672.1700001</v>
      </c>
      <c r="E58" s="49"/>
      <c r="F58" s="48">
        <f>B58-E58+C58-D58</f>
        <v>0</v>
      </c>
      <c r="G58" s="47">
        <f t="shared" ref="G58:N58" si="3">SUM(G9:G56)</f>
        <v>1517169093.999999</v>
      </c>
      <c r="H58" s="47">
        <f t="shared" si="3"/>
        <v>0</v>
      </c>
      <c r="I58" s="47">
        <f t="shared" si="3"/>
        <v>-917666248.99999976</v>
      </c>
      <c r="J58" s="47">
        <f t="shared" si="3"/>
        <v>0</v>
      </c>
      <c r="K58" s="47">
        <f t="shared" si="3"/>
        <v>0</v>
      </c>
      <c r="L58" s="47">
        <f t="shared" si="3"/>
        <v>-10232174496.580799</v>
      </c>
      <c r="M58" s="47">
        <f t="shared" si="3"/>
        <v>-12001090014.1278</v>
      </c>
      <c r="N58" s="47">
        <f t="shared" si="3"/>
        <v>21153021501.169998</v>
      </c>
      <c r="O58" s="46">
        <f>SUM(F58:N58)</f>
        <v>-480740164.53860092</v>
      </c>
    </row>
    <row r="59" spans="1:15" ht="15.6" x14ac:dyDescent="0.3">
      <c r="B59" s="45">
        <f>+B37+B56</f>
        <v>-0.48999977111816406</v>
      </c>
      <c r="D59" s="44">
        <f>D58-C58</f>
        <v>0</v>
      </c>
      <c r="L59" s="43"/>
      <c r="O59" s="42">
        <f>O58-O9</f>
        <v>0.76209902763366699</v>
      </c>
    </row>
    <row r="60" spans="1:15" x14ac:dyDescent="0.25">
      <c r="A60" s="41"/>
      <c r="B60" s="41"/>
      <c r="C60" s="41"/>
    </row>
    <row r="61" spans="1:15" ht="21" x14ac:dyDescent="0.4">
      <c r="A61" s="40" t="s">
        <v>230</v>
      </c>
      <c r="B61" s="39"/>
      <c r="C61" s="39"/>
      <c r="D61" s="38"/>
      <c r="E61" s="38"/>
    </row>
    <row r="62" spans="1:15" ht="15" x14ac:dyDescent="0.25">
      <c r="A62" s="35"/>
      <c r="B62" s="35"/>
      <c r="C62" s="35"/>
      <c r="D62" s="27"/>
      <c r="E62" s="27">
        <v>0</v>
      </c>
    </row>
    <row r="63" spans="1:15" ht="15" x14ac:dyDescent="0.25">
      <c r="A63" s="34" t="s">
        <v>236</v>
      </c>
      <c r="B63" s="30">
        <f>+G58</f>
        <v>1517169093.999999</v>
      </c>
      <c r="C63" s="33"/>
      <c r="D63" s="30"/>
      <c r="E63" s="27"/>
    </row>
    <row r="64" spans="1:15" ht="15" x14ac:dyDescent="0.25">
      <c r="A64" s="34" t="s">
        <v>235</v>
      </c>
      <c r="B64" s="30">
        <f>+H58</f>
        <v>0</v>
      </c>
      <c r="C64" s="33"/>
      <c r="D64" s="30"/>
      <c r="E64" s="27"/>
    </row>
    <row r="65" spans="1:5" ht="15" x14ac:dyDescent="0.25">
      <c r="A65" s="34" t="s">
        <v>234</v>
      </c>
      <c r="B65" s="30">
        <f>+I58</f>
        <v>-917666248.99999976</v>
      </c>
      <c r="C65" s="33"/>
      <c r="D65" s="30"/>
      <c r="E65" s="27"/>
    </row>
    <row r="66" spans="1:5" ht="15" x14ac:dyDescent="0.25">
      <c r="A66" s="34" t="s">
        <v>233</v>
      </c>
      <c r="B66" s="30">
        <f>+K58</f>
        <v>0</v>
      </c>
      <c r="C66" s="33"/>
      <c r="D66" s="30"/>
      <c r="E66" s="27"/>
    </row>
    <row r="67" spans="1:5" ht="15" x14ac:dyDescent="0.25">
      <c r="A67" s="34" t="s">
        <v>232</v>
      </c>
      <c r="B67" s="30">
        <f>+L58</f>
        <v>-10232174496.580799</v>
      </c>
      <c r="C67" s="33"/>
      <c r="D67" s="30"/>
      <c r="E67" s="27"/>
    </row>
    <row r="68" spans="1:5" ht="15" x14ac:dyDescent="0.25">
      <c r="A68" s="34" t="s">
        <v>231</v>
      </c>
      <c r="B68" s="30">
        <f>+J58</f>
        <v>0</v>
      </c>
      <c r="C68" s="33"/>
      <c r="D68" s="30"/>
      <c r="E68" s="27"/>
    </row>
    <row r="69" spans="1:5" ht="15" x14ac:dyDescent="0.25">
      <c r="A69" s="35"/>
      <c r="B69" s="30"/>
      <c r="C69" s="33"/>
      <c r="D69" s="30"/>
      <c r="E69" s="27"/>
    </row>
    <row r="70" spans="1:5" ht="15.6" x14ac:dyDescent="0.3">
      <c r="A70" s="32" t="s">
        <v>230</v>
      </c>
      <c r="B70" s="30"/>
      <c r="C70" s="36">
        <f>SUM(B63:B68)</f>
        <v>-9632671651.5807991</v>
      </c>
      <c r="D70" s="30"/>
      <c r="E70" s="27"/>
    </row>
    <row r="71" spans="1:5" ht="15" x14ac:dyDescent="0.25">
      <c r="A71" s="35"/>
      <c r="B71" s="30"/>
      <c r="C71" s="33"/>
      <c r="D71" s="30"/>
      <c r="E71" s="27"/>
    </row>
    <row r="72" spans="1:5" ht="15" x14ac:dyDescent="0.25">
      <c r="A72" s="34" t="s">
        <v>311</v>
      </c>
      <c r="B72" s="37">
        <f>+M16</f>
        <v>-8873545036</v>
      </c>
      <c r="C72" s="33"/>
      <c r="D72" s="30"/>
      <c r="E72" s="27"/>
    </row>
    <row r="73" spans="1:5" ht="15" x14ac:dyDescent="0.25">
      <c r="A73" s="34" t="s">
        <v>229</v>
      </c>
      <c r="B73" s="37">
        <f>+M17+M19-1</f>
        <v>-548322097</v>
      </c>
      <c r="C73" s="33"/>
      <c r="D73" s="30"/>
      <c r="E73" s="27"/>
    </row>
    <row r="74" spans="1:5" ht="15" x14ac:dyDescent="0.25">
      <c r="A74" s="34" t="s">
        <v>228</v>
      </c>
      <c r="B74" s="37">
        <f>+M15</f>
        <v>-2579222882.1278009</v>
      </c>
      <c r="C74" s="33"/>
      <c r="D74" s="30"/>
      <c r="E74" s="27"/>
    </row>
    <row r="75" spans="1:5" ht="15" x14ac:dyDescent="0.25">
      <c r="A75" s="34" t="s">
        <v>227</v>
      </c>
      <c r="B75" s="37">
        <v>0</v>
      </c>
      <c r="C75" s="33"/>
      <c r="D75" s="30"/>
      <c r="E75" s="27"/>
    </row>
    <row r="76" spans="1:5" ht="15" x14ac:dyDescent="0.25">
      <c r="A76" s="34" t="s">
        <v>226</v>
      </c>
      <c r="B76" s="37">
        <v>0</v>
      </c>
      <c r="C76" s="33"/>
      <c r="D76" s="30"/>
      <c r="E76" s="27"/>
    </row>
    <row r="77" spans="1:5" ht="15" x14ac:dyDescent="0.25">
      <c r="A77" s="34"/>
      <c r="B77" s="37"/>
      <c r="C77" s="33"/>
      <c r="D77" s="30"/>
      <c r="E77" s="27"/>
    </row>
    <row r="78" spans="1:5" ht="15" x14ac:dyDescent="0.25">
      <c r="A78" s="34"/>
      <c r="B78" s="30">
        <v>0</v>
      </c>
      <c r="C78" s="33"/>
      <c r="D78" s="30"/>
      <c r="E78" s="27"/>
    </row>
    <row r="79" spans="1:5" ht="15" x14ac:dyDescent="0.25">
      <c r="A79" s="35"/>
      <c r="B79" s="30"/>
      <c r="C79" s="33"/>
      <c r="D79" s="30"/>
      <c r="E79" s="27"/>
    </row>
    <row r="80" spans="1:5" ht="15.6" x14ac:dyDescent="0.3">
      <c r="A80" s="32" t="s">
        <v>225</v>
      </c>
      <c r="B80" s="30"/>
      <c r="C80" s="36">
        <f>SUM(B72:B78)</f>
        <v>-12001090015.1278</v>
      </c>
      <c r="D80" s="30"/>
      <c r="E80" s="27"/>
    </row>
    <row r="81" spans="1:5" ht="15" x14ac:dyDescent="0.25">
      <c r="A81" s="35"/>
      <c r="B81" s="30"/>
      <c r="C81" s="33"/>
      <c r="D81" s="30"/>
      <c r="E81" s="27"/>
    </row>
    <row r="82" spans="1:5" ht="15.6" x14ac:dyDescent="0.3">
      <c r="A82" s="32" t="s">
        <v>224</v>
      </c>
      <c r="B82" s="30"/>
      <c r="C82" s="33"/>
      <c r="D82" s="30"/>
      <c r="E82" s="27"/>
    </row>
    <row r="83" spans="1:5" ht="15" x14ac:dyDescent="0.25">
      <c r="A83" s="35"/>
      <c r="B83" s="30"/>
      <c r="C83" s="33"/>
      <c r="D83" s="30"/>
      <c r="E83" s="27"/>
    </row>
    <row r="84" spans="1:5" ht="15" x14ac:dyDescent="0.25">
      <c r="A84" s="34" t="s">
        <v>223</v>
      </c>
      <c r="B84" s="30">
        <f>+N24</f>
        <v>0</v>
      </c>
      <c r="C84" s="33"/>
      <c r="D84" s="30"/>
      <c r="E84" s="27"/>
    </row>
    <row r="85" spans="1:5" ht="15" x14ac:dyDescent="0.25">
      <c r="A85" s="34" t="s">
        <v>222</v>
      </c>
      <c r="B85" s="37">
        <f>+N36</f>
        <v>-672841498.83000004</v>
      </c>
      <c r="C85" s="33"/>
      <c r="D85" s="30"/>
      <c r="E85" s="27"/>
    </row>
    <row r="86" spans="1:5" ht="15" x14ac:dyDescent="0.25">
      <c r="A86" s="34" t="s">
        <v>221</v>
      </c>
      <c r="B86" s="30">
        <f>+N30</f>
        <v>21825863000</v>
      </c>
      <c r="C86" s="33"/>
      <c r="D86" s="30"/>
      <c r="E86" s="27"/>
    </row>
    <row r="87" spans="1:5" ht="15" x14ac:dyDescent="0.25">
      <c r="A87" s="35"/>
      <c r="B87" s="30"/>
      <c r="C87" s="33"/>
      <c r="D87" s="30"/>
      <c r="E87" s="27"/>
    </row>
    <row r="88" spans="1:5" ht="15.6" x14ac:dyDescent="0.3">
      <c r="A88" s="32" t="s">
        <v>220</v>
      </c>
      <c r="B88" s="30"/>
      <c r="C88" s="36">
        <f>SUM(B84:B86)</f>
        <v>21153021501.169998</v>
      </c>
      <c r="D88" s="30"/>
      <c r="E88" s="27"/>
    </row>
    <row r="89" spans="1:5" ht="15" x14ac:dyDescent="0.25">
      <c r="A89" s="35"/>
      <c r="B89" s="30"/>
      <c r="C89" s="33"/>
      <c r="D89" s="30"/>
      <c r="E89" s="27"/>
    </row>
    <row r="90" spans="1:5" ht="15.6" x14ac:dyDescent="0.3">
      <c r="A90" s="34" t="s">
        <v>219</v>
      </c>
      <c r="B90" s="30"/>
      <c r="C90" s="33">
        <f>C88+C80+C70</f>
        <v>-480740165.53860092</v>
      </c>
      <c r="D90" s="30">
        <f>O58</f>
        <v>-480740164.53860092</v>
      </c>
      <c r="E90" s="29">
        <f>D90-C90</f>
        <v>1</v>
      </c>
    </row>
    <row r="91" spans="1:5" ht="15.6" x14ac:dyDescent="0.3">
      <c r="A91" s="34" t="s">
        <v>218</v>
      </c>
      <c r="B91" s="30"/>
      <c r="C91" s="33">
        <f>+E9</f>
        <v>1793373924</v>
      </c>
      <c r="D91" s="30"/>
      <c r="E91" s="29"/>
    </row>
    <row r="92" spans="1:5" ht="15.6" x14ac:dyDescent="0.3">
      <c r="A92" s="32" t="s">
        <v>217</v>
      </c>
      <c r="B92" s="31"/>
      <c r="C92" s="31">
        <f>SUM(C90:C91)</f>
        <v>1312633758.4613991</v>
      </c>
      <c r="D92" s="30">
        <f>B9</f>
        <v>1312633758.6993001</v>
      </c>
      <c r="E92" s="29">
        <f>D92-C92</f>
        <v>0.23790097236633301</v>
      </c>
    </row>
    <row r="93" spans="1:5" ht="15" x14ac:dyDescent="0.25">
      <c r="A93" s="27"/>
      <c r="B93" s="27"/>
      <c r="C93" s="27"/>
      <c r="D93" s="27"/>
      <c r="E93" s="27"/>
    </row>
    <row r="94" spans="1:5" ht="15" x14ac:dyDescent="0.25">
      <c r="A94" s="27"/>
      <c r="B94" s="27"/>
      <c r="C94" s="27"/>
      <c r="D94" s="27"/>
      <c r="E94" s="27"/>
    </row>
    <row r="95" spans="1:5" ht="15" x14ac:dyDescent="0.25">
      <c r="A95" s="27"/>
      <c r="B95" s="27"/>
      <c r="C95" s="28"/>
      <c r="D95" s="27"/>
      <c r="E95" s="27"/>
    </row>
    <row r="96" spans="1:5" ht="15" x14ac:dyDescent="0.25">
      <c r="A96" s="27"/>
      <c r="B96" s="27"/>
      <c r="C96" s="27"/>
      <c r="D96" s="27"/>
      <c r="E96" s="27"/>
    </row>
    <row r="97" spans="1:5" ht="15" x14ac:dyDescent="0.25">
      <c r="A97" s="27"/>
      <c r="B97" s="27"/>
      <c r="C97" s="27"/>
      <c r="D97" s="27"/>
      <c r="E97" s="27"/>
    </row>
    <row r="98" spans="1:5" ht="15" x14ac:dyDescent="0.25">
      <c r="A98" s="27"/>
      <c r="B98" s="27"/>
      <c r="C98" s="27"/>
      <c r="D98" s="27"/>
      <c r="E98" s="27"/>
    </row>
    <row r="99" spans="1:5" ht="15" x14ac:dyDescent="0.25">
      <c r="A99" s="27"/>
      <c r="B99" s="27"/>
      <c r="C99" s="27"/>
      <c r="D99" s="27"/>
      <c r="E99" s="27"/>
    </row>
    <row r="100" spans="1:5" ht="15" x14ac:dyDescent="0.25">
      <c r="A100" s="27"/>
      <c r="B100" s="27"/>
      <c r="C100" s="27"/>
      <c r="D100" s="27"/>
      <c r="E100" s="27"/>
    </row>
    <row r="101" spans="1:5" ht="15" x14ac:dyDescent="0.25">
      <c r="A101" s="27"/>
      <c r="B101" s="27"/>
      <c r="C101" s="27"/>
      <c r="D101" s="27"/>
      <c r="E101" s="27"/>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7"/>
  <sheetViews>
    <sheetView showGridLines="0" topLeftCell="B13" workbookViewId="0">
      <selection activeCell="B12" sqref="B12"/>
    </sheetView>
  </sheetViews>
  <sheetFormatPr baseColWidth="10" defaultColWidth="9.109375" defaultRowHeight="15.6" x14ac:dyDescent="0.35"/>
  <cols>
    <col min="1" max="1" width="11.88671875" style="279" customWidth="1"/>
    <col min="2" max="2" width="63.44140625" style="279" customWidth="1"/>
    <col min="3" max="3" width="23.5546875" style="400" customWidth="1"/>
    <col min="4" max="4" width="3.5546875" style="279" customWidth="1"/>
    <col min="5" max="5" width="21.33203125" style="400" customWidth="1"/>
    <col min="6" max="6" width="6.5546875" style="287" customWidth="1"/>
    <col min="7" max="7" width="17" style="287" bestFit="1" customWidth="1"/>
    <col min="8" max="8" width="12.33203125" style="287" bestFit="1" customWidth="1"/>
    <col min="9" max="9" width="19.109375" style="287" customWidth="1"/>
    <col min="10" max="10" width="12.88671875" style="287" bestFit="1" customWidth="1"/>
    <col min="11" max="16384" width="9.109375" style="287"/>
  </cols>
  <sheetData>
    <row r="1" spans="1:10" x14ac:dyDescent="0.35">
      <c r="B1" s="283"/>
      <c r="C1" s="437"/>
      <c r="E1" s="437"/>
      <c r="F1" s="283"/>
      <c r="G1" s="283"/>
      <c r="H1" s="473"/>
    </row>
    <row r="2" spans="1:10" x14ac:dyDescent="0.35">
      <c r="B2" s="283"/>
      <c r="C2" s="513"/>
      <c r="E2" s="698"/>
      <c r="F2" s="698"/>
      <c r="G2" s="698"/>
      <c r="H2" s="698"/>
    </row>
    <row r="3" spans="1:10" ht="26.4" x14ac:dyDescent="0.6">
      <c r="B3" s="690" t="s">
        <v>166</v>
      </c>
      <c r="C3" s="690"/>
      <c r="D3" s="690"/>
      <c r="E3" s="690"/>
      <c r="F3" s="369"/>
      <c r="G3" s="699"/>
      <c r="H3" s="699"/>
    </row>
    <row r="4" spans="1:10" ht="26.4" x14ac:dyDescent="0.6">
      <c r="A4" s="287"/>
      <c r="B4" s="693" t="s">
        <v>198</v>
      </c>
      <c r="C4" s="693"/>
      <c r="D4" s="693"/>
      <c r="E4" s="693"/>
    </row>
    <row r="5" spans="1:10" x14ac:dyDescent="0.35">
      <c r="A5" s="287"/>
      <c r="B5" s="685" t="s">
        <v>354</v>
      </c>
      <c r="C5" s="685"/>
      <c r="D5" s="685"/>
      <c r="E5" s="685"/>
    </row>
    <row r="6" spans="1:10" ht="16.5" customHeight="1" x14ac:dyDescent="0.35">
      <c r="A6" s="368"/>
      <c r="B6" s="692" t="s">
        <v>58</v>
      </c>
      <c r="C6" s="692"/>
      <c r="D6" s="692"/>
      <c r="E6" s="692"/>
    </row>
    <row r="7" spans="1:10" x14ac:dyDescent="0.35">
      <c r="A7" s="368"/>
      <c r="B7" s="368"/>
      <c r="C7" s="514"/>
      <c r="G7" s="515"/>
      <c r="H7" s="515"/>
      <c r="I7" s="515"/>
    </row>
    <row r="8" spans="1:10" s="540" customFormat="1" x14ac:dyDescent="0.35">
      <c r="A8" s="539"/>
      <c r="B8" s="548"/>
      <c r="C8" s="516">
        <f>+INDICE!P3</f>
        <v>2022</v>
      </c>
      <c r="D8" s="517"/>
      <c r="E8" s="641">
        <f>+INDICE!P2</f>
        <v>2021</v>
      </c>
      <c r="G8" s="541"/>
      <c r="H8" s="541"/>
      <c r="I8" s="375"/>
      <c r="J8" s="375"/>
    </row>
    <row r="9" spans="1:10" s="546" customFormat="1" x14ac:dyDescent="0.3">
      <c r="A9" s="542"/>
      <c r="B9" s="543"/>
      <c r="C9" s="544" t="s">
        <v>0</v>
      </c>
      <c r="D9" s="545"/>
      <c r="E9" s="642" t="s">
        <v>0</v>
      </c>
      <c r="G9" s="547"/>
      <c r="H9" s="547"/>
      <c r="I9" s="547"/>
    </row>
    <row r="10" spans="1:10" s="518" customFormat="1" x14ac:dyDescent="0.35">
      <c r="A10" s="279"/>
      <c r="B10" s="410"/>
      <c r="C10" s="519"/>
      <c r="D10" s="379"/>
      <c r="E10" s="643"/>
      <c r="G10" s="512"/>
      <c r="H10" s="512"/>
      <c r="I10" s="512"/>
    </row>
    <row r="11" spans="1:10" s="518" customFormat="1" x14ac:dyDescent="0.35">
      <c r="A11" s="279"/>
      <c r="B11" s="414" t="s">
        <v>1</v>
      </c>
      <c r="C11" s="520">
        <f>+'Flujo de Fondos Calculo GS'!C91</f>
        <v>1793373924</v>
      </c>
      <c r="D11" s="521"/>
      <c r="E11" s="644">
        <v>0</v>
      </c>
      <c r="G11" s="512"/>
      <c r="H11" s="512"/>
      <c r="I11" s="512"/>
    </row>
    <row r="12" spans="1:10" s="518" customFormat="1" x14ac:dyDescent="0.35">
      <c r="A12" s="279"/>
      <c r="B12" s="410" t="s">
        <v>2</v>
      </c>
      <c r="C12" s="519"/>
      <c r="D12" s="521"/>
      <c r="E12" s="643"/>
      <c r="G12" s="512"/>
      <c r="H12" s="512"/>
      <c r="I12" s="512"/>
    </row>
    <row r="13" spans="1:10" s="518" customFormat="1" x14ac:dyDescent="0.35">
      <c r="A13" s="368"/>
      <c r="B13" s="414" t="s">
        <v>3</v>
      </c>
      <c r="C13" s="522"/>
      <c r="D13" s="523"/>
      <c r="E13" s="645"/>
      <c r="G13" s="512"/>
      <c r="H13" s="524"/>
      <c r="I13" s="512"/>
    </row>
    <row r="14" spans="1:10" s="518" customFormat="1" x14ac:dyDescent="0.35">
      <c r="A14" s="368"/>
      <c r="B14" s="414" t="s">
        <v>4</v>
      </c>
      <c r="C14" s="522"/>
      <c r="D14" s="523"/>
      <c r="E14" s="645"/>
      <c r="G14" s="512"/>
      <c r="H14" s="524"/>
      <c r="I14" s="525"/>
    </row>
    <row r="15" spans="1:10" s="518" customFormat="1" x14ac:dyDescent="0.35">
      <c r="A15" s="279"/>
      <c r="B15" s="410" t="s">
        <v>5</v>
      </c>
      <c r="C15" s="526">
        <f>+'Flujo de Fondos Calculo GS'!B63</f>
        <v>1517169093.999999</v>
      </c>
      <c r="D15" s="523"/>
      <c r="E15" s="646">
        <v>-127458377</v>
      </c>
      <c r="G15" s="512"/>
      <c r="H15" s="524"/>
      <c r="I15" s="336"/>
    </row>
    <row r="16" spans="1:10" s="518" customFormat="1" x14ac:dyDescent="0.35">
      <c r="A16" s="279"/>
      <c r="B16" s="410" t="s">
        <v>6</v>
      </c>
      <c r="C16" s="527">
        <v>0</v>
      </c>
      <c r="D16" s="523"/>
      <c r="E16" s="646">
        <v>0</v>
      </c>
      <c r="G16" s="512"/>
      <c r="H16" s="524"/>
      <c r="I16" s="512"/>
    </row>
    <row r="17" spans="1:10" s="518" customFormat="1" x14ac:dyDescent="0.35">
      <c r="A17" s="279"/>
      <c r="B17" s="410" t="s">
        <v>7</v>
      </c>
      <c r="C17" s="526">
        <f>+'Flujo de Fondos Calculo GS'!B67+'Flujo de Fondos Calculo GS'!B65</f>
        <v>-11149840745.580799</v>
      </c>
      <c r="D17" s="523"/>
      <c r="E17" s="646">
        <v>696827071</v>
      </c>
      <c r="G17" s="512"/>
      <c r="H17" s="512"/>
      <c r="I17" s="512"/>
    </row>
    <row r="18" spans="1:10" s="518" customFormat="1" x14ac:dyDescent="0.35">
      <c r="A18" s="279"/>
      <c r="B18" s="410" t="s">
        <v>8</v>
      </c>
      <c r="C18" s="528">
        <f>+'4.FLUJO EFECTIVO USD'!C19*INDICE!M3</f>
        <v>0</v>
      </c>
      <c r="D18" s="523"/>
      <c r="E18" s="646">
        <v>0</v>
      </c>
      <c r="G18" s="512"/>
      <c r="H18" s="512"/>
      <c r="I18" s="512"/>
    </row>
    <row r="19" spans="1:10" s="518" customFormat="1" x14ac:dyDescent="0.35">
      <c r="A19" s="279"/>
      <c r="B19" s="410" t="s">
        <v>9</v>
      </c>
      <c r="C19" s="529">
        <f>+C15+C16+C17+C18</f>
        <v>-9632671651.5807991</v>
      </c>
      <c r="D19" s="523"/>
      <c r="E19" s="647">
        <v>569368694</v>
      </c>
      <c r="G19" s="512"/>
      <c r="H19" s="512"/>
      <c r="I19" s="512"/>
    </row>
    <row r="20" spans="1:10" s="518" customFormat="1" x14ac:dyDescent="0.35">
      <c r="A20" s="279"/>
      <c r="B20" s="410"/>
      <c r="C20" s="522"/>
      <c r="D20" s="523"/>
      <c r="E20" s="645"/>
      <c r="G20" s="512"/>
      <c r="H20" s="512"/>
      <c r="I20" s="512"/>
    </row>
    <row r="21" spans="1:10" s="518" customFormat="1" x14ac:dyDescent="0.35">
      <c r="A21" s="279"/>
      <c r="B21" s="414" t="s">
        <v>10</v>
      </c>
      <c r="C21" s="522"/>
      <c r="D21" s="523"/>
      <c r="E21" s="648"/>
      <c r="G21" s="512"/>
      <c r="H21" s="512"/>
      <c r="I21" s="512"/>
    </row>
    <row r="22" spans="1:10" s="518" customFormat="1" x14ac:dyDescent="0.35">
      <c r="A22" s="368"/>
      <c r="B22" s="410" t="s">
        <v>11</v>
      </c>
      <c r="C22" s="527">
        <v>0</v>
      </c>
      <c r="D22" s="523"/>
      <c r="E22" s="648">
        <v>0</v>
      </c>
      <c r="G22" s="512"/>
      <c r="H22" s="512"/>
      <c r="I22" s="512"/>
    </row>
    <row r="23" spans="1:10" s="518" customFormat="1" x14ac:dyDescent="0.35">
      <c r="A23" s="368"/>
      <c r="B23" s="410" t="s">
        <v>59</v>
      </c>
      <c r="C23" s="527">
        <v>0</v>
      </c>
      <c r="D23" s="523"/>
      <c r="E23" s="648">
        <v>0</v>
      </c>
      <c r="G23" s="512"/>
      <c r="H23" s="512"/>
      <c r="I23" s="512"/>
    </row>
    <row r="24" spans="1:10" s="518" customFormat="1" x14ac:dyDescent="0.35">
      <c r="A24" s="368"/>
      <c r="B24" s="410" t="s">
        <v>12</v>
      </c>
      <c r="C24" s="527">
        <f>+'Flujo de Fondos Calculo GS'!C80</f>
        <v>-12001090015.1278</v>
      </c>
      <c r="D24" s="523"/>
      <c r="E24" s="648">
        <v>-13053031481</v>
      </c>
      <c r="G24" s="512"/>
      <c r="H24" s="512"/>
      <c r="I24" s="512"/>
    </row>
    <row r="25" spans="1:10" s="518" customFormat="1" x14ac:dyDescent="0.35">
      <c r="A25" s="279"/>
      <c r="B25" s="410" t="s">
        <v>13</v>
      </c>
      <c r="C25" s="530">
        <f>+'Flujo de Fondos Calculo GS'!C88</f>
        <v>21153021501.169998</v>
      </c>
      <c r="D25" s="523"/>
      <c r="E25" s="649">
        <v>13751200000</v>
      </c>
      <c r="G25" s="512"/>
    </row>
    <row r="26" spans="1:10" s="518" customFormat="1" x14ac:dyDescent="0.35">
      <c r="A26" s="279"/>
      <c r="B26" s="410" t="s">
        <v>14</v>
      </c>
      <c r="C26" s="531">
        <f>+C24+C25+C23</f>
        <v>9151931486.0421982</v>
      </c>
      <c r="D26" s="523"/>
      <c r="E26" s="652">
        <v>698168519</v>
      </c>
      <c r="G26" s="532"/>
    </row>
    <row r="27" spans="1:10" s="518" customFormat="1" ht="16.2" thickBot="1" x14ac:dyDescent="0.4">
      <c r="A27" s="368"/>
      <c r="B27" s="414" t="s">
        <v>15</v>
      </c>
      <c r="C27" s="533">
        <f>+C19+C26+C11</f>
        <v>1312633758.4613991</v>
      </c>
      <c r="D27" s="534"/>
      <c r="E27" s="650">
        <v>1267537213</v>
      </c>
      <c r="G27" s="512"/>
      <c r="I27" s="512"/>
      <c r="J27" s="512"/>
    </row>
    <row r="28" spans="1:10" s="518" customFormat="1" ht="16.2" thickTop="1" x14ac:dyDescent="0.35">
      <c r="A28" s="279"/>
      <c r="B28" s="406"/>
      <c r="C28" s="431">
        <f>+C27-'5.BG G'!C12</f>
        <v>-0.23790097236633301</v>
      </c>
      <c r="D28" s="535"/>
      <c r="E28" s="651"/>
      <c r="G28" s="532"/>
      <c r="I28" s="512"/>
    </row>
    <row r="29" spans="1:10" s="518" customFormat="1" x14ac:dyDescent="0.35">
      <c r="A29" s="279"/>
      <c r="B29" s="279"/>
      <c r="C29" s="536">
        <f>+C27-'5.BG G'!C12</f>
        <v>-0.23790097236633301</v>
      </c>
      <c r="D29" s="537"/>
      <c r="E29" s="536"/>
      <c r="G29" s="512"/>
    </row>
    <row r="30" spans="1:10" x14ac:dyDescent="0.35">
      <c r="B30" s="279" t="s">
        <v>157</v>
      </c>
      <c r="D30" s="396"/>
      <c r="G30" s="515"/>
    </row>
    <row r="31" spans="1:10" x14ac:dyDescent="0.35">
      <c r="B31" s="332"/>
      <c r="C31" s="538"/>
      <c r="D31" s="515"/>
      <c r="E31" s="538"/>
      <c r="F31" s="515"/>
      <c r="G31" s="515"/>
      <c r="H31" s="515"/>
      <c r="I31" s="515"/>
    </row>
    <row r="32" spans="1:10" x14ac:dyDescent="0.35">
      <c r="B32" s="365"/>
      <c r="D32" s="396"/>
    </row>
    <row r="33" spans="2:7" x14ac:dyDescent="0.35">
      <c r="B33" s="332"/>
      <c r="D33" s="396"/>
    </row>
    <row r="34" spans="2:7" x14ac:dyDescent="0.35">
      <c r="D34" s="396"/>
    </row>
    <row r="35" spans="2:7" x14ac:dyDescent="0.35">
      <c r="B35" s="379"/>
      <c r="C35" s="692"/>
      <c r="D35" s="692"/>
      <c r="E35" s="692"/>
      <c r="F35" s="692"/>
      <c r="G35" s="692"/>
    </row>
    <row r="36" spans="2:7" x14ac:dyDescent="0.35">
      <c r="B36" s="379"/>
      <c r="C36" s="692"/>
      <c r="D36" s="692"/>
      <c r="E36" s="692"/>
      <c r="F36" s="692"/>
      <c r="G36" s="692"/>
    </row>
    <row r="37" spans="2:7" x14ac:dyDescent="0.35">
      <c r="D37" s="396"/>
    </row>
  </sheetData>
  <mergeCells count="9">
    <mergeCell ref="C36:G36"/>
    <mergeCell ref="B3:E3"/>
    <mergeCell ref="B6:E6"/>
    <mergeCell ref="E2:F2"/>
    <mergeCell ref="G2:H2"/>
    <mergeCell ref="G3:H3"/>
    <mergeCell ref="B4:E4"/>
    <mergeCell ref="C35:G35"/>
    <mergeCell ref="B5:E5"/>
  </mergeCells>
  <pageMargins left="0.25" right="0.25" top="0.75" bottom="0.75" header="0.3" footer="0.3"/>
  <pageSetup paperSize="9" scale="55" fitToHeight="0" orientation="portrait" r:id="rId1"/>
  <ignoredErrors>
    <ignoredError sqref="C18"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17"/>
  <sheetViews>
    <sheetView showGridLines="0" topLeftCell="A5" zoomScaleNormal="100" workbookViewId="0">
      <selection activeCell="A32" sqref="A32"/>
    </sheetView>
  </sheetViews>
  <sheetFormatPr baseColWidth="10" defaultColWidth="11.5546875" defaultRowHeight="15.6" x14ac:dyDescent="0.35"/>
  <cols>
    <col min="1" max="4" width="11.5546875" style="261"/>
    <col min="5" max="5" width="21.5546875" style="261" customWidth="1"/>
    <col min="6" max="6" width="24.109375" style="261" customWidth="1"/>
    <col min="7" max="16384" width="11.5546875" style="261"/>
  </cols>
  <sheetData>
    <row r="2" spans="1:7" ht="15" customHeight="1" x14ac:dyDescent="0.35">
      <c r="A2" s="703" t="s">
        <v>81</v>
      </c>
      <c r="B2" s="703"/>
      <c r="C2" s="703"/>
      <c r="D2" s="703"/>
      <c r="E2" s="703"/>
      <c r="F2" s="703"/>
      <c r="G2" s="703"/>
    </row>
    <row r="3" spans="1:7" x14ac:dyDescent="0.35">
      <c r="B3" s="549"/>
    </row>
    <row r="4" spans="1:7" x14ac:dyDescent="0.35">
      <c r="B4" s="549"/>
    </row>
    <row r="5" spans="1:7" x14ac:dyDescent="0.35">
      <c r="A5" s="549" t="s">
        <v>82</v>
      </c>
      <c r="B5" s="550"/>
      <c r="C5" s="550"/>
    </row>
    <row r="6" spans="1:7" x14ac:dyDescent="0.35">
      <c r="A6" s="551" t="s">
        <v>166</v>
      </c>
      <c r="B6" s="550"/>
      <c r="C6" s="550"/>
    </row>
    <row r="8" spans="1:7" x14ac:dyDescent="0.35">
      <c r="B8" s="549"/>
    </row>
    <row r="9" spans="1:7" x14ac:dyDescent="0.35">
      <c r="B9" s="704" t="s">
        <v>343</v>
      </c>
      <c r="C9" s="704"/>
      <c r="D9" s="704"/>
      <c r="E9" s="704"/>
      <c r="F9" s="704"/>
    </row>
    <row r="10" spans="1:7" x14ac:dyDescent="0.35">
      <c r="B10" s="704"/>
      <c r="C10" s="704"/>
      <c r="D10" s="704"/>
      <c r="E10" s="704"/>
      <c r="F10" s="704"/>
    </row>
    <row r="11" spans="1:7" ht="118.95" customHeight="1" x14ac:dyDescent="0.35">
      <c r="B11" s="704"/>
      <c r="C11" s="704"/>
      <c r="D11" s="704"/>
      <c r="E11" s="704"/>
      <c r="F11" s="704"/>
    </row>
    <row r="12" spans="1:7" x14ac:dyDescent="0.35">
      <c r="B12" s="549" t="s">
        <v>83</v>
      </c>
    </row>
    <row r="13" spans="1:7" x14ac:dyDescent="0.35">
      <c r="B13" s="549"/>
    </row>
    <row r="14" spans="1:7" x14ac:dyDescent="0.35">
      <c r="B14" s="549"/>
    </row>
    <row r="15" spans="1:7" x14ac:dyDescent="0.35">
      <c r="B15" s="549"/>
    </row>
    <row r="16" spans="1:7" x14ac:dyDescent="0.35">
      <c r="B16" s="551" t="s">
        <v>84</v>
      </c>
    </row>
    <row r="17" spans="2:2" x14ac:dyDescent="0.35">
      <c r="B17" s="549" t="s">
        <v>85</v>
      </c>
    </row>
  </sheetData>
  <mergeCells count="2">
    <mergeCell ref="A2:G2"/>
    <mergeCell ref="B9:F11"/>
  </mergeCells>
  <pageMargins left="1" right="1" top="1" bottom="1" header="0.5" footer="0.5"/>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178"/>
  <sheetViews>
    <sheetView showGridLines="0" topLeftCell="A62" zoomScale="85" zoomScaleNormal="85" workbookViewId="0">
      <selection activeCell="H88" sqref="H88"/>
    </sheetView>
  </sheetViews>
  <sheetFormatPr baseColWidth="10" defaultColWidth="11.5546875" defaultRowHeight="15.6" x14ac:dyDescent="0.35"/>
  <cols>
    <col min="1" max="1" width="43.33203125" style="261" customWidth="1"/>
    <col min="2" max="2" width="34.6640625" style="261" customWidth="1"/>
    <col min="3" max="3" width="17" style="261" customWidth="1"/>
    <col min="4" max="4" width="15" style="261" bestFit="1" customWidth="1"/>
    <col min="5" max="5" width="19.44140625" style="261" customWidth="1"/>
    <col min="6" max="6" width="23" style="261" bestFit="1" customWidth="1"/>
    <col min="7" max="7" width="16.33203125" style="261" customWidth="1"/>
    <col min="8" max="16384" width="11.5546875" style="261"/>
  </cols>
  <sheetData>
    <row r="2" spans="1:7" x14ac:dyDescent="0.35">
      <c r="A2" s="703" t="s">
        <v>75</v>
      </c>
      <c r="B2" s="703"/>
      <c r="C2" s="703"/>
      <c r="D2" s="703"/>
      <c r="E2" s="703"/>
      <c r="F2" s="703"/>
      <c r="G2" s="703"/>
    </row>
    <row r="3" spans="1:7" x14ac:dyDescent="0.35">
      <c r="A3" s="703" t="s">
        <v>167</v>
      </c>
      <c r="B3" s="703"/>
      <c r="C3" s="703"/>
      <c r="D3" s="703"/>
      <c r="E3" s="703"/>
      <c r="F3" s="703"/>
      <c r="G3" s="703"/>
    </row>
    <row r="4" spans="1:7" x14ac:dyDescent="0.35">
      <c r="A4" s="552"/>
      <c r="B4" s="552"/>
      <c r="C4" s="552"/>
      <c r="D4" s="552"/>
      <c r="E4" s="552"/>
      <c r="F4" s="552"/>
      <c r="G4" s="552"/>
    </row>
    <row r="5" spans="1:7" x14ac:dyDescent="0.35">
      <c r="A5" s="705" t="s">
        <v>313</v>
      </c>
      <c r="B5" s="705"/>
      <c r="C5" s="705"/>
      <c r="D5" s="705"/>
      <c r="E5" s="705"/>
      <c r="F5" s="705"/>
      <c r="G5" s="705"/>
    </row>
    <row r="6" spans="1:7" x14ac:dyDescent="0.35">
      <c r="A6" s="704" t="s">
        <v>314</v>
      </c>
      <c r="B6" s="704"/>
      <c r="C6" s="704"/>
      <c r="D6" s="704"/>
      <c r="E6" s="704"/>
      <c r="F6" s="704"/>
      <c r="G6" s="704"/>
    </row>
    <row r="7" spans="1:7" ht="45" customHeight="1" x14ac:dyDescent="0.35">
      <c r="A7" s="704" t="s">
        <v>168</v>
      </c>
      <c r="B7" s="704"/>
      <c r="C7" s="704"/>
      <c r="D7" s="704"/>
      <c r="E7" s="704"/>
      <c r="F7" s="704"/>
      <c r="G7" s="704"/>
    </row>
    <row r="8" spans="1:7" x14ac:dyDescent="0.35">
      <c r="A8" s="704" t="s">
        <v>169</v>
      </c>
      <c r="B8" s="704"/>
      <c r="C8" s="704"/>
      <c r="D8" s="704"/>
      <c r="E8" s="704"/>
      <c r="F8" s="704"/>
      <c r="G8" s="704"/>
    </row>
    <row r="9" spans="1:7" ht="100.95" customHeight="1" x14ac:dyDescent="0.35">
      <c r="A9" s="704" t="s">
        <v>170</v>
      </c>
      <c r="B9" s="704"/>
      <c r="C9" s="704"/>
      <c r="D9" s="704"/>
      <c r="E9" s="704"/>
      <c r="F9" s="704"/>
      <c r="G9" s="704"/>
    </row>
    <row r="10" spans="1:7" ht="128.4" customHeight="1" x14ac:dyDescent="0.35">
      <c r="A10" s="704"/>
      <c r="B10" s="704"/>
      <c r="C10" s="704"/>
      <c r="D10" s="704"/>
      <c r="E10" s="704"/>
      <c r="F10" s="704"/>
      <c r="G10" s="704"/>
    </row>
    <row r="11" spans="1:7" x14ac:dyDescent="0.35">
      <c r="A11" s="553"/>
      <c r="B11" s="553"/>
      <c r="C11" s="553"/>
      <c r="D11" s="553"/>
      <c r="E11" s="553"/>
      <c r="F11" s="553"/>
      <c r="G11" s="553"/>
    </row>
    <row r="12" spans="1:7" x14ac:dyDescent="0.35">
      <c r="A12" s="705" t="s">
        <v>86</v>
      </c>
      <c r="B12" s="705"/>
      <c r="C12" s="705"/>
      <c r="D12" s="705"/>
      <c r="E12" s="705"/>
      <c r="F12" s="705"/>
      <c r="G12" s="705"/>
    </row>
    <row r="13" spans="1:7" ht="36" customHeight="1" x14ac:dyDescent="0.35">
      <c r="A13" s="704" t="s">
        <v>200</v>
      </c>
      <c r="B13" s="704"/>
      <c r="C13" s="704"/>
      <c r="D13" s="704"/>
      <c r="E13" s="704"/>
      <c r="F13" s="704"/>
      <c r="G13" s="704"/>
    </row>
    <row r="14" spans="1:7" x14ac:dyDescent="0.35">
      <c r="A14" s="553"/>
      <c r="B14" s="553"/>
      <c r="C14" s="553"/>
      <c r="D14" s="553"/>
      <c r="E14" s="553"/>
      <c r="F14" s="553"/>
      <c r="G14" s="553"/>
    </row>
    <row r="15" spans="1:7" ht="15" customHeight="1" x14ac:dyDescent="0.35">
      <c r="A15" s="704" t="s">
        <v>315</v>
      </c>
      <c r="B15" s="704"/>
      <c r="C15" s="704"/>
      <c r="D15" s="704"/>
      <c r="E15" s="704"/>
      <c r="F15" s="704"/>
      <c r="G15" s="704"/>
    </row>
    <row r="16" spans="1:7" ht="15" customHeight="1" x14ac:dyDescent="0.35">
      <c r="A16" s="553"/>
      <c r="B16" s="553"/>
      <c r="C16" s="553"/>
      <c r="D16" s="553"/>
      <c r="E16" s="553"/>
      <c r="F16" s="553"/>
      <c r="G16" s="553"/>
    </row>
    <row r="17" spans="1:7" x14ac:dyDescent="0.35">
      <c r="A17" s="704" t="s">
        <v>316</v>
      </c>
      <c r="B17" s="704"/>
      <c r="C17" s="704"/>
      <c r="D17" s="704"/>
      <c r="E17" s="704"/>
      <c r="F17" s="704"/>
      <c r="G17" s="704"/>
    </row>
    <row r="18" spans="1:7" x14ac:dyDescent="0.35">
      <c r="A18" s="553"/>
      <c r="B18" s="553"/>
      <c r="C18" s="553"/>
      <c r="D18" s="553"/>
      <c r="E18" s="553"/>
      <c r="F18" s="553"/>
      <c r="G18" s="553"/>
    </row>
    <row r="19" spans="1:7" ht="45" customHeight="1" x14ac:dyDescent="0.35">
      <c r="A19" s="704" t="s">
        <v>317</v>
      </c>
      <c r="B19" s="704"/>
      <c r="C19" s="704"/>
      <c r="D19" s="704"/>
      <c r="E19" s="704"/>
      <c r="F19" s="704"/>
      <c r="G19" s="704"/>
    </row>
    <row r="20" spans="1:7" x14ac:dyDescent="0.35">
      <c r="A20" s="553"/>
      <c r="B20" s="553"/>
      <c r="C20" s="553"/>
      <c r="D20" s="553"/>
      <c r="E20" s="553"/>
      <c r="F20" s="553"/>
      <c r="G20" s="553"/>
    </row>
    <row r="21" spans="1:7" x14ac:dyDescent="0.35">
      <c r="A21" s="704" t="s">
        <v>318</v>
      </c>
      <c r="B21" s="704"/>
      <c r="C21" s="704"/>
      <c r="D21" s="704"/>
      <c r="E21" s="704"/>
      <c r="F21" s="704"/>
      <c r="G21" s="704"/>
    </row>
    <row r="22" spans="1:7" x14ac:dyDescent="0.35">
      <c r="A22" s="553"/>
      <c r="B22" s="553"/>
      <c r="C22" s="553"/>
      <c r="D22" s="553"/>
      <c r="E22" s="553"/>
      <c r="F22" s="553"/>
      <c r="G22" s="553"/>
    </row>
    <row r="23" spans="1:7" x14ac:dyDescent="0.35">
      <c r="A23" s="704" t="s">
        <v>319</v>
      </c>
      <c r="B23" s="704"/>
      <c r="C23" s="704"/>
      <c r="D23" s="704"/>
      <c r="E23" s="704"/>
      <c r="F23" s="704"/>
      <c r="G23" s="704"/>
    </row>
    <row r="24" spans="1:7" x14ac:dyDescent="0.35">
      <c r="A24" s="553"/>
      <c r="B24" s="553"/>
      <c r="C24" s="553"/>
      <c r="D24" s="553"/>
      <c r="E24" s="553"/>
      <c r="F24" s="553"/>
      <c r="G24" s="553"/>
    </row>
    <row r="25" spans="1:7" ht="54" customHeight="1" x14ac:dyDescent="0.35">
      <c r="A25" s="704" t="s">
        <v>320</v>
      </c>
      <c r="B25" s="704"/>
      <c r="C25" s="704"/>
      <c r="D25" s="704"/>
      <c r="E25" s="704"/>
      <c r="F25" s="704"/>
      <c r="G25" s="704"/>
    </row>
    <row r="26" spans="1:7" x14ac:dyDescent="0.35">
      <c r="A26" s="553"/>
      <c r="B26" s="553"/>
      <c r="C26" s="553"/>
      <c r="D26" s="553"/>
      <c r="E26" s="553"/>
      <c r="F26" s="553"/>
      <c r="G26" s="553"/>
    </row>
    <row r="27" spans="1:7" ht="29.25" customHeight="1" x14ac:dyDescent="0.35">
      <c r="A27" s="704" t="s">
        <v>321</v>
      </c>
      <c r="B27" s="704"/>
      <c r="C27" s="704"/>
      <c r="D27" s="704"/>
      <c r="E27" s="704"/>
      <c r="F27" s="704"/>
      <c r="G27" s="704"/>
    </row>
    <row r="28" spans="1:7" ht="29.25" customHeight="1" x14ac:dyDescent="0.35">
      <c r="A28" s="553"/>
      <c r="B28" s="553"/>
      <c r="C28" s="553"/>
      <c r="D28" s="553"/>
      <c r="E28" s="553"/>
      <c r="F28" s="553"/>
      <c r="G28" s="553"/>
    </row>
    <row r="29" spans="1:7" ht="33.6" customHeight="1" x14ac:dyDescent="0.35">
      <c r="A29" s="704" t="s">
        <v>322</v>
      </c>
      <c r="B29" s="704"/>
      <c r="C29" s="704"/>
      <c r="D29" s="704"/>
      <c r="E29" s="704"/>
      <c r="F29" s="704"/>
      <c r="G29" s="704"/>
    </row>
    <row r="30" spans="1:7" x14ac:dyDescent="0.35">
      <c r="A30" s="553"/>
      <c r="B30" s="553"/>
      <c r="C30" s="553"/>
      <c r="D30" s="553"/>
      <c r="E30" s="553"/>
      <c r="F30" s="553"/>
      <c r="G30" s="553"/>
    </row>
    <row r="31" spans="1:7" x14ac:dyDescent="0.35">
      <c r="A31" s="704" t="s">
        <v>323</v>
      </c>
      <c r="B31" s="704"/>
      <c r="C31" s="704"/>
      <c r="D31" s="704"/>
      <c r="E31" s="704"/>
      <c r="F31" s="704"/>
      <c r="G31" s="704"/>
    </row>
    <row r="32" spans="1:7" x14ac:dyDescent="0.35">
      <c r="A32" s="553"/>
      <c r="B32" s="553"/>
      <c r="C32" s="553"/>
      <c r="D32" s="553"/>
      <c r="E32" s="553"/>
      <c r="F32" s="553"/>
      <c r="G32" s="553"/>
    </row>
    <row r="33" spans="1:7" x14ac:dyDescent="0.35">
      <c r="A33" s="706" t="s">
        <v>87</v>
      </c>
      <c r="B33" s="707"/>
      <c r="C33" s="707"/>
      <c r="D33" s="707"/>
      <c r="E33" s="707"/>
      <c r="F33" s="707"/>
      <c r="G33" s="707"/>
    </row>
    <row r="34" spans="1:7" ht="15" customHeight="1" x14ac:dyDescent="0.35">
      <c r="A34" s="554"/>
      <c r="B34" s="553"/>
      <c r="C34" s="553"/>
      <c r="D34" s="553"/>
      <c r="E34" s="553"/>
      <c r="F34" s="553"/>
      <c r="G34" s="553"/>
    </row>
    <row r="35" spans="1:7" ht="31.95" customHeight="1" x14ac:dyDescent="0.35">
      <c r="A35" s="704" t="s">
        <v>324</v>
      </c>
      <c r="B35" s="704"/>
      <c r="C35" s="704"/>
      <c r="D35" s="704"/>
      <c r="E35" s="704"/>
      <c r="F35" s="704"/>
      <c r="G35" s="704"/>
    </row>
    <row r="36" spans="1:7" x14ac:dyDescent="0.35">
      <c r="A36" s="553"/>
      <c r="B36" s="553"/>
      <c r="C36" s="553"/>
      <c r="D36" s="553"/>
      <c r="E36" s="553"/>
      <c r="F36" s="553"/>
      <c r="G36" s="553"/>
    </row>
    <row r="37" spans="1:7" x14ac:dyDescent="0.35">
      <c r="A37" s="704" t="s">
        <v>325</v>
      </c>
      <c r="B37" s="704"/>
      <c r="C37" s="704"/>
      <c r="D37" s="704"/>
      <c r="E37" s="704"/>
      <c r="F37" s="704"/>
      <c r="G37" s="704"/>
    </row>
    <row r="38" spans="1:7" x14ac:dyDescent="0.35">
      <c r="A38" s="553"/>
      <c r="B38" s="553"/>
      <c r="C38" s="553"/>
      <c r="D38" s="553"/>
      <c r="E38" s="553"/>
      <c r="F38" s="553"/>
      <c r="G38" s="553"/>
    </row>
    <row r="39" spans="1:7" ht="34.200000000000003" customHeight="1" x14ac:dyDescent="0.35">
      <c r="A39" s="704" t="s">
        <v>326</v>
      </c>
      <c r="B39" s="704"/>
      <c r="C39" s="704"/>
      <c r="D39" s="704"/>
      <c r="E39" s="704"/>
      <c r="F39" s="704"/>
      <c r="G39" s="704"/>
    </row>
    <row r="40" spans="1:7" x14ac:dyDescent="0.35">
      <c r="A40" s="553"/>
      <c r="B40" s="553"/>
      <c r="C40" s="553"/>
      <c r="D40" s="553"/>
      <c r="E40" s="553"/>
      <c r="F40" s="553"/>
      <c r="G40" s="553"/>
    </row>
    <row r="41" spans="1:7" ht="34.950000000000003" customHeight="1" x14ac:dyDescent="0.35">
      <c r="A41" s="704" t="s">
        <v>327</v>
      </c>
      <c r="B41" s="704"/>
      <c r="C41" s="704"/>
      <c r="D41" s="704"/>
      <c r="E41" s="704"/>
      <c r="F41" s="704"/>
      <c r="G41" s="704"/>
    </row>
    <row r="42" spans="1:7" x14ac:dyDescent="0.35">
      <c r="A42" s="549"/>
      <c r="B42" s="550"/>
      <c r="C42" s="550"/>
      <c r="D42" s="550"/>
      <c r="E42" s="550"/>
    </row>
    <row r="43" spans="1:7" x14ac:dyDescent="0.35">
      <c r="A43" s="703" t="s">
        <v>88</v>
      </c>
      <c r="B43" s="703"/>
      <c r="C43" s="703"/>
      <c r="D43" s="703"/>
      <c r="E43" s="703"/>
      <c r="F43" s="703"/>
      <c r="G43" s="703"/>
    </row>
    <row r="44" spans="1:7" ht="67.95" customHeight="1" x14ac:dyDescent="0.35">
      <c r="A44" s="704" t="s">
        <v>171</v>
      </c>
      <c r="B44" s="704"/>
      <c r="C44" s="704"/>
      <c r="D44" s="704"/>
      <c r="E44" s="704"/>
      <c r="F44" s="704"/>
      <c r="G44" s="704"/>
    </row>
    <row r="45" spans="1:7" ht="24.6" customHeight="1" x14ac:dyDescent="0.35">
      <c r="A45" s="704"/>
      <c r="B45" s="704"/>
      <c r="C45" s="704"/>
      <c r="D45" s="704"/>
      <c r="E45" s="704"/>
      <c r="F45" s="704"/>
      <c r="G45" s="704"/>
    </row>
    <row r="46" spans="1:7" ht="15.75" customHeight="1" x14ac:dyDescent="0.35">
      <c r="A46" s="704" t="s">
        <v>328</v>
      </c>
      <c r="B46" s="704"/>
      <c r="C46" s="704"/>
      <c r="D46" s="704"/>
      <c r="E46" s="704"/>
      <c r="F46" s="704"/>
      <c r="G46" s="704"/>
    </row>
    <row r="47" spans="1:7" ht="13.5" customHeight="1" x14ac:dyDescent="0.35">
      <c r="A47" s="704"/>
      <c r="B47" s="704"/>
      <c r="C47" s="704"/>
      <c r="D47" s="704"/>
      <c r="E47" s="704"/>
      <c r="F47" s="704"/>
      <c r="G47" s="704"/>
    </row>
    <row r="48" spans="1:7" ht="13.5" customHeight="1" x14ac:dyDescent="0.35">
      <c r="A48" s="704" t="s">
        <v>329</v>
      </c>
      <c r="B48" s="704"/>
      <c r="C48" s="704"/>
      <c r="D48" s="704"/>
      <c r="E48" s="704"/>
      <c r="F48" s="704"/>
      <c r="G48" s="704"/>
    </row>
    <row r="49" spans="1:7" x14ac:dyDescent="0.35">
      <c r="A49" s="704"/>
      <c r="B49" s="704"/>
      <c r="C49" s="704"/>
      <c r="D49" s="704"/>
      <c r="E49" s="704"/>
      <c r="F49" s="704"/>
      <c r="G49" s="704"/>
    </row>
    <row r="50" spans="1:7" x14ac:dyDescent="0.35">
      <c r="A50" s="703" t="s">
        <v>89</v>
      </c>
      <c r="B50" s="703"/>
      <c r="C50" s="703"/>
      <c r="D50" s="703"/>
      <c r="E50" s="703"/>
      <c r="F50" s="703"/>
      <c r="G50" s="703"/>
    </row>
    <row r="51" spans="1:7" ht="15" customHeight="1" x14ac:dyDescent="0.35">
      <c r="A51" s="704"/>
      <c r="B51" s="704"/>
      <c r="C51" s="704"/>
      <c r="D51" s="704"/>
      <c r="E51" s="704"/>
      <c r="F51" s="704"/>
      <c r="G51" s="704"/>
    </row>
    <row r="52" spans="1:7" x14ac:dyDescent="0.35">
      <c r="A52" s="704"/>
      <c r="B52" s="704"/>
      <c r="C52" s="704"/>
      <c r="D52" s="704"/>
      <c r="E52" s="704"/>
      <c r="F52" s="704"/>
      <c r="G52" s="704"/>
    </row>
    <row r="53" spans="1:7" x14ac:dyDescent="0.35">
      <c r="A53" s="704"/>
      <c r="B53" s="704"/>
      <c r="C53" s="704"/>
      <c r="D53" s="704"/>
      <c r="E53" s="704"/>
      <c r="F53" s="704"/>
      <c r="G53" s="704"/>
    </row>
    <row r="54" spans="1:7" x14ac:dyDescent="0.35">
      <c r="A54" s="708" t="s">
        <v>90</v>
      </c>
      <c r="B54" s="708"/>
      <c r="C54" s="708"/>
      <c r="D54" s="708"/>
      <c r="E54" s="708"/>
      <c r="F54" s="708"/>
      <c r="G54" s="708"/>
    </row>
    <row r="55" spans="1:7" ht="31.2" customHeight="1" x14ac:dyDescent="0.35">
      <c r="A55" s="704" t="s">
        <v>360</v>
      </c>
      <c r="B55" s="704"/>
      <c r="C55" s="704"/>
      <c r="D55" s="704"/>
      <c r="E55" s="704"/>
      <c r="F55" s="704"/>
      <c r="G55" s="704"/>
    </row>
    <row r="56" spans="1:7" ht="36" customHeight="1" x14ac:dyDescent="0.35">
      <c r="A56" s="704"/>
      <c r="B56" s="704"/>
      <c r="C56" s="704"/>
      <c r="D56" s="704"/>
      <c r="E56" s="704"/>
      <c r="F56" s="704"/>
      <c r="G56" s="704"/>
    </row>
    <row r="57" spans="1:7" ht="36" customHeight="1" x14ac:dyDescent="0.35">
      <c r="A57" s="553"/>
      <c r="B57" s="553"/>
      <c r="C57" s="553"/>
      <c r="D57" s="553"/>
      <c r="E57" s="553"/>
      <c r="F57" s="553"/>
      <c r="G57" s="553"/>
    </row>
    <row r="58" spans="1:7" x14ac:dyDescent="0.35">
      <c r="A58" s="708" t="s">
        <v>91</v>
      </c>
      <c r="B58" s="708"/>
      <c r="C58" s="708"/>
      <c r="D58" s="708"/>
      <c r="E58" s="708"/>
      <c r="F58" s="708"/>
      <c r="G58" s="708"/>
    </row>
    <row r="59" spans="1:7" x14ac:dyDescent="0.35">
      <c r="A59" s="704" t="s">
        <v>182</v>
      </c>
      <c r="B59" s="704"/>
      <c r="C59" s="704"/>
      <c r="D59" s="704"/>
      <c r="E59" s="704"/>
      <c r="F59" s="704"/>
      <c r="G59" s="704"/>
    </row>
    <row r="60" spans="1:7" x14ac:dyDescent="0.35">
      <c r="A60" s="553"/>
      <c r="B60" s="553"/>
      <c r="C60" s="553"/>
      <c r="D60" s="553"/>
      <c r="E60" s="553"/>
      <c r="F60" s="553"/>
      <c r="G60" s="553"/>
    </row>
    <row r="61" spans="1:7" x14ac:dyDescent="0.35">
      <c r="A61" s="705" t="s">
        <v>92</v>
      </c>
      <c r="B61" s="705"/>
      <c r="C61" s="705"/>
      <c r="D61" s="705"/>
      <c r="E61" s="705"/>
      <c r="F61" s="705"/>
      <c r="G61" s="705"/>
    </row>
    <row r="62" spans="1:7" ht="20.25" customHeight="1" x14ac:dyDescent="0.35">
      <c r="A62" s="704" t="s">
        <v>185</v>
      </c>
      <c r="B62" s="704"/>
      <c r="C62" s="704"/>
      <c r="D62" s="704"/>
      <c r="E62" s="704"/>
      <c r="F62" s="704"/>
      <c r="G62" s="704"/>
    </row>
    <row r="63" spans="1:7" ht="23.25" customHeight="1" x14ac:dyDescent="0.35">
      <c r="A63" s="704"/>
      <c r="B63" s="704"/>
      <c r="C63" s="704"/>
      <c r="D63" s="704"/>
      <c r="E63" s="704"/>
      <c r="F63" s="704"/>
      <c r="G63" s="704"/>
    </row>
    <row r="64" spans="1:7" x14ac:dyDescent="0.35">
      <c r="A64" s="708" t="s">
        <v>93</v>
      </c>
      <c r="B64" s="708"/>
      <c r="C64" s="708"/>
      <c r="D64" s="708"/>
      <c r="E64" s="708"/>
      <c r="F64" s="708"/>
      <c r="G64" s="708"/>
    </row>
    <row r="65" spans="1:7" ht="15.75" customHeight="1" x14ac:dyDescent="0.35">
      <c r="A65" s="704" t="s">
        <v>330</v>
      </c>
      <c r="B65" s="704"/>
      <c r="C65" s="704"/>
      <c r="D65" s="704"/>
      <c r="E65" s="704"/>
      <c r="F65" s="704"/>
      <c r="G65" s="704"/>
    </row>
    <row r="66" spans="1:7" x14ac:dyDescent="0.35">
      <c r="A66" s="704"/>
      <c r="B66" s="704"/>
      <c r="C66" s="704"/>
      <c r="D66" s="704"/>
      <c r="E66" s="704"/>
      <c r="F66" s="704"/>
      <c r="G66" s="704"/>
    </row>
    <row r="67" spans="1:7" x14ac:dyDescent="0.35">
      <c r="A67" s="553"/>
      <c r="B67" s="553"/>
      <c r="C67" s="553"/>
      <c r="D67" s="553"/>
      <c r="E67" s="553"/>
      <c r="F67" s="553"/>
      <c r="G67" s="553"/>
    </row>
    <row r="68" spans="1:7" x14ac:dyDescent="0.35">
      <c r="A68" s="705" t="s">
        <v>94</v>
      </c>
      <c r="B68" s="705"/>
      <c r="C68" s="705"/>
      <c r="D68" s="705"/>
      <c r="E68" s="705"/>
      <c r="F68" s="705"/>
      <c r="G68" s="705"/>
    </row>
    <row r="69" spans="1:7" ht="17.25" customHeight="1" x14ac:dyDescent="0.35">
      <c r="A69" s="704" t="s">
        <v>172</v>
      </c>
      <c r="B69" s="704"/>
      <c r="C69" s="704"/>
      <c r="D69" s="704"/>
      <c r="E69" s="704"/>
      <c r="F69" s="704"/>
      <c r="G69" s="704"/>
    </row>
    <row r="70" spans="1:7" ht="16.5" customHeight="1" x14ac:dyDescent="0.35">
      <c r="A70" s="704"/>
      <c r="B70" s="704"/>
      <c r="C70" s="704"/>
      <c r="D70" s="704"/>
      <c r="E70" s="704"/>
      <c r="F70" s="704"/>
      <c r="G70" s="704"/>
    </row>
    <row r="71" spans="1:7" x14ac:dyDescent="0.35">
      <c r="A71" s="704" t="s">
        <v>361</v>
      </c>
      <c r="B71" s="708"/>
      <c r="C71" s="708"/>
      <c r="D71" s="708"/>
      <c r="E71" s="708"/>
      <c r="F71" s="708"/>
      <c r="G71" s="708"/>
    </row>
    <row r="72" spans="1:7" x14ac:dyDescent="0.35">
      <c r="A72" s="553"/>
      <c r="B72" s="554"/>
      <c r="C72" s="554"/>
      <c r="D72" s="554"/>
      <c r="E72" s="554"/>
      <c r="F72" s="554"/>
      <c r="G72" s="554"/>
    </row>
    <row r="73" spans="1:7" x14ac:dyDescent="0.35">
      <c r="A73" s="704" t="s">
        <v>331</v>
      </c>
      <c r="B73" s="704"/>
      <c r="C73" s="704"/>
      <c r="D73" s="704"/>
      <c r="E73" s="704"/>
      <c r="F73" s="704"/>
      <c r="G73" s="704"/>
    </row>
    <row r="74" spans="1:7" x14ac:dyDescent="0.35">
      <c r="A74" s="553"/>
      <c r="B74" s="553"/>
      <c r="C74" s="553"/>
      <c r="D74" s="553"/>
      <c r="E74" s="553"/>
      <c r="F74" s="553"/>
      <c r="G74" s="553"/>
    </row>
    <row r="75" spans="1:7" ht="47.4" customHeight="1" x14ac:dyDescent="0.35">
      <c r="A75" s="704" t="s">
        <v>332</v>
      </c>
      <c r="B75" s="704"/>
      <c r="C75" s="704"/>
      <c r="D75" s="704"/>
      <c r="E75" s="704"/>
      <c r="F75" s="704"/>
      <c r="G75" s="704"/>
    </row>
    <row r="76" spans="1:7" ht="47.4" customHeight="1" x14ac:dyDescent="0.35">
      <c r="A76" s="704" t="s">
        <v>333</v>
      </c>
      <c r="B76" s="704"/>
      <c r="C76" s="704"/>
      <c r="D76" s="704"/>
      <c r="E76" s="704"/>
      <c r="F76" s="704"/>
      <c r="G76" s="704"/>
    </row>
    <row r="77" spans="1:7" s="704" customFormat="1" x14ac:dyDescent="0.3">
      <c r="A77" s="704" t="s">
        <v>334</v>
      </c>
    </row>
    <row r="78" spans="1:7" ht="30.75" customHeight="1" x14ac:dyDescent="0.35">
      <c r="A78" s="708" t="s">
        <v>335</v>
      </c>
      <c r="B78" s="708"/>
      <c r="C78" s="708"/>
      <c r="D78" s="708"/>
      <c r="E78" s="708"/>
      <c r="F78" s="708"/>
      <c r="G78" s="708"/>
    </row>
    <row r="79" spans="1:7" x14ac:dyDescent="0.35">
      <c r="A79" s="551"/>
      <c r="B79" s="550"/>
      <c r="C79" s="550"/>
      <c r="D79" s="550"/>
      <c r="E79" s="550"/>
    </row>
    <row r="80" spans="1:7" ht="31.2" x14ac:dyDescent="0.35">
      <c r="B80" s="555"/>
      <c r="C80" s="556" t="s">
        <v>95</v>
      </c>
      <c r="D80" s="556" t="s">
        <v>96</v>
      </c>
    </row>
    <row r="81" spans="1:7" x14ac:dyDescent="0.35">
      <c r="B81" s="557" t="s">
        <v>97</v>
      </c>
      <c r="C81" s="558">
        <f>+INDICE!M2</f>
        <v>7078.87</v>
      </c>
      <c r="D81" s="558">
        <v>6921.52</v>
      </c>
    </row>
    <row r="82" spans="1:7" x14ac:dyDescent="0.35">
      <c r="B82" s="557" t="s">
        <v>365</v>
      </c>
      <c r="C82" s="558">
        <f>+INDICE!M3</f>
        <v>7078.87</v>
      </c>
      <c r="D82" s="558">
        <v>6931.47</v>
      </c>
    </row>
    <row r="83" spans="1:7" x14ac:dyDescent="0.35">
      <c r="A83" s="551"/>
      <c r="B83" s="550"/>
      <c r="C83" s="550"/>
      <c r="D83" s="550"/>
    </row>
    <row r="84" spans="1:7" x14ac:dyDescent="0.35">
      <c r="A84" s="551"/>
      <c r="B84" s="550"/>
      <c r="C84" s="550"/>
      <c r="D84" s="550"/>
      <c r="E84" s="550"/>
    </row>
    <row r="85" spans="1:7" x14ac:dyDescent="0.35">
      <c r="A85" s="551" t="s">
        <v>98</v>
      </c>
      <c r="B85" s="550"/>
      <c r="C85" s="550"/>
      <c r="D85" s="550"/>
      <c r="E85" s="550"/>
    </row>
    <row r="86" spans="1:7" x14ac:dyDescent="0.35">
      <c r="A86" s="551"/>
      <c r="B86" s="550"/>
      <c r="C86" s="550"/>
      <c r="D86" s="550"/>
      <c r="E86" s="550"/>
    </row>
    <row r="87" spans="1:7" ht="46.8" x14ac:dyDescent="0.35">
      <c r="A87" s="556" t="s">
        <v>99</v>
      </c>
      <c r="B87" s="556" t="s">
        <v>100</v>
      </c>
      <c r="C87" s="556" t="s">
        <v>101</v>
      </c>
      <c r="D87" s="556" t="s">
        <v>102</v>
      </c>
      <c r="E87" s="556" t="s">
        <v>103</v>
      </c>
    </row>
    <row r="88" spans="1:7" x14ac:dyDescent="0.35">
      <c r="A88" s="557" t="s">
        <v>104</v>
      </c>
      <c r="B88" s="559" t="s">
        <v>77</v>
      </c>
      <c r="C88" s="560">
        <v>1237600.17</v>
      </c>
      <c r="D88" s="558">
        <f>+C81</f>
        <v>7078.87</v>
      </c>
      <c r="E88" s="561">
        <f>+C88*D88</f>
        <v>8760810715.4078999</v>
      </c>
    </row>
    <row r="89" spans="1:7" x14ac:dyDescent="0.35">
      <c r="A89" s="557" t="s">
        <v>105</v>
      </c>
      <c r="B89" s="559" t="s">
        <v>77</v>
      </c>
      <c r="C89" s="562">
        <v>27500</v>
      </c>
      <c r="D89" s="558">
        <f>+C82</f>
        <v>7078.87</v>
      </c>
      <c r="E89" s="561">
        <f>+C89*D89</f>
        <v>194668925</v>
      </c>
      <c r="G89" s="563"/>
    </row>
    <row r="90" spans="1:7" x14ac:dyDescent="0.35">
      <c r="A90" s="551"/>
      <c r="B90" s="550"/>
      <c r="C90" s="550"/>
      <c r="D90" s="550"/>
      <c r="E90" s="550"/>
    </row>
    <row r="92" spans="1:7" x14ac:dyDescent="0.35">
      <c r="A92" s="705" t="s">
        <v>186</v>
      </c>
      <c r="B92" s="705"/>
      <c r="C92" s="705"/>
      <c r="D92" s="705"/>
      <c r="E92" s="705"/>
      <c r="F92" s="705"/>
    </row>
    <row r="93" spans="1:7" ht="24" customHeight="1" x14ac:dyDescent="0.35">
      <c r="A93" s="709" t="s">
        <v>206</v>
      </c>
      <c r="B93" s="709"/>
      <c r="C93" s="709"/>
      <c r="D93" s="709"/>
      <c r="E93" s="709"/>
      <c r="F93" s="709"/>
    </row>
    <row r="94" spans="1:7" ht="30.75" customHeight="1" x14ac:dyDescent="0.35">
      <c r="A94" s="709"/>
      <c r="B94" s="709"/>
      <c r="C94" s="709"/>
      <c r="D94" s="709"/>
      <c r="E94" s="709"/>
      <c r="F94" s="709"/>
    </row>
    <row r="95" spans="1:7" ht="22.5" customHeight="1" x14ac:dyDescent="0.35">
      <c r="A95" s="709"/>
      <c r="B95" s="709"/>
      <c r="C95" s="709"/>
      <c r="D95" s="709"/>
      <c r="E95" s="709"/>
      <c r="F95" s="709"/>
    </row>
    <row r="96" spans="1:7" x14ac:dyDescent="0.35">
      <c r="A96" s="708" t="s">
        <v>187</v>
      </c>
      <c r="B96" s="708"/>
      <c r="C96" s="708"/>
      <c r="D96" s="708"/>
      <c r="E96" s="708"/>
      <c r="F96" s="708"/>
    </row>
    <row r="97" spans="1:8" x14ac:dyDescent="0.35">
      <c r="A97" s="551"/>
      <c r="B97" s="550"/>
      <c r="C97" s="550"/>
      <c r="D97" s="550"/>
      <c r="E97" s="550"/>
    </row>
    <row r="98" spans="1:8" ht="23.25" customHeight="1" x14ac:dyDescent="0.35">
      <c r="A98" s="709" t="s">
        <v>336</v>
      </c>
      <c r="B98" s="709"/>
      <c r="C98" s="709"/>
      <c r="D98" s="709"/>
      <c r="E98" s="709"/>
      <c r="F98" s="709"/>
    </row>
    <row r="99" spans="1:8" x14ac:dyDescent="0.35">
      <c r="A99" s="709"/>
      <c r="B99" s="709"/>
      <c r="C99" s="709"/>
      <c r="D99" s="709"/>
      <c r="E99" s="709"/>
      <c r="F99" s="709"/>
    </row>
    <row r="100" spans="1:8" x14ac:dyDescent="0.35">
      <c r="A100" s="704" t="s">
        <v>337</v>
      </c>
      <c r="B100" s="704"/>
      <c r="C100" s="704"/>
      <c r="D100" s="704"/>
      <c r="E100" s="704"/>
      <c r="F100" s="704"/>
    </row>
    <row r="101" spans="1:8" x14ac:dyDescent="0.35">
      <c r="A101" s="704"/>
      <c r="B101" s="704"/>
      <c r="C101" s="704"/>
      <c r="D101" s="704"/>
      <c r="E101" s="704"/>
      <c r="F101" s="704"/>
    </row>
    <row r="103" spans="1:8" ht="46.8" x14ac:dyDescent="0.35">
      <c r="A103" s="556" t="s">
        <v>106</v>
      </c>
      <c r="B103" s="556" t="s">
        <v>100</v>
      </c>
      <c r="C103" s="556" t="s">
        <v>101</v>
      </c>
      <c r="D103" s="556" t="s">
        <v>214</v>
      </c>
      <c r="E103" s="556" t="s">
        <v>103</v>
      </c>
    </row>
    <row r="104" spans="1:8" x14ac:dyDescent="0.35">
      <c r="A104" s="557" t="s">
        <v>107</v>
      </c>
      <c r="B104" s="559" t="s">
        <v>77</v>
      </c>
      <c r="C104" s="560">
        <f>+'2.EERR USD'!C17</f>
        <v>378968.28987031901</v>
      </c>
      <c r="D104" s="560">
        <f>+'6.EERR G'!C6</f>
        <v>6920.06</v>
      </c>
      <c r="E104" s="564">
        <f>+C104*D104</f>
        <v>2622483304</v>
      </c>
      <c r="G104" s="565"/>
      <c r="H104" s="563"/>
    </row>
    <row r="105" spans="1:8" x14ac:dyDescent="0.35">
      <c r="A105" s="557" t="s">
        <v>208</v>
      </c>
      <c r="B105" s="559" t="s">
        <v>77</v>
      </c>
      <c r="C105" s="560">
        <f>+'2.EERR USD'!C20</f>
        <v>150670.59606419597</v>
      </c>
      <c r="D105" s="560">
        <v>6920.06</v>
      </c>
      <c r="E105" s="564">
        <f>+C105*D105</f>
        <v>1042649565</v>
      </c>
      <c r="G105" s="565"/>
      <c r="H105" s="563"/>
    </row>
    <row r="106" spans="1:8" x14ac:dyDescent="0.35">
      <c r="A106" s="557" t="s">
        <v>152</v>
      </c>
      <c r="B106" s="559" t="s">
        <v>77</v>
      </c>
      <c r="C106" s="560">
        <f>+'2.EERR USD'!C19</f>
        <v>467.69088707323345</v>
      </c>
      <c r="D106" s="560">
        <v>6920.06</v>
      </c>
      <c r="E106" s="564">
        <f>+C106*D106</f>
        <v>3236449</v>
      </c>
      <c r="G106" s="565"/>
    </row>
    <row r="107" spans="1:8" x14ac:dyDescent="0.35">
      <c r="A107" s="557" t="s">
        <v>209</v>
      </c>
      <c r="B107" s="559" t="s">
        <v>77</v>
      </c>
      <c r="C107" s="560">
        <f>+'2.EERR USD'!C21</f>
        <v>204354.14042652806</v>
      </c>
      <c r="D107" s="560">
        <v>6920.06</v>
      </c>
      <c r="E107" s="564">
        <f>+C107*D107</f>
        <v>1414142912.9999998</v>
      </c>
    </row>
    <row r="108" spans="1:8" x14ac:dyDescent="0.35">
      <c r="A108" s="557" t="s">
        <v>364</v>
      </c>
      <c r="B108" s="559" t="s">
        <v>77</v>
      </c>
      <c r="C108" s="560">
        <f>+'2.EERR USD'!C22</f>
        <v>93396.36</v>
      </c>
      <c r="D108" s="560">
        <v>6920.06</v>
      </c>
      <c r="E108" s="564">
        <f>+C108*D108</f>
        <v>646308414.98160005</v>
      </c>
    </row>
    <row r="109" spans="1:8" x14ac:dyDescent="0.35">
      <c r="A109" s="711" t="s">
        <v>108</v>
      </c>
      <c r="B109" s="712"/>
      <c r="C109" s="566">
        <f>SUM(C104:C108)</f>
        <v>827857.07724811626</v>
      </c>
      <c r="D109" s="566"/>
      <c r="E109" s="566">
        <f>SUM(E104:E108)</f>
        <v>5728820645.9815998</v>
      </c>
    </row>
    <row r="110" spans="1:8" x14ac:dyDescent="0.35">
      <c r="A110" s="551"/>
      <c r="B110" s="550"/>
      <c r="C110" s="567">
        <f>+C109-'2.EERR USD'!C23</f>
        <v>0</v>
      </c>
      <c r="D110" s="550"/>
      <c r="E110" s="550"/>
    </row>
    <row r="111" spans="1:8" x14ac:dyDescent="0.35">
      <c r="A111" s="551" t="s">
        <v>188</v>
      </c>
      <c r="B111" s="550"/>
      <c r="C111" s="550"/>
      <c r="D111" s="550"/>
      <c r="E111" s="550"/>
    </row>
    <row r="112" spans="1:8" x14ac:dyDescent="0.35">
      <c r="B112" s="550"/>
      <c r="C112" s="550"/>
      <c r="D112" s="550"/>
      <c r="E112" s="550"/>
    </row>
    <row r="113" spans="1:8" ht="93.6" x14ac:dyDescent="0.35">
      <c r="A113" s="556" t="s">
        <v>109</v>
      </c>
      <c r="B113" s="556" t="s">
        <v>110</v>
      </c>
      <c r="C113" s="556" t="s">
        <v>173</v>
      </c>
      <c r="D113" s="556" t="s">
        <v>111</v>
      </c>
      <c r="E113" s="550"/>
    </row>
    <row r="114" spans="1:8" x14ac:dyDescent="0.35">
      <c r="A114" s="555" t="s">
        <v>112</v>
      </c>
      <c r="B114" s="568"/>
      <c r="C114" s="569"/>
      <c r="D114" s="559"/>
      <c r="E114" s="550"/>
    </row>
    <row r="115" spans="1:8" x14ac:dyDescent="0.35">
      <c r="A115" s="557" t="s">
        <v>113</v>
      </c>
      <c r="B115" s="570">
        <v>1008.13738</v>
      </c>
      <c r="C115" s="561">
        <v>3011505.5414440939</v>
      </c>
      <c r="D115" s="561">
        <v>55</v>
      </c>
      <c r="E115" s="550"/>
    </row>
    <row r="116" spans="1:8" x14ac:dyDescent="0.35">
      <c r="A116" s="557" t="s">
        <v>114</v>
      </c>
      <c r="B116" s="570">
        <v>1021.240587</v>
      </c>
      <c r="C116" s="561">
        <v>3063721.7609999999</v>
      </c>
      <c r="D116" s="561">
        <v>55</v>
      </c>
      <c r="E116" s="550"/>
    </row>
    <row r="117" spans="1:8" x14ac:dyDescent="0.35">
      <c r="A117" s="557" t="s">
        <v>115</v>
      </c>
      <c r="B117" s="570">
        <v>1044.8318260937033</v>
      </c>
      <c r="C117" s="561">
        <v>5892851.4991684863</v>
      </c>
      <c r="D117" s="561">
        <v>67</v>
      </c>
      <c r="E117" s="550"/>
    </row>
    <row r="118" spans="1:8" x14ac:dyDescent="0.35">
      <c r="A118" s="555" t="s">
        <v>116</v>
      </c>
      <c r="B118" s="571"/>
      <c r="C118" s="572"/>
      <c r="D118" s="559"/>
      <c r="E118" s="550"/>
    </row>
    <row r="119" spans="1:8" x14ac:dyDescent="0.35">
      <c r="A119" s="557" t="s">
        <v>117</v>
      </c>
      <c r="B119" s="570">
        <v>1024.7265319148935</v>
      </c>
      <c r="C119" s="561">
        <v>5779457.6399999997</v>
      </c>
      <c r="D119" s="561">
        <v>70</v>
      </c>
      <c r="E119" s="550"/>
      <c r="F119" s="666"/>
      <c r="G119" s="573"/>
    </row>
    <row r="120" spans="1:8" x14ac:dyDescent="0.35">
      <c r="A120" s="557" t="s">
        <v>118</v>
      </c>
      <c r="B120" s="570">
        <v>1012.9280623133203</v>
      </c>
      <c r="C120" s="561">
        <v>6077568.3738799216</v>
      </c>
      <c r="D120" s="561">
        <v>74</v>
      </c>
      <c r="E120" s="550"/>
      <c r="F120" s="666"/>
      <c r="G120" s="667"/>
      <c r="H120" s="668"/>
    </row>
    <row r="121" spans="1:8" x14ac:dyDescent="0.35">
      <c r="A121" s="557" t="s">
        <v>119</v>
      </c>
      <c r="B121" s="570">
        <v>1062.9229037266666</v>
      </c>
      <c r="C121" s="561">
        <v>6377537.4223600002</v>
      </c>
      <c r="D121" s="561">
        <v>86</v>
      </c>
      <c r="E121" s="550"/>
      <c r="F121" s="666"/>
      <c r="G121" s="669"/>
      <c r="H121" s="668"/>
    </row>
    <row r="122" spans="1:8" x14ac:dyDescent="0.35">
      <c r="A122" s="555" t="s">
        <v>120</v>
      </c>
      <c r="B122" s="559"/>
      <c r="C122" s="572"/>
      <c r="D122" s="559"/>
      <c r="E122" s="550"/>
      <c r="F122" s="573"/>
    </row>
    <row r="123" spans="1:8" x14ac:dyDescent="0.35">
      <c r="A123" s="557" t="s">
        <v>121</v>
      </c>
      <c r="B123" s="655">
        <v>1048.3608857655106</v>
      </c>
      <c r="C123" s="656">
        <v>6290165.3145930637</v>
      </c>
      <c r="D123" s="656">
        <v>86</v>
      </c>
      <c r="E123" s="550"/>
    </row>
    <row r="124" spans="1:8" x14ac:dyDescent="0.35">
      <c r="A124" s="557" t="s">
        <v>122</v>
      </c>
      <c r="B124" s="655">
        <v>1032.4264552147122</v>
      </c>
      <c r="C124" s="656">
        <v>6194558.7312882729</v>
      </c>
      <c r="D124" s="656">
        <v>86</v>
      </c>
      <c r="E124" s="550"/>
      <c r="F124" s="574"/>
    </row>
    <row r="125" spans="1:8" x14ac:dyDescent="0.35">
      <c r="A125" s="557" t="s">
        <v>123</v>
      </c>
      <c r="B125" s="655">
        <f>'1.BG USD'!$C$55</f>
        <v>1081.8760283333334</v>
      </c>
      <c r="C125" s="656">
        <f>'1.BG USD'!$C$56</f>
        <v>6491256.1699999999</v>
      </c>
      <c r="D125" s="656">
        <v>86</v>
      </c>
      <c r="E125" s="575"/>
      <c r="F125" s="576"/>
      <c r="G125" s="574"/>
    </row>
    <row r="126" spans="1:8" x14ac:dyDescent="0.35">
      <c r="A126" s="555" t="s">
        <v>124</v>
      </c>
      <c r="B126" s="559"/>
      <c r="C126" s="572"/>
      <c r="D126" s="559"/>
      <c r="E126" s="550"/>
      <c r="F126" s="574"/>
      <c r="G126" s="574"/>
    </row>
    <row r="127" spans="1:8" x14ac:dyDescent="0.35">
      <c r="A127" s="557" t="s">
        <v>125</v>
      </c>
      <c r="B127" s="570">
        <v>0</v>
      </c>
      <c r="C127" s="561">
        <v>0</v>
      </c>
      <c r="D127" s="561">
        <v>0</v>
      </c>
      <c r="E127" s="550"/>
      <c r="F127" s="574"/>
      <c r="G127" s="574"/>
    </row>
    <row r="128" spans="1:8" x14ac:dyDescent="0.35">
      <c r="A128" s="557" t="s">
        <v>126</v>
      </c>
      <c r="B128" s="570">
        <v>0</v>
      </c>
      <c r="C128" s="561">
        <v>0</v>
      </c>
      <c r="D128" s="561">
        <v>0</v>
      </c>
      <c r="E128" s="550"/>
      <c r="G128" s="573"/>
    </row>
    <row r="129" spans="1:7" x14ac:dyDescent="0.35">
      <c r="A129" s="557" t="s">
        <v>127</v>
      </c>
      <c r="B129" s="570">
        <v>0</v>
      </c>
      <c r="C129" s="561">
        <v>0</v>
      </c>
      <c r="D129" s="561">
        <v>0</v>
      </c>
      <c r="E129" s="550"/>
    </row>
    <row r="130" spans="1:7" x14ac:dyDescent="0.35">
      <c r="A130" s="551"/>
      <c r="B130" s="550"/>
      <c r="C130" s="550"/>
      <c r="D130" s="550"/>
      <c r="E130" s="550"/>
    </row>
    <row r="131" spans="1:7" x14ac:dyDescent="0.35">
      <c r="A131" s="703" t="s">
        <v>128</v>
      </c>
      <c r="B131" s="703"/>
      <c r="C131" s="703"/>
      <c r="D131" s="703"/>
      <c r="E131" s="703"/>
      <c r="F131" s="703"/>
      <c r="G131" s="703"/>
    </row>
    <row r="132" spans="1:7" x14ac:dyDescent="0.35">
      <c r="A132" s="551"/>
      <c r="B132" s="550"/>
      <c r="C132" s="550"/>
      <c r="D132" s="550"/>
      <c r="E132" s="550"/>
    </row>
    <row r="133" spans="1:7" x14ac:dyDescent="0.35">
      <c r="A133" s="551" t="s">
        <v>129</v>
      </c>
      <c r="B133" s="550"/>
      <c r="C133" s="550"/>
      <c r="D133" s="550"/>
      <c r="E133" s="550"/>
    </row>
    <row r="134" spans="1:7" x14ac:dyDescent="0.35">
      <c r="A134" s="704" t="s">
        <v>164</v>
      </c>
      <c r="B134" s="704"/>
      <c r="C134" s="704"/>
      <c r="D134" s="704"/>
      <c r="E134" s="704"/>
    </row>
    <row r="135" spans="1:7" x14ac:dyDescent="0.35">
      <c r="A135" s="704"/>
      <c r="B135" s="704"/>
      <c r="C135" s="704"/>
      <c r="D135" s="704"/>
      <c r="E135" s="704"/>
    </row>
    <row r="136" spans="1:7" x14ac:dyDescent="0.35">
      <c r="B136" s="710" t="s">
        <v>39</v>
      </c>
      <c r="C136" s="710"/>
      <c r="D136" s="710"/>
      <c r="E136" s="550"/>
    </row>
    <row r="137" spans="1:7" ht="31.2" x14ac:dyDescent="0.35">
      <c r="B137" s="556" t="s">
        <v>17</v>
      </c>
      <c r="C137" s="556" t="s">
        <v>362</v>
      </c>
      <c r="D137" s="556" t="s">
        <v>207</v>
      </c>
      <c r="E137" s="550"/>
    </row>
    <row r="138" spans="1:7" x14ac:dyDescent="0.35">
      <c r="B138" s="577" t="s">
        <v>363</v>
      </c>
      <c r="C138" s="578">
        <f>+'[4]BALANCE GENERAL'!$I$17</f>
        <v>24155.69914407243</v>
      </c>
      <c r="D138" s="578">
        <v>0</v>
      </c>
      <c r="E138" s="550"/>
    </row>
    <row r="139" spans="1:7" x14ac:dyDescent="0.35">
      <c r="B139" s="577" t="s">
        <v>183</v>
      </c>
      <c r="C139" s="578">
        <f>+'[4]BALANCE GENERAL'!$I$19</f>
        <v>5728.174977079675</v>
      </c>
      <c r="D139" s="578">
        <f>+'[8]BALANCE GENERAL'!$I$17</f>
        <v>249081.6646072297</v>
      </c>
      <c r="E139" s="550"/>
    </row>
    <row r="140" spans="1:7" x14ac:dyDescent="0.35">
      <c r="B140" s="557" t="s">
        <v>184</v>
      </c>
      <c r="C140" s="578">
        <f>+'[4]BALANCE GENERAL'!$I$20</f>
        <v>25257.78</v>
      </c>
      <c r="D140" s="578">
        <f>+'[8]BALANCE GENERAL'!$I$18</f>
        <v>11931.8</v>
      </c>
      <c r="E140" s="550"/>
    </row>
    <row r="141" spans="1:7" x14ac:dyDescent="0.35">
      <c r="B141" s="557" t="s">
        <v>189</v>
      </c>
      <c r="C141" s="578">
        <f>+'[4]BALANCE GENERAL'!$I$22</f>
        <v>83883.579723882489</v>
      </c>
      <c r="D141" s="578">
        <v>0</v>
      </c>
      <c r="E141" s="550"/>
    </row>
    <row r="142" spans="1:7" x14ac:dyDescent="0.35">
      <c r="B142" s="557" t="s">
        <v>190</v>
      </c>
      <c r="C142" s="578">
        <f>+'[4]BALANCE GENERAL'!$I$23</f>
        <v>46404.61</v>
      </c>
      <c r="D142" s="578">
        <v>0</v>
      </c>
      <c r="E142" s="550"/>
    </row>
    <row r="143" spans="1:7" x14ac:dyDescent="0.35">
      <c r="B143" s="555" t="s">
        <v>108</v>
      </c>
      <c r="C143" s="566">
        <f>SUM(C138:C142)</f>
        <v>185429.8438450346</v>
      </c>
      <c r="D143" s="566">
        <f>SUM(D139:D142)</f>
        <v>261013.46460722969</v>
      </c>
      <c r="E143" s="550"/>
    </row>
    <row r="144" spans="1:7" x14ac:dyDescent="0.35">
      <c r="A144" s="550"/>
      <c r="B144" s="550"/>
      <c r="C144" s="550"/>
      <c r="D144" s="550"/>
      <c r="E144" s="550"/>
    </row>
    <row r="145" spans="1:5" x14ac:dyDescent="0.35">
      <c r="A145" s="551" t="s">
        <v>149</v>
      </c>
      <c r="B145" s="550"/>
      <c r="C145" s="550"/>
      <c r="D145" s="550"/>
      <c r="E145" s="550"/>
    </row>
    <row r="146" spans="1:5" x14ac:dyDescent="0.35">
      <c r="A146" s="550"/>
      <c r="B146" s="550"/>
      <c r="C146" s="550"/>
      <c r="D146" s="550"/>
      <c r="E146" s="550"/>
    </row>
    <row r="147" spans="1:5" x14ac:dyDescent="0.35">
      <c r="A147" s="658" t="s">
        <v>150</v>
      </c>
      <c r="B147" s="550"/>
      <c r="C147" s="550"/>
      <c r="D147" s="550"/>
      <c r="E147" s="550"/>
    </row>
    <row r="148" spans="1:5" x14ac:dyDescent="0.35">
      <c r="A148" s="551"/>
      <c r="B148" s="550"/>
      <c r="C148" s="550"/>
      <c r="D148" s="550"/>
      <c r="E148" s="550"/>
    </row>
    <row r="149" spans="1:5" ht="17.25" customHeight="1" x14ac:dyDescent="0.35">
      <c r="A149" s="551" t="s">
        <v>130</v>
      </c>
      <c r="B149" s="550"/>
      <c r="C149" s="550"/>
      <c r="D149" s="550"/>
      <c r="E149" s="550"/>
    </row>
    <row r="150" spans="1:5" ht="17.25" customHeight="1" x14ac:dyDescent="0.35">
      <c r="A150" s="551"/>
      <c r="B150" s="550"/>
      <c r="C150" s="550"/>
      <c r="D150" s="550"/>
      <c r="E150" s="550"/>
    </row>
    <row r="151" spans="1:5" ht="17.25" customHeight="1" x14ac:dyDescent="0.35">
      <c r="A151" s="549" t="s">
        <v>153</v>
      </c>
      <c r="B151" s="550"/>
      <c r="C151" s="550"/>
      <c r="D151" s="550"/>
      <c r="E151" s="550"/>
    </row>
    <row r="152" spans="1:5" ht="17.25" customHeight="1" x14ac:dyDescent="0.35">
      <c r="A152" s="549"/>
      <c r="B152" s="550"/>
      <c r="C152" s="550"/>
      <c r="D152" s="550"/>
      <c r="E152" s="550"/>
    </row>
    <row r="153" spans="1:5" ht="17.25" customHeight="1" x14ac:dyDescent="0.35">
      <c r="A153" s="579" t="s">
        <v>154</v>
      </c>
      <c r="B153" s="550"/>
      <c r="C153" s="550"/>
      <c r="D153" s="550"/>
      <c r="E153" s="550"/>
    </row>
    <row r="154" spans="1:5" x14ac:dyDescent="0.35">
      <c r="A154" s="551"/>
      <c r="B154" s="550"/>
      <c r="C154" s="550"/>
      <c r="D154" s="550"/>
      <c r="E154" s="550"/>
    </row>
    <row r="155" spans="1:5" ht="31.2" x14ac:dyDescent="0.35">
      <c r="A155" s="556" t="s">
        <v>106</v>
      </c>
      <c r="B155" s="556" t="s">
        <v>95</v>
      </c>
      <c r="C155" s="556" t="s">
        <v>96</v>
      </c>
      <c r="E155" s="550"/>
    </row>
    <row r="156" spans="1:5" x14ac:dyDescent="0.35">
      <c r="A156" s="557" t="s">
        <v>131</v>
      </c>
      <c r="B156" s="580">
        <f>+'1.BG USD'!C44</f>
        <v>0</v>
      </c>
      <c r="C156" s="581">
        <f>+'1.BG USD'!D44</f>
        <v>59319.89</v>
      </c>
      <c r="E156" s="550"/>
    </row>
    <row r="157" spans="1:5" x14ac:dyDescent="0.35">
      <c r="A157" s="555" t="s">
        <v>108</v>
      </c>
      <c r="B157" s="582">
        <f>SUM(B156:B156)</f>
        <v>0</v>
      </c>
      <c r="C157" s="582">
        <f>SUM(C156:C156)</f>
        <v>59319.89</v>
      </c>
      <c r="E157" s="550"/>
    </row>
    <row r="158" spans="1:5" ht="15" customHeight="1" x14ac:dyDescent="0.35">
      <c r="A158" s="551"/>
      <c r="B158" s="550"/>
      <c r="C158" s="550"/>
      <c r="D158" s="550"/>
      <c r="E158" s="550"/>
    </row>
    <row r="159" spans="1:5" x14ac:dyDescent="0.35">
      <c r="A159" s="384" t="s">
        <v>161</v>
      </c>
      <c r="B159" s="550"/>
      <c r="C159" s="550"/>
      <c r="D159" s="550"/>
      <c r="E159" s="550"/>
    </row>
    <row r="160" spans="1:5" ht="15.6" customHeight="1" x14ac:dyDescent="0.35">
      <c r="A160" s="583" t="s">
        <v>344</v>
      </c>
      <c r="B160" s="583"/>
      <c r="C160" s="583"/>
      <c r="D160" s="550"/>
      <c r="E160" s="550"/>
    </row>
    <row r="161" spans="1:4" x14ac:dyDescent="0.35">
      <c r="A161" s="584"/>
      <c r="B161" s="585"/>
      <c r="C161" s="585"/>
      <c r="D161" s="585"/>
    </row>
    <row r="162" spans="1:4" x14ac:dyDescent="0.35">
      <c r="A162" s="585"/>
      <c r="B162" s="585"/>
      <c r="C162" s="585"/>
      <c r="D162" s="585"/>
    </row>
    <row r="163" spans="1:4" x14ac:dyDescent="0.35">
      <c r="A163" s="585"/>
      <c r="B163" s="585"/>
      <c r="C163" s="585"/>
      <c r="D163" s="585"/>
    </row>
    <row r="164" spans="1:4" x14ac:dyDescent="0.35">
      <c r="A164" s="585"/>
      <c r="B164" s="585"/>
      <c r="C164" s="585"/>
      <c r="D164" s="585"/>
    </row>
    <row r="165" spans="1:4" x14ac:dyDescent="0.35">
      <c r="A165" s="585"/>
      <c r="B165" s="585"/>
      <c r="C165" s="585"/>
      <c r="D165" s="585"/>
    </row>
    <row r="166" spans="1:4" x14ac:dyDescent="0.35">
      <c r="A166" s="585"/>
      <c r="B166" s="585"/>
      <c r="C166" s="585"/>
      <c r="D166" s="585"/>
    </row>
    <row r="167" spans="1:4" x14ac:dyDescent="0.35">
      <c r="A167" s="585"/>
      <c r="B167" s="585"/>
      <c r="C167" s="585"/>
      <c r="D167" s="585"/>
    </row>
    <row r="168" spans="1:4" x14ac:dyDescent="0.35">
      <c r="A168" s="585"/>
      <c r="B168" s="585"/>
      <c r="C168" s="585"/>
      <c r="D168" s="585"/>
    </row>
    <row r="169" spans="1:4" x14ac:dyDescent="0.35">
      <c r="A169" s="585"/>
      <c r="B169" s="585"/>
      <c r="C169" s="585"/>
      <c r="D169" s="585"/>
    </row>
    <row r="170" spans="1:4" x14ac:dyDescent="0.35">
      <c r="A170" s="585"/>
      <c r="B170" s="585"/>
      <c r="C170" s="585"/>
      <c r="D170" s="585"/>
    </row>
    <row r="171" spans="1:4" x14ac:dyDescent="0.35">
      <c r="A171" s="585"/>
      <c r="B171" s="585"/>
      <c r="C171" s="585"/>
      <c r="D171" s="585"/>
    </row>
    <row r="172" spans="1:4" x14ac:dyDescent="0.35">
      <c r="A172" s="585"/>
      <c r="B172" s="585"/>
      <c r="C172" s="585"/>
      <c r="D172" s="585"/>
    </row>
    <row r="173" spans="1:4" x14ac:dyDescent="0.35">
      <c r="A173" s="585"/>
      <c r="B173" s="585"/>
      <c r="C173" s="585"/>
      <c r="D173" s="585"/>
    </row>
    <row r="174" spans="1:4" x14ac:dyDescent="0.35">
      <c r="A174" s="585"/>
      <c r="B174" s="585"/>
      <c r="C174" s="585"/>
      <c r="D174" s="585"/>
    </row>
    <row r="175" spans="1:4" x14ac:dyDescent="0.35">
      <c r="A175" s="585"/>
      <c r="B175" s="585"/>
      <c r="C175" s="585"/>
      <c r="D175" s="585"/>
    </row>
    <row r="176" spans="1:4" x14ac:dyDescent="0.35">
      <c r="A176" s="585"/>
      <c r="B176" s="585"/>
      <c r="C176" s="585"/>
      <c r="D176" s="585"/>
    </row>
    <row r="177" spans="1:4" x14ac:dyDescent="0.35">
      <c r="A177" s="585"/>
      <c r="B177" s="585"/>
      <c r="C177" s="585"/>
      <c r="D177" s="585"/>
    </row>
    <row r="178" spans="1:4" x14ac:dyDescent="0.35">
      <c r="A178" s="585"/>
      <c r="B178" s="585"/>
      <c r="C178" s="585"/>
      <c r="D178" s="585"/>
    </row>
  </sheetData>
  <mergeCells count="54">
    <mergeCell ref="A96:F96"/>
    <mergeCell ref="A98:F99"/>
    <mergeCell ref="A100:F101"/>
    <mergeCell ref="A134:E135"/>
    <mergeCell ref="B136:D136"/>
    <mergeCell ref="A109:B109"/>
    <mergeCell ref="A131:G131"/>
    <mergeCell ref="A93:F95"/>
    <mergeCell ref="A64:G64"/>
    <mergeCell ref="A65:G66"/>
    <mergeCell ref="A68:G68"/>
    <mergeCell ref="A69:G70"/>
    <mergeCell ref="A71:G71"/>
    <mergeCell ref="A73:G73"/>
    <mergeCell ref="A75:G75"/>
    <mergeCell ref="A76:G76"/>
    <mergeCell ref="A77:XFD77"/>
    <mergeCell ref="A78:G78"/>
    <mergeCell ref="A92:F92"/>
    <mergeCell ref="A62:G63"/>
    <mergeCell ref="A43:G43"/>
    <mergeCell ref="A44:G45"/>
    <mergeCell ref="A46:G47"/>
    <mergeCell ref="A48:G49"/>
    <mergeCell ref="A50:G50"/>
    <mergeCell ref="A51:G53"/>
    <mergeCell ref="A54:G54"/>
    <mergeCell ref="A55:G56"/>
    <mergeCell ref="A58:G58"/>
    <mergeCell ref="A59:G59"/>
    <mergeCell ref="A61:G61"/>
    <mergeCell ref="A35:G35"/>
    <mergeCell ref="A37:G37"/>
    <mergeCell ref="A41:G41"/>
    <mergeCell ref="A39:G39"/>
    <mergeCell ref="A25:G25"/>
    <mergeCell ref="A27:G27"/>
    <mergeCell ref="A29:G29"/>
    <mergeCell ref="A31:G31"/>
    <mergeCell ref="A33:G33"/>
    <mergeCell ref="A19:G19"/>
    <mergeCell ref="A21:G21"/>
    <mergeCell ref="A23:G23"/>
    <mergeCell ref="A17:G17"/>
    <mergeCell ref="A2:G2"/>
    <mergeCell ref="A3:G3"/>
    <mergeCell ref="A5:G5"/>
    <mergeCell ref="A6:G6"/>
    <mergeCell ref="A7:G7"/>
    <mergeCell ref="A8:G8"/>
    <mergeCell ref="A9:G10"/>
    <mergeCell ref="A12:G12"/>
    <mergeCell ref="A13:G13"/>
    <mergeCell ref="A15:G15"/>
  </mergeCells>
  <hyperlinks>
    <hyperlink ref="A147" location="'11.Cuadro de Inversiones'!A1" display="Ver Cuadro" xr:uid="{00000000-0004-0000-0A00-000000000000}"/>
  </hyperlinks>
  <pageMargins left="0.7" right="0.7" top="0.75" bottom="0.75" header="0.3" footer="0.3"/>
  <pageSetup paperSize="9" scale="5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3"/>
  <sheetViews>
    <sheetView showGridLines="0" zoomScale="85" zoomScaleNormal="85" workbookViewId="0">
      <pane ySplit="7" topLeftCell="A14" activePane="bottomLeft" state="frozen"/>
      <selection activeCell="A32" sqref="A32"/>
      <selection pane="bottomLeft" activeCell="F22" sqref="F22"/>
    </sheetView>
  </sheetViews>
  <sheetFormatPr baseColWidth="10" defaultColWidth="11.44140625" defaultRowHeight="14.4" x14ac:dyDescent="0.3"/>
  <cols>
    <col min="1" max="1" width="11.44140625" style="2"/>
    <col min="2" max="2" width="35.6640625" style="2" customWidth="1"/>
    <col min="3" max="3" width="33.109375" style="2" customWidth="1"/>
    <col min="4" max="4" width="25" style="2" customWidth="1"/>
    <col min="5" max="5" width="12.109375" style="2" customWidth="1"/>
    <col min="6" max="6" width="13.109375" style="2" bestFit="1" customWidth="1"/>
    <col min="7" max="7" width="15.88671875" style="2" customWidth="1"/>
    <col min="8" max="8" width="21.5546875" style="2" customWidth="1"/>
    <col min="9" max="10" width="16.88671875" style="2" bestFit="1" customWidth="1"/>
    <col min="11" max="11" width="22" style="2" customWidth="1"/>
    <col min="12" max="12" width="19" style="2" customWidth="1"/>
    <col min="13" max="13" width="12.88671875" style="2" customWidth="1"/>
    <col min="14" max="14" width="16.44140625" style="2" customWidth="1"/>
    <col min="15" max="15" width="18.5546875" style="2" customWidth="1"/>
    <col min="16" max="16" width="13.6640625" style="2" customWidth="1"/>
    <col min="17" max="16384" width="11.44140625" style="2"/>
  </cols>
  <sheetData>
    <row r="1" spans="1:18" ht="18" x14ac:dyDescent="0.3">
      <c r="B1" s="17" t="s">
        <v>132</v>
      </c>
      <c r="C1" s="17"/>
      <c r="D1" s="17"/>
      <c r="E1" s="17"/>
      <c r="F1" s="17"/>
      <c r="G1" s="17"/>
      <c r="H1" s="17"/>
    </row>
    <row r="2" spans="1:18" ht="18" x14ac:dyDescent="0.35">
      <c r="B2" s="713" t="str">
        <f>+"COMPOSICIÓN DE LAS INVERSIONES DEL FONDO DE INVERSION IN GANADERO DOLARES AMERICANOS CORRESPONDIENTE AL 30 DE SETIEMBRE 2022"</f>
        <v>COMPOSICIÓN DE LAS INVERSIONES DEL FONDO DE INVERSION IN GANADERO DOLARES AMERICANOS CORRESPONDIENTE AL 30 DE SETIEMBRE 2022</v>
      </c>
      <c r="C2" s="713"/>
      <c r="D2" s="713"/>
      <c r="E2" s="713"/>
      <c r="F2" s="713"/>
      <c r="G2" s="713"/>
      <c r="H2" s="713"/>
      <c r="I2" s="713"/>
      <c r="J2" s="713"/>
      <c r="K2" s="713"/>
      <c r="L2" s="25"/>
      <c r="M2" s="25"/>
    </row>
    <row r="4" spans="1:18" ht="86.25" customHeight="1" x14ac:dyDescent="0.3">
      <c r="B4" s="3" t="s">
        <v>348</v>
      </c>
      <c r="C4" s="3" t="s">
        <v>133</v>
      </c>
      <c r="D4" s="3" t="s">
        <v>137</v>
      </c>
      <c r="E4" s="3" t="s">
        <v>138</v>
      </c>
      <c r="F4" s="3" t="s">
        <v>139</v>
      </c>
      <c r="G4" s="3" t="s">
        <v>134</v>
      </c>
      <c r="H4" s="3" t="s">
        <v>140</v>
      </c>
      <c r="I4" s="3" t="s">
        <v>135</v>
      </c>
      <c r="J4" s="3" t="s">
        <v>141</v>
      </c>
      <c r="K4" s="3" t="s">
        <v>142</v>
      </c>
      <c r="L4" s="3" t="s">
        <v>143</v>
      </c>
      <c r="M4" s="3" t="s">
        <v>144</v>
      </c>
      <c r="N4" s="3" t="s">
        <v>145</v>
      </c>
      <c r="O4" s="3" t="s">
        <v>146</v>
      </c>
      <c r="P4" s="3" t="s">
        <v>147</v>
      </c>
    </row>
    <row r="5" spans="1:18" ht="15" customHeight="1" x14ac:dyDescent="0.3">
      <c r="B5" s="610" t="s">
        <v>347</v>
      </c>
      <c r="C5" s="610" t="s">
        <v>215</v>
      </c>
      <c r="D5" s="610" t="s">
        <v>346</v>
      </c>
      <c r="E5" s="611" t="s">
        <v>148</v>
      </c>
      <c r="F5" s="611">
        <v>44470</v>
      </c>
      <c r="G5" s="634">
        <v>47025</v>
      </c>
      <c r="H5" s="612" t="s">
        <v>174</v>
      </c>
      <c r="I5" s="613">
        <v>324851.42983218515</v>
      </c>
      <c r="J5" s="613">
        <v>216741.75753335084</v>
      </c>
      <c r="K5" s="613">
        <v>231675.29691849661</v>
      </c>
      <c r="L5" s="613">
        <v>326127.23131979542</v>
      </c>
      <c r="M5" s="614">
        <v>6.7000000000000004E-2</v>
      </c>
      <c r="N5" s="615">
        <v>0.25</v>
      </c>
      <c r="O5" s="615">
        <f t="shared" ref="O5:O16" si="0">K5/$C$19</f>
        <v>3.569036421474283E-2</v>
      </c>
      <c r="P5" s="615">
        <f t="shared" ref="P5:P16" si="1">SUMIFS($O$5:$O$16,$C$5:$C$16,C5)</f>
        <v>3.7956882023357723E-2</v>
      </c>
    </row>
    <row r="6" spans="1:18" ht="15" customHeight="1" x14ac:dyDescent="0.3">
      <c r="B6" s="610" t="s">
        <v>347</v>
      </c>
      <c r="C6" s="610" t="s">
        <v>366</v>
      </c>
      <c r="D6" s="610" t="s">
        <v>367</v>
      </c>
      <c r="E6" s="611" t="s">
        <v>148</v>
      </c>
      <c r="F6" s="611">
        <v>44566</v>
      </c>
      <c r="G6" s="634">
        <v>46128</v>
      </c>
      <c r="H6" s="612" t="s">
        <v>174</v>
      </c>
      <c r="I6" s="613">
        <v>4689.9753813193347</v>
      </c>
      <c r="J6" s="613">
        <v>3210.2839990387979</v>
      </c>
      <c r="K6" s="613">
        <v>3457.9116347985396</v>
      </c>
      <c r="L6" s="613">
        <v>4689.9753813193347</v>
      </c>
      <c r="M6" s="614">
        <v>0.10249999999999999</v>
      </c>
      <c r="N6" s="615">
        <v>0.25</v>
      </c>
      <c r="O6" s="615">
        <f t="shared" si="0"/>
        <v>5.3270299988769968E-4</v>
      </c>
      <c r="P6" s="615">
        <f t="shared" si="1"/>
        <v>2.1448034351707205E-3</v>
      </c>
    </row>
    <row r="7" spans="1:18" customFormat="1" x14ac:dyDescent="0.3">
      <c r="A7" s="2"/>
      <c r="B7" s="610" t="s">
        <v>347</v>
      </c>
      <c r="C7" s="610" t="s">
        <v>366</v>
      </c>
      <c r="D7" s="610" t="s">
        <v>367</v>
      </c>
      <c r="E7" s="611" t="s">
        <v>148</v>
      </c>
      <c r="F7" s="611">
        <v>44566</v>
      </c>
      <c r="G7" s="634">
        <v>45909</v>
      </c>
      <c r="H7" s="612" t="s">
        <v>174</v>
      </c>
      <c r="I7" s="613">
        <v>4221.1674872294589</v>
      </c>
      <c r="J7" s="613">
        <v>3035.9231784101244</v>
      </c>
      <c r="K7" s="613">
        <v>3264.2389866512135</v>
      </c>
      <c r="L7" s="613">
        <v>4221.1674872294589</v>
      </c>
      <c r="M7" s="614">
        <v>0.1</v>
      </c>
      <c r="N7" s="615">
        <v>0.25</v>
      </c>
      <c r="O7" s="615">
        <f t="shared" si="0"/>
        <v>5.0286707243772405E-4</v>
      </c>
      <c r="P7" s="615">
        <f t="shared" si="1"/>
        <v>2.1448034351707205E-3</v>
      </c>
      <c r="R7" s="2"/>
    </row>
    <row r="8" spans="1:18" s="609" customFormat="1" x14ac:dyDescent="0.3">
      <c r="A8" s="2"/>
      <c r="B8" s="616" t="s">
        <v>347</v>
      </c>
      <c r="C8" s="617" t="s">
        <v>366</v>
      </c>
      <c r="D8" s="617" t="s">
        <v>367</v>
      </c>
      <c r="E8" s="618" t="s">
        <v>148</v>
      </c>
      <c r="F8" s="618">
        <v>44673</v>
      </c>
      <c r="G8" s="634">
        <v>45946</v>
      </c>
      <c r="H8" s="617" t="s">
        <v>174</v>
      </c>
      <c r="I8" s="619">
        <v>9352.5491288652011</v>
      </c>
      <c r="J8" s="619">
        <v>6893.3485863139813</v>
      </c>
      <c r="K8" s="619">
        <v>7200.317910539381</v>
      </c>
      <c r="L8" s="619">
        <v>9352.5491288652011</v>
      </c>
      <c r="M8" s="614">
        <v>0.1</v>
      </c>
      <c r="N8" s="620">
        <v>0.25</v>
      </c>
      <c r="O8" s="615">
        <f t="shared" si="0"/>
        <v>1.1092333628452968E-3</v>
      </c>
      <c r="P8" s="615">
        <f t="shared" si="1"/>
        <v>2.1448034351707205E-3</v>
      </c>
      <c r="R8" s="2"/>
    </row>
    <row r="9" spans="1:18" x14ac:dyDescent="0.3">
      <c r="B9" s="610" t="s">
        <v>347</v>
      </c>
      <c r="C9" s="612" t="s">
        <v>215</v>
      </c>
      <c r="D9" s="612" t="s">
        <v>346</v>
      </c>
      <c r="E9" s="611" t="s">
        <v>148</v>
      </c>
      <c r="F9" s="611">
        <v>44687</v>
      </c>
      <c r="G9" s="634">
        <v>47514</v>
      </c>
      <c r="H9" s="612" t="s">
        <v>174</v>
      </c>
      <c r="I9" s="613">
        <v>24615.026881705697</v>
      </c>
      <c r="J9" s="613">
        <v>14290.145445399494</v>
      </c>
      <c r="K9" s="613">
        <v>14712.547709586304</v>
      </c>
      <c r="L9" s="613">
        <v>24615.026881705697</v>
      </c>
      <c r="M9" s="614">
        <v>0.1</v>
      </c>
      <c r="N9" s="615">
        <v>0.25</v>
      </c>
      <c r="O9" s="615">
        <f t="shared" si="0"/>
        <v>2.2665178086148934E-3</v>
      </c>
      <c r="P9" s="615">
        <f t="shared" si="1"/>
        <v>3.7956882023357723E-2</v>
      </c>
    </row>
    <row r="10" spans="1:18" x14ac:dyDescent="0.3">
      <c r="B10" s="610" t="s">
        <v>347</v>
      </c>
      <c r="C10" s="612" t="s">
        <v>368</v>
      </c>
      <c r="D10" s="612" t="s">
        <v>367</v>
      </c>
      <c r="E10" s="611" t="s">
        <v>148</v>
      </c>
      <c r="F10" s="611">
        <v>44764</v>
      </c>
      <c r="G10" s="634">
        <v>47833</v>
      </c>
      <c r="H10" s="612" t="s">
        <v>174</v>
      </c>
      <c r="I10" s="613">
        <v>249761.91248603238</v>
      </c>
      <c r="J10" s="613">
        <v>147848.81880879111</v>
      </c>
      <c r="K10" s="613">
        <v>146925.95017466275</v>
      </c>
      <c r="L10" s="613">
        <v>249761.91248603238</v>
      </c>
      <c r="M10" s="614">
        <v>9.7500000000000003E-2</v>
      </c>
      <c r="N10" s="615">
        <v>0.25</v>
      </c>
      <c r="O10" s="615">
        <f t="shared" si="0"/>
        <v>2.2634440288105708E-2</v>
      </c>
      <c r="P10" s="615">
        <f t="shared" si="1"/>
        <v>3.2862668114979066E-2</v>
      </c>
    </row>
    <row r="11" spans="1:18" x14ac:dyDescent="0.3">
      <c r="B11" s="610" t="s">
        <v>347</v>
      </c>
      <c r="C11" s="612" t="s">
        <v>368</v>
      </c>
      <c r="D11" s="612" t="s">
        <v>367</v>
      </c>
      <c r="E11" s="611" t="s">
        <v>148</v>
      </c>
      <c r="F11" s="611">
        <v>44764</v>
      </c>
      <c r="G11" s="634">
        <v>47864</v>
      </c>
      <c r="H11" s="612" t="s">
        <v>174</v>
      </c>
      <c r="I11" s="613">
        <v>103332.77980525143</v>
      </c>
      <c r="J11" s="613">
        <v>62308.536744908211</v>
      </c>
      <c r="K11" s="613">
        <v>63260.877655098826</v>
      </c>
      <c r="L11" s="613">
        <v>103332.77980525143</v>
      </c>
      <c r="M11" s="614">
        <v>9.2499999999999999E-2</v>
      </c>
      <c r="N11" s="615">
        <v>0.25</v>
      </c>
      <c r="O11" s="615">
        <f t="shared" si="0"/>
        <v>9.7455524783423893E-3</v>
      </c>
      <c r="P11" s="615">
        <f t="shared" si="1"/>
        <v>3.2862668114979066E-2</v>
      </c>
    </row>
    <row r="12" spans="1:18" x14ac:dyDescent="0.3">
      <c r="B12" s="610" t="s">
        <v>347</v>
      </c>
      <c r="C12" s="612" t="s">
        <v>368</v>
      </c>
      <c r="D12" s="612" t="s">
        <v>367</v>
      </c>
      <c r="E12" s="611" t="s">
        <v>148</v>
      </c>
      <c r="F12" s="611">
        <v>44764</v>
      </c>
      <c r="G12" s="634">
        <v>48075</v>
      </c>
      <c r="H12" s="612" t="s">
        <v>174</v>
      </c>
      <c r="I12" s="613">
        <v>5478.8250780138624</v>
      </c>
      <c r="J12" s="613">
        <v>3083.0383428368978</v>
      </c>
      <c r="K12" s="613">
        <v>3133.1693342585595</v>
      </c>
      <c r="L12" s="613">
        <v>5478.8250780138624</v>
      </c>
      <c r="M12" s="614">
        <v>8.5000000000000006E-2</v>
      </c>
      <c r="N12" s="615">
        <v>0.25</v>
      </c>
      <c r="O12" s="615">
        <f t="shared" si="0"/>
        <v>4.8267534853096999E-4</v>
      </c>
      <c r="P12" s="615">
        <f t="shared" si="1"/>
        <v>3.2862668114979066E-2</v>
      </c>
    </row>
    <row r="13" spans="1:18" x14ac:dyDescent="0.3">
      <c r="B13" s="610" t="s">
        <v>136</v>
      </c>
      <c r="C13" s="612" t="s">
        <v>369</v>
      </c>
      <c r="D13" s="612" t="s">
        <v>370</v>
      </c>
      <c r="E13" s="611" t="s">
        <v>148</v>
      </c>
      <c r="F13" s="611">
        <v>44804</v>
      </c>
      <c r="G13" s="634">
        <v>45834</v>
      </c>
      <c r="H13" s="612" t="s">
        <v>174</v>
      </c>
      <c r="I13" s="613">
        <v>28086.674539863005</v>
      </c>
      <c r="J13" s="613">
        <v>23492.989418398833</v>
      </c>
      <c r="K13" s="613">
        <v>23633.051463336455</v>
      </c>
      <c r="L13" s="613">
        <v>28086.674539863005</v>
      </c>
      <c r="M13" s="614">
        <v>0.11</v>
      </c>
      <c r="N13" s="615">
        <v>0.25</v>
      </c>
      <c r="O13" s="615">
        <f t="shared" si="0"/>
        <v>3.6407516271748761E-3</v>
      </c>
      <c r="P13" s="615">
        <f t="shared" si="1"/>
        <v>6.1846356087790468E-2</v>
      </c>
    </row>
    <row r="14" spans="1:18" x14ac:dyDescent="0.3">
      <c r="B14" s="610" t="s">
        <v>136</v>
      </c>
      <c r="C14" s="612" t="s">
        <v>369</v>
      </c>
      <c r="D14" s="612" t="s">
        <v>370</v>
      </c>
      <c r="E14" s="611" t="s">
        <v>148</v>
      </c>
      <c r="F14" s="611">
        <v>44804</v>
      </c>
      <c r="G14" s="634">
        <v>45099</v>
      </c>
      <c r="H14" s="612" t="s">
        <v>174</v>
      </c>
      <c r="I14" s="613">
        <v>400589.24472973729</v>
      </c>
      <c r="J14" s="613">
        <v>375982.05179463979</v>
      </c>
      <c r="K14" s="613">
        <v>377827.48908355046</v>
      </c>
      <c r="L14" s="613">
        <v>400589.24472973729</v>
      </c>
      <c r="M14" s="614">
        <v>0.1125</v>
      </c>
      <c r="N14" s="615">
        <v>0.25</v>
      </c>
      <c r="O14" s="615">
        <f t="shared" si="0"/>
        <v>5.8205604460615588E-2</v>
      </c>
      <c r="P14" s="615">
        <f t="shared" si="1"/>
        <v>6.1846356087790468E-2</v>
      </c>
    </row>
    <row r="15" spans="1:18" x14ac:dyDescent="0.3">
      <c r="B15" s="610" t="s">
        <v>136</v>
      </c>
      <c r="C15" s="612" t="s">
        <v>371</v>
      </c>
      <c r="D15" s="612" t="s">
        <v>370</v>
      </c>
      <c r="E15" s="611" t="s">
        <v>148</v>
      </c>
      <c r="F15" s="611">
        <v>44769</v>
      </c>
      <c r="G15" s="634">
        <v>45131</v>
      </c>
      <c r="H15" s="612" t="s">
        <v>345</v>
      </c>
      <c r="I15" s="613">
        <v>315388</v>
      </c>
      <c r="J15" s="613">
        <v>305003.66774661711</v>
      </c>
      <c r="K15" s="613">
        <v>306877.93848709157</v>
      </c>
      <c r="L15" s="613">
        <v>315388</v>
      </c>
      <c r="M15" s="614">
        <v>5.0999999999999997E-2</v>
      </c>
      <c r="N15" s="615">
        <v>0.25</v>
      </c>
      <c r="O15" s="615">
        <f t="shared" si="0"/>
        <v>4.7275585872786713E-2</v>
      </c>
      <c r="P15" s="615">
        <f t="shared" si="1"/>
        <v>4.7275585872786713E-2</v>
      </c>
    </row>
    <row r="16" spans="1:18" x14ac:dyDescent="0.3">
      <c r="B16" s="610" t="s">
        <v>216</v>
      </c>
      <c r="C16" s="659" t="s">
        <v>352</v>
      </c>
      <c r="D16" s="659" t="s">
        <v>175</v>
      </c>
      <c r="E16" s="611" t="s">
        <v>148</v>
      </c>
      <c r="F16" s="611" t="s">
        <v>373</v>
      </c>
      <c r="G16" s="611" t="s">
        <v>373</v>
      </c>
      <c r="H16" s="659" t="s">
        <v>174</v>
      </c>
      <c r="I16" s="660">
        <f>+'1.BG USD'!C16</f>
        <v>3931110.9994956823</v>
      </c>
      <c r="J16" s="660">
        <f>+I16</f>
        <v>3931110.9994956823</v>
      </c>
      <c r="K16" s="660">
        <f>+J16</f>
        <v>3931110.9994956823</v>
      </c>
      <c r="L16" s="660">
        <f>+K16</f>
        <v>3931110.9994956823</v>
      </c>
      <c r="M16" s="611" t="s">
        <v>373</v>
      </c>
      <c r="N16" s="661">
        <v>0.75</v>
      </c>
      <c r="O16" s="661">
        <f t="shared" si="0"/>
        <v>0.60560096482768799</v>
      </c>
      <c r="P16" s="661">
        <f t="shared" si="1"/>
        <v>0.60560096482768799</v>
      </c>
    </row>
    <row r="17" spans="2:18" s="1" customFormat="1" x14ac:dyDescent="0.3">
      <c r="B17" s="715" t="s">
        <v>374</v>
      </c>
      <c r="C17" s="716"/>
      <c r="D17" s="716"/>
      <c r="E17" s="716"/>
      <c r="F17" s="716"/>
      <c r="G17" s="716"/>
      <c r="H17" s="716"/>
      <c r="I17" s="716"/>
      <c r="J17" s="717"/>
      <c r="K17" s="621">
        <f>SUM(K5:K16)</f>
        <v>5113079.7888537534</v>
      </c>
      <c r="L17" s="622"/>
      <c r="M17" s="621"/>
      <c r="N17" s="623"/>
      <c r="O17" s="624"/>
      <c r="P17" s="624"/>
      <c r="R17" s="2"/>
    </row>
    <row r="18" spans="2:18" x14ac:dyDescent="0.3">
      <c r="B18" s="18"/>
      <c r="C18" s="19"/>
      <c r="D18" s="19"/>
      <c r="E18" s="20"/>
      <c r="F18" s="21"/>
      <c r="G18" s="15"/>
      <c r="H18" s="18"/>
      <c r="I18" s="22"/>
      <c r="J18" s="22"/>
      <c r="K18" s="22"/>
      <c r="L18" s="22"/>
      <c r="M18" s="16"/>
      <c r="N18" s="23"/>
      <c r="O18" s="24"/>
      <c r="P18" s="24"/>
    </row>
    <row r="19" spans="2:18" x14ac:dyDescent="0.3">
      <c r="B19" s="662" t="s">
        <v>372</v>
      </c>
      <c r="C19" s="657">
        <f>'1.BG USD'!$C$56</f>
        <v>6491256.1699999999</v>
      </c>
      <c r="D19" s="19"/>
      <c r="E19" s="20"/>
      <c r="F19" s="21"/>
      <c r="G19" s="15"/>
      <c r="H19" s="18"/>
      <c r="I19" s="16"/>
      <c r="J19" s="16"/>
      <c r="K19" s="16"/>
      <c r="L19" s="16"/>
      <c r="M19" s="16"/>
      <c r="N19" s="23"/>
      <c r="O19" s="24"/>
      <c r="P19" s="24"/>
    </row>
    <row r="20" spans="2:18" ht="15.6" x14ac:dyDescent="0.3">
      <c r="B20" s="714"/>
      <c r="C20" s="714"/>
      <c r="D20" s="714"/>
      <c r="E20" s="714"/>
      <c r="F20" s="714"/>
      <c r="G20" s="714"/>
      <c r="H20" s="714"/>
      <c r="I20" s="714"/>
      <c r="J20" s="714"/>
      <c r="K20" s="714"/>
      <c r="L20" s="714"/>
      <c r="M20" s="714"/>
      <c r="N20" s="714"/>
      <c r="O20" s="714"/>
      <c r="P20" s="714"/>
    </row>
    <row r="21" spans="2:18" x14ac:dyDescent="0.3">
      <c r="B21" s="13" t="s">
        <v>192</v>
      </c>
      <c r="C21" s="14">
        <f>+C22+C25</f>
        <v>5113079.7888537534</v>
      </c>
      <c r="D21" s="625" t="s">
        <v>349</v>
      </c>
      <c r="E21" s="626" t="s">
        <v>350</v>
      </c>
      <c r="F21" s="627"/>
      <c r="G21" s="627"/>
      <c r="H21" s="627"/>
      <c r="I21" s="627"/>
      <c r="J21" s="627"/>
      <c r="K21" s="626" t="s">
        <v>351</v>
      </c>
      <c r="L21" s="628"/>
    </row>
    <row r="22" spans="2:18" x14ac:dyDescent="0.3">
      <c r="B22" s="5" t="s">
        <v>194</v>
      </c>
      <c r="C22" s="6">
        <f>SUM(C23:C24)</f>
        <v>1181968.7893580706</v>
      </c>
      <c r="D22" s="629">
        <f>+'1.BG USD'!C14+'1.BG USD'!C31</f>
        <v>1181968.7907996334</v>
      </c>
      <c r="E22" s="629">
        <f>+D22-C22</f>
        <v>1.4415627811104059E-3</v>
      </c>
      <c r="F22" s="629"/>
      <c r="G22" s="630"/>
      <c r="H22" s="627"/>
      <c r="I22" s="665">
        <f>I15/3</f>
        <v>105129.33333333333</v>
      </c>
      <c r="J22" s="627"/>
      <c r="K22" s="631">
        <f>+K17-C21</f>
        <v>0</v>
      </c>
      <c r="L22" s="628"/>
    </row>
    <row r="23" spans="2:18" x14ac:dyDescent="0.3">
      <c r="B23" s="7" t="s">
        <v>136</v>
      </c>
      <c r="C23" s="8">
        <f>SUMIFS($K$5:$K$16,$B$5:$B$16,B23)</f>
        <v>708338.47903397842</v>
      </c>
      <c r="D23" s="629"/>
      <c r="E23" s="629"/>
      <c r="F23" s="629"/>
      <c r="G23" s="630"/>
      <c r="H23" s="627"/>
      <c r="I23" s="627"/>
      <c r="J23" s="631"/>
      <c r="K23" s="627"/>
      <c r="L23" s="628"/>
    </row>
    <row r="24" spans="2:18" x14ac:dyDescent="0.3">
      <c r="B24" s="7" t="s">
        <v>347</v>
      </c>
      <c r="C24" s="8">
        <f>SUMIFS($K$5:$K$16,$B$5:$B$16,B24)</f>
        <v>473630.31032409216</v>
      </c>
      <c r="D24" s="629"/>
      <c r="E24" s="629"/>
      <c r="F24" s="629"/>
      <c r="G24" s="630"/>
      <c r="H24" s="627"/>
      <c r="I24" s="627"/>
      <c r="J24" s="627"/>
      <c r="K24" s="627"/>
      <c r="L24" s="628"/>
    </row>
    <row r="25" spans="2:18" x14ac:dyDescent="0.3">
      <c r="B25" s="5" t="s">
        <v>193</v>
      </c>
      <c r="C25" s="6">
        <f>SUM(C26:C27)</f>
        <v>3931110.9994956823</v>
      </c>
      <c r="D25" s="629">
        <f>+'1.BG USD'!C16</f>
        <v>3931110.9994956823</v>
      </c>
      <c r="E25" s="629">
        <f>+D25-C25</f>
        <v>0</v>
      </c>
      <c r="F25" s="629"/>
      <c r="G25" s="630"/>
      <c r="H25" s="627"/>
      <c r="I25" s="627"/>
      <c r="J25" s="627"/>
      <c r="K25" s="627"/>
      <c r="L25" s="628"/>
    </row>
    <row r="26" spans="2:18" x14ac:dyDescent="0.3">
      <c r="B26" s="9" t="s">
        <v>191</v>
      </c>
      <c r="C26" s="10">
        <f>+J16</f>
        <v>3931110.9994956823</v>
      </c>
      <c r="D26" s="629"/>
      <c r="E26" s="629"/>
      <c r="F26" s="629"/>
      <c r="G26" s="630"/>
      <c r="H26" s="632"/>
      <c r="I26" s="633"/>
      <c r="J26" s="627"/>
      <c r="K26" s="633"/>
      <c r="L26" s="627"/>
    </row>
    <row r="27" spans="2:18" x14ac:dyDescent="0.3">
      <c r="B27" s="11"/>
      <c r="C27" s="12">
        <v>0</v>
      </c>
      <c r="D27" s="629"/>
      <c r="E27" s="629"/>
      <c r="F27" s="629"/>
      <c r="G27" s="630"/>
      <c r="H27" s="627"/>
      <c r="I27" s="627"/>
      <c r="J27" s="627"/>
      <c r="K27" s="627"/>
      <c r="L27" s="627"/>
    </row>
    <row r="28" spans="2:18" x14ac:dyDescent="0.3">
      <c r="C28" s="4"/>
      <c r="D28" s="630"/>
      <c r="E28" s="630"/>
      <c r="F28" s="630"/>
      <c r="G28" s="630"/>
      <c r="H28" s="627"/>
      <c r="I28" s="627"/>
      <c r="J28" s="627"/>
      <c r="K28" s="627"/>
      <c r="L28" s="627"/>
    </row>
    <row r="29" spans="2:18" x14ac:dyDescent="0.3">
      <c r="D29" s="630"/>
      <c r="E29" s="630"/>
      <c r="F29" s="630"/>
      <c r="G29" s="630"/>
      <c r="H29" s="627"/>
      <c r="I29" s="627"/>
      <c r="J29" s="627"/>
      <c r="K29" s="627"/>
      <c r="L29" s="627"/>
    </row>
    <row r="30" spans="2:18" x14ac:dyDescent="0.3">
      <c r="D30" s="627"/>
      <c r="E30" s="627"/>
      <c r="F30" s="627"/>
      <c r="G30" s="627"/>
      <c r="H30" s="627"/>
      <c r="I30" s="627"/>
      <c r="J30" s="627"/>
      <c r="K30" s="627"/>
      <c r="L30" s="627"/>
    </row>
    <row r="32" spans="2:18" x14ac:dyDescent="0.3">
      <c r="C32" s="663"/>
    </row>
    <row r="33" spans="3:3" x14ac:dyDescent="0.3">
      <c r="C33" s="664"/>
    </row>
  </sheetData>
  <autoFilter ref="B4:P17" xr:uid="{00000000-0001-0000-0B00-000000000000}"/>
  <mergeCells count="3">
    <mergeCell ref="B2:K2"/>
    <mergeCell ref="B20:P20"/>
    <mergeCell ref="B17:J17"/>
  </mergeCells>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1"/>
  <sheetViews>
    <sheetView showGridLines="0" zoomScale="85" zoomScaleNormal="85" workbookViewId="0">
      <selection activeCell="D54" sqref="D54"/>
    </sheetView>
  </sheetViews>
  <sheetFormatPr baseColWidth="10" defaultColWidth="9.109375" defaultRowHeight="15.6" x14ac:dyDescent="0.35"/>
  <cols>
    <col min="1" max="1" width="8.88671875" style="261" customWidth="1"/>
    <col min="2" max="2" width="50.5546875" style="261" customWidth="1"/>
    <col min="3" max="3" width="23.6640625" style="335" customWidth="1"/>
    <col min="4" max="4" width="21.109375" style="336" customWidth="1"/>
    <col min="5" max="5" width="8.88671875" style="261" customWidth="1"/>
    <col min="6" max="6" width="15.88671875" style="288" customWidth="1"/>
    <col min="7" max="7" width="17.88671875" style="288" bestFit="1" customWidth="1"/>
    <col min="8" max="8" width="13.33203125" style="288" bestFit="1" customWidth="1"/>
    <col min="9" max="16384" width="9.109375" style="261"/>
  </cols>
  <sheetData>
    <row r="1" spans="1:8" s="287" customFormat="1" x14ac:dyDescent="0.35">
      <c r="A1" s="279"/>
      <c r="B1" s="283"/>
      <c r="C1" s="284"/>
      <c r="D1" s="285"/>
      <c r="E1" s="283"/>
      <c r="F1" s="286"/>
      <c r="G1" s="286"/>
      <c r="H1" s="286"/>
    </row>
    <row r="2" spans="1:8" s="287" customFormat="1" ht="26.4" x14ac:dyDescent="0.6">
      <c r="A2" s="279"/>
      <c r="B2" s="684" t="s">
        <v>166</v>
      </c>
      <c r="C2" s="684"/>
      <c r="D2" s="684"/>
      <c r="E2" s="684"/>
      <c r="F2" s="286"/>
      <c r="G2" s="286"/>
      <c r="H2" s="286"/>
    </row>
    <row r="3" spans="1:8" ht="21.75" customHeight="1" x14ac:dyDescent="0.55000000000000004">
      <c r="B3" s="682" t="s">
        <v>196</v>
      </c>
      <c r="C3" s="682"/>
      <c r="D3" s="682"/>
    </row>
    <row r="4" spans="1:8" ht="21.75" customHeight="1" x14ac:dyDescent="0.35">
      <c r="B4" s="685" t="s">
        <v>353</v>
      </c>
      <c r="C4" s="685"/>
      <c r="D4" s="685"/>
    </row>
    <row r="5" spans="1:8" x14ac:dyDescent="0.35">
      <c r="B5" s="683" t="s">
        <v>195</v>
      </c>
      <c r="C5" s="683"/>
      <c r="D5" s="683"/>
      <c r="F5" s="289"/>
      <c r="G5" s="289"/>
      <c r="H5" s="289"/>
    </row>
    <row r="6" spans="1:8" ht="21.75" customHeight="1" thickBot="1" x14ac:dyDescent="0.4">
      <c r="B6" s="290"/>
      <c r="C6" s="291"/>
      <c r="D6" s="290"/>
      <c r="F6" s="289"/>
      <c r="G6" s="289"/>
      <c r="H6" s="289"/>
    </row>
    <row r="7" spans="1:8" x14ac:dyDescent="0.35">
      <c r="B7" s="292" t="s">
        <v>37</v>
      </c>
      <c r="C7" s="293">
        <f>+INDICE!P3</f>
        <v>2022</v>
      </c>
      <c r="D7" s="294">
        <f>+INDICE!P2</f>
        <v>2021</v>
      </c>
      <c r="F7" s="289"/>
      <c r="G7" s="289"/>
      <c r="H7" s="289"/>
    </row>
    <row r="8" spans="1:8" ht="17.25" customHeight="1" x14ac:dyDescent="0.35">
      <c r="B8" s="295" t="s">
        <v>38</v>
      </c>
      <c r="C8" s="296"/>
      <c r="D8" s="297"/>
      <c r="F8" s="289"/>
      <c r="G8" s="298">
        <v>6979.36</v>
      </c>
      <c r="H8" s="289"/>
    </row>
    <row r="9" spans="1:8" ht="15" customHeight="1" x14ac:dyDescent="0.35">
      <c r="B9" s="295" t="s">
        <v>39</v>
      </c>
      <c r="C9" s="296"/>
      <c r="D9" s="299"/>
      <c r="F9" s="289"/>
      <c r="G9" s="289"/>
      <c r="H9" s="289"/>
    </row>
    <row r="10" spans="1:8" ht="14.25" customHeight="1" x14ac:dyDescent="0.35">
      <c r="B10" s="300" t="s">
        <v>155</v>
      </c>
      <c r="C10" s="301">
        <f>+'[4]BALANCE GENERAL'!$I$15</f>
        <v>185429.8438450346</v>
      </c>
      <c r="D10" s="302">
        <v>261013.46460722969</v>
      </c>
      <c r="F10" s="289"/>
      <c r="G10" s="289"/>
      <c r="H10" s="289"/>
    </row>
    <row r="11" spans="1:8" ht="14.25" customHeight="1" x14ac:dyDescent="0.35">
      <c r="B11" s="303"/>
      <c r="C11" s="304"/>
      <c r="D11" s="299"/>
      <c r="F11" s="289"/>
      <c r="G11" s="289"/>
      <c r="H11" s="289"/>
    </row>
    <row r="12" spans="1:8" x14ac:dyDescent="0.35">
      <c r="B12" s="300"/>
      <c r="C12" s="305">
        <f>SUM(C10:C11)</f>
        <v>185429.8438450346</v>
      </c>
      <c r="D12" s="306">
        <v>261013.46460722969</v>
      </c>
      <c r="F12" s="289">
        <f>+C12-D12</f>
        <v>-75583.620762195089</v>
      </c>
      <c r="G12" s="289">
        <f>+F12*6895.8</f>
        <v>-521209532.05194491</v>
      </c>
      <c r="H12" s="289"/>
    </row>
    <row r="13" spans="1:8" x14ac:dyDescent="0.35">
      <c r="B13" s="295" t="s">
        <v>41</v>
      </c>
      <c r="C13" s="304"/>
      <c r="D13" s="299"/>
      <c r="F13" s="317"/>
      <c r="G13" s="317"/>
      <c r="H13" s="317"/>
    </row>
    <row r="14" spans="1:8" x14ac:dyDescent="0.35">
      <c r="B14" s="303" t="s">
        <v>156</v>
      </c>
      <c r="C14" s="307">
        <f>+'[4]BALANCE GENERAL'!$I$25</f>
        <v>416295.60821540729</v>
      </c>
      <c r="D14" s="302">
        <v>57507.473645756458</v>
      </c>
      <c r="F14" s="317"/>
      <c r="G14" s="317"/>
      <c r="H14" s="317"/>
    </row>
    <row r="15" spans="1:8" x14ac:dyDescent="0.35">
      <c r="B15" s="303" t="s">
        <v>43</v>
      </c>
      <c r="C15" s="304">
        <v>0</v>
      </c>
      <c r="D15" s="299">
        <v>0</v>
      </c>
      <c r="F15" s="317"/>
      <c r="G15" s="317"/>
      <c r="H15" s="317"/>
    </row>
    <row r="16" spans="1:8" x14ac:dyDescent="0.35">
      <c r="B16" s="303" t="s">
        <v>179</v>
      </c>
      <c r="C16" s="304">
        <f>+'[4]BALANCE GENERAL'!$I$44</f>
        <v>3931110.9994956823</v>
      </c>
      <c r="D16" s="299">
        <v>1635588.162531055</v>
      </c>
      <c r="F16" s="317"/>
      <c r="G16" s="317"/>
      <c r="H16" s="317"/>
    </row>
    <row r="17" spans="2:8" x14ac:dyDescent="0.35">
      <c r="B17" s="295"/>
      <c r="C17" s="305">
        <f>SUM(C14:C16)</f>
        <v>4347406.6077110898</v>
      </c>
      <c r="D17" s="306">
        <v>1693095.6361768115</v>
      </c>
      <c r="F17" s="317"/>
      <c r="G17" s="317"/>
      <c r="H17" s="317"/>
    </row>
    <row r="18" spans="2:8" x14ac:dyDescent="0.35">
      <c r="B18" s="295" t="s">
        <v>176</v>
      </c>
      <c r="C18" s="304"/>
      <c r="D18" s="299"/>
      <c r="F18" s="317"/>
      <c r="G18" s="317"/>
      <c r="H18" s="317"/>
    </row>
    <row r="19" spans="2:8" x14ac:dyDescent="0.35">
      <c r="B19" s="303" t="s">
        <v>201</v>
      </c>
      <c r="C19" s="304">
        <v>0</v>
      </c>
      <c r="D19" s="299">
        <v>2910.8649489652603</v>
      </c>
      <c r="F19" s="317"/>
      <c r="G19" s="317"/>
      <c r="H19" s="317"/>
    </row>
    <row r="20" spans="2:8" x14ac:dyDescent="0.35">
      <c r="B20" s="303" t="s">
        <v>177</v>
      </c>
      <c r="C20" s="307">
        <f>+'[4]BALANCE GENERAL'!$I$38</f>
        <v>220801.44966640155</v>
      </c>
      <c r="D20" s="302">
        <v>104500.02677995752</v>
      </c>
      <c r="F20" s="289"/>
      <c r="G20" s="289"/>
      <c r="H20" s="289"/>
    </row>
    <row r="21" spans="2:8" x14ac:dyDescent="0.35">
      <c r="B21" s="303" t="s">
        <v>178</v>
      </c>
      <c r="C21" s="304">
        <f>+'[4]BALANCE GENERAL'!$I$41</f>
        <v>861534.2239545295</v>
      </c>
      <c r="D21" s="299">
        <v>0</v>
      </c>
      <c r="F21" s="289"/>
      <c r="G21" s="289"/>
      <c r="H21" s="289"/>
    </row>
    <row r="22" spans="2:8" x14ac:dyDescent="0.35">
      <c r="B22" s="295" t="s">
        <v>57</v>
      </c>
      <c r="C22" s="305">
        <f>SUM(C19:C21)</f>
        <v>1082335.6736209311</v>
      </c>
      <c r="D22" s="306">
        <v>107410.89172892278</v>
      </c>
      <c r="F22" s="317"/>
      <c r="G22" s="317"/>
      <c r="H22" s="317"/>
    </row>
    <row r="23" spans="2:8" x14ac:dyDescent="0.35">
      <c r="B23" s="295"/>
      <c r="C23" s="308"/>
      <c r="D23" s="309"/>
      <c r="F23" s="317"/>
      <c r="G23" s="317"/>
      <c r="H23" s="317"/>
    </row>
    <row r="24" spans="2:8" x14ac:dyDescent="0.35">
      <c r="B24" s="295" t="s">
        <v>202</v>
      </c>
      <c r="C24" s="304"/>
      <c r="D24" s="299"/>
      <c r="F24" s="317"/>
      <c r="G24" s="317"/>
      <c r="H24" s="317"/>
    </row>
    <row r="25" spans="2:8" x14ac:dyDescent="0.35">
      <c r="B25" s="303" t="s">
        <v>203</v>
      </c>
      <c r="C25" s="304">
        <f>+'[4]BALANCE GENERAL'!$I$59</f>
        <v>82132.34</v>
      </c>
      <c r="D25" s="299">
        <v>186777.79596153848</v>
      </c>
      <c r="F25" s="317"/>
      <c r="G25" s="317"/>
      <c r="H25" s="317"/>
    </row>
    <row r="26" spans="2:8" x14ac:dyDescent="0.35">
      <c r="B26" s="303" t="s">
        <v>338</v>
      </c>
      <c r="C26" s="304">
        <f>+'[4]BALANCE GENERAL'!$I$61</f>
        <v>11209.442326246986</v>
      </c>
      <c r="D26" s="299">
        <v>0</v>
      </c>
      <c r="F26" s="317"/>
      <c r="G26" s="317"/>
      <c r="H26" s="317"/>
    </row>
    <row r="27" spans="2:8" x14ac:dyDescent="0.35">
      <c r="B27" s="295"/>
      <c r="C27" s="305">
        <f>SUM(C25:C26)</f>
        <v>93341.78232624699</v>
      </c>
      <c r="D27" s="306">
        <v>186777.79596153848</v>
      </c>
      <c r="F27" s="317"/>
      <c r="G27" s="317"/>
      <c r="H27" s="317"/>
    </row>
    <row r="28" spans="2:8" ht="16.2" thickBot="1" x14ac:dyDescent="0.4">
      <c r="B28" s="295"/>
      <c r="C28" s="310">
        <f>+C27+C22+C17+C12</f>
        <v>5708513.9075033031</v>
      </c>
      <c r="D28" s="311">
        <v>2248297.7884745025</v>
      </c>
      <c r="F28" s="317"/>
      <c r="G28" s="317"/>
      <c r="H28" s="317"/>
    </row>
    <row r="29" spans="2:8" ht="16.2" thickTop="1" x14ac:dyDescent="0.35">
      <c r="B29" s="295" t="s">
        <v>44</v>
      </c>
      <c r="C29" s="308"/>
      <c r="D29" s="309"/>
      <c r="F29" s="317"/>
      <c r="G29" s="317"/>
      <c r="H29" s="317"/>
    </row>
    <row r="30" spans="2:8" x14ac:dyDescent="0.35">
      <c r="B30" s="295" t="s">
        <v>41</v>
      </c>
      <c r="C30" s="308"/>
      <c r="D30" s="309"/>
      <c r="F30" s="317"/>
      <c r="G30" s="317"/>
      <c r="H30" s="317"/>
    </row>
    <row r="31" spans="2:8" x14ac:dyDescent="0.35">
      <c r="B31" s="303" t="s">
        <v>156</v>
      </c>
      <c r="C31" s="312">
        <f>+'[4]BALANCE GENERAL'!$I$64</f>
        <v>765673.18258422613</v>
      </c>
      <c r="D31" s="313">
        <v>784864.90049935889</v>
      </c>
      <c r="F31" s="317"/>
      <c r="G31" s="317"/>
      <c r="H31" s="317"/>
    </row>
    <row r="32" spans="2:8" x14ac:dyDescent="0.35">
      <c r="B32" s="303" t="s">
        <v>43</v>
      </c>
      <c r="C32" s="314">
        <v>0</v>
      </c>
      <c r="D32" s="315">
        <v>0</v>
      </c>
      <c r="F32" s="317"/>
      <c r="G32" s="317"/>
      <c r="H32" s="317"/>
    </row>
    <row r="33" spans="2:8" x14ac:dyDescent="0.35">
      <c r="B33" s="295"/>
      <c r="C33" s="308">
        <f>SUM(C31:C32)</f>
        <v>765673.18258422613</v>
      </c>
      <c r="D33" s="309">
        <v>784864.90049935889</v>
      </c>
      <c r="F33" s="317"/>
      <c r="G33" s="317"/>
      <c r="H33" s="317"/>
    </row>
    <row r="34" spans="2:8" x14ac:dyDescent="0.35">
      <c r="B34" s="295"/>
      <c r="C34" s="308"/>
      <c r="D34" s="309"/>
      <c r="F34" s="317"/>
      <c r="G34" s="317"/>
      <c r="H34" s="317"/>
    </row>
    <row r="35" spans="2:8" x14ac:dyDescent="0.35">
      <c r="B35" s="295" t="s">
        <v>210</v>
      </c>
      <c r="C35" s="308"/>
      <c r="D35" s="309"/>
      <c r="F35" s="317"/>
      <c r="G35" s="317"/>
      <c r="H35" s="317"/>
    </row>
    <row r="36" spans="2:8" x14ac:dyDescent="0.35">
      <c r="B36" s="303" t="s">
        <v>211</v>
      </c>
      <c r="C36" s="312">
        <f>+'[4]BALANCE GENERAL'!$I$74+'[4]BALANCE GENERAL'!$I$84</f>
        <v>77458.983142789744</v>
      </c>
      <c r="D36" s="313">
        <v>0</v>
      </c>
      <c r="F36" s="317"/>
      <c r="G36" s="317"/>
      <c r="H36" s="317"/>
    </row>
    <row r="37" spans="2:8" x14ac:dyDescent="0.35">
      <c r="B37" s="303" t="s">
        <v>212</v>
      </c>
      <c r="C37" s="314">
        <v>0</v>
      </c>
      <c r="D37" s="315">
        <v>0</v>
      </c>
      <c r="F37" s="317"/>
      <c r="G37" s="317"/>
      <c r="H37" s="317"/>
    </row>
    <row r="38" spans="2:8" x14ac:dyDescent="0.35">
      <c r="B38" s="295"/>
      <c r="C38" s="308">
        <f>SUM(C36:C37)</f>
        <v>77458.983142789744</v>
      </c>
      <c r="D38" s="309">
        <f>SUM(D36:D37)</f>
        <v>0</v>
      </c>
      <c r="F38" s="317"/>
      <c r="G38" s="317"/>
      <c r="H38" s="317"/>
    </row>
    <row r="39" spans="2:8" ht="16.2" thickBot="1" x14ac:dyDescent="0.4">
      <c r="B39" s="295"/>
      <c r="C39" s="310">
        <f>+C38+C33</f>
        <v>843132.16572701582</v>
      </c>
      <c r="D39" s="318">
        <f>+D38+D33</f>
        <v>784864.90049935889</v>
      </c>
      <c r="F39" s="317"/>
      <c r="G39" s="317"/>
      <c r="H39" s="317"/>
    </row>
    <row r="40" spans="2:8" ht="16.8" thickTop="1" thickBot="1" x14ac:dyDescent="0.4">
      <c r="B40" s="295" t="s">
        <v>45</v>
      </c>
      <c r="C40" s="310">
        <f>+C39+C28</f>
        <v>6551646.0732303187</v>
      </c>
      <c r="D40" s="318">
        <f>+D39+D28</f>
        <v>3033162.6889738613</v>
      </c>
      <c r="F40" s="317"/>
      <c r="G40" s="317"/>
      <c r="H40" s="317"/>
    </row>
    <row r="41" spans="2:8" ht="27.75" customHeight="1" thickTop="1" x14ac:dyDescent="0.35">
      <c r="B41" s="319" t="s">
        <v>46</v>
      </c>
      <c r="C41" s="320"/>
      <c r="D41" s="321"/>
      <c r="F41" s="317"/>
      <c r="G41" s="317"/>
      <c r="H41" s="317"/>
    </row>
    <row r="42" spans="2:8" x14ac:dyDescent="0.35">
      <c r="B42" s="295" t="s">
        <v>47</v>
      </c>
      <c r="C42" s="304"/>
      <c r="D42" s="299"/>
      <c r="F42" s="317"/>
      <c r="G42" s="317"/>
      <c r="H42" s="317"/>
    </row>
    <row r="43" spans="2:8" x14ac:dyDescent="0.35">
      <c r="B43" s="295" t="s">
        <v>48</v>
      </c>
      <c r="C43" s="304"/>
      <c r="D43" s="299"/>
      <c r="F43" s="317"/>
      <c r="G43" s="317"/>
      <c r="H43" s="317"/>
    </row>
    <row r="44" spans="2:8" x14ac:dyDescent="0.35">
      <c r="B44" s="300" t="s">
        <v>49</v>
      </c>
      <c r="C44" s="304">
        <v>0</v>
      </c>
      <c r="D44" s="299">
        <v>59319.89</v>
      </c>
      <c r="F44" s="317"/>
      <c r="G44" s="317"/>
      <c r="H44" s="317"/>
    </row>
    <row r="45" spans="2:8" x14ac:dyDescent="0.35">
      <c r="B45" s="303" t="s">
        <v>181</v>
      </c>
      <c r="C45" s="304">
        <f>+'[4]BALANCE GENERAL'!$I$87</f>
        <v>60389.903473294464</v>
      </c>
      <c r="D45" s="299">
        <v>9040.9599999999991</v>
      </c>
      <c r="F45" s="317"/>
      <c r="G45" s="317"/>
      <c r="H45" s="317"/>
    </row>
    <row r="46" spans="2:8" ht="15.75" customHeight="1" x14ac:dyDescent="0.35">
      <c r="B46" s="295" t="s">
        <v>50</v>
      </c>
      <c r="C46" s="305">
        <f>SUM(C44:C45)</f>
        <v>60389.903473294464</v>
      </c>
      <c r="D46" s="306">
        <v>68360.850000000006</v>
      </c>
      <c r="F46" s="317"/>
      <c r="G46" s="317"/>
      <c r="H46" s="317"/>
    </row>
    <row r="47" spans="2:8" ht="15.75" customHeight="1" x14ac:dyDescent="0.35">
      <c r="B47" s="295"/>
      <c r="C47" s="308"/>
      <c r="D47" s="309"/>
      <c r="F47" s="317"/>
      <c r="G47" s="317"/>
      <c r="H47" s="317"/>
    </row>
    <row r="48" spans="2:8" x14ac:dyDescent="0.35">
      <c r="B48" s="295" t="s">
        <v>180</v>
      </c>
      <c r="C48" s="308">
        <v>6000000</v>
      </c>
      <c r="D48" s="309">
        <v>2860000</v>
      </c>
      <c r="F48" s="317"/>
      <c r="G48" s="317"/>
      <c r="H48" s="317"/>
    </row>
    <row r="49" spans="2:8" x14ac:dyDescent="0.35">
      <c r="B49" s="295" t="s">
        <v>19</v>
      </c>
      <c r="C49" s="308">
        <f>+C50+C51</f>
        <v>491256.17</v>
      </c>
      <c r="D49" s="322">
        <f>+D50+D51</f>
        <v>104801.83916848601</v>
      </c>
      <c r="F49" s="317"/>
      <c r="G49" s="317"/>
      <c r="H49" s="317"/>
    </row>
    <row r="50" spans="2:8" x14ac:dyDescent="0.35">
      <c r="B50" s="303" t="s">
        <v>162</v>
      </c>
      <c r="C50" s="312">
        <v>0</v>
      </c>
      <c r="D50" s="299">
        <v>0</v>
      </c>
      <c r="F50" s="317"/>
      <c r="G50" s="289"/>
      <c r="H50" s="289"/>
    </row>
    <row r="51" spans="2:8" x14ac:dyDescent="0.35">
      <c r="B51" s="303" t="s">
        <v>213</v>
      </c>
      <c r="C51" s="312">
        <f>+'[4]BALANCE GENERAL'!$I$98</f>
        <v>491256.17</v>
      </c>
      <c r="D51" s="299">
        <v>104801.83916848601</v>
      </c>
      <c r="F51" s="317"/>
      <c r="G51" s="289"/>
      <c r="H51" s="289"/>
    </row>
    <row r="52" spans="2:8" x14ac:dyDescent="0.35">
      <c r="B52" s="295" t="s">
        <v>51</v>
      </c>
      <c r="C52" s="323">
        <f>SUM(C48:C49)</f>
        <v>6491256.1699999999</v>
      </c>
      <c r="D52" s="324">
        <f>SUM(D48:D49)</f>
        <v>2964801.8391684862</v>
      </c>
      <c r="F52" s="325"/>
      <c r="G52" s="289"/>
      <c r="H52" s="289"/>
    </row>
    <row r="53" spans="2:8" ht="16.2" thickBot="1" x14ac:dyDescent="0.4">
      <c r="B53" s="295" t="s">
        <v>52</v>
      </c>
      <c r="C53" s="310">
        <f>+C46+C52</f>
        <v>6551646.0734732943</v>
      </c>
      <c r="D53" s="311">
        <f>+D46+D52</f>
        <v>3033162.6891684863</v>
      </c>
      <c r="F53" s="326"/>
      <c r="G53" s="289"/>
      <c r="H53" s="289"/>
    </row>
    <row r="54" spans="2:8" ht="16.2" thickTop="1" x14ac:dyDescent="0.35">
      <c r="B54" s="303" t="s">
        <v>53</v>
      </c>
      <c r="C54" s="304">
        <f>+C48/1000</f>
        <v>6000</v>
      </c>
      <c r="D54" s="299">
        <v>2860</v>
      </c>
    </row>
    <row r="55" spans="2:8" x14ac:dyDescent="0.35">
      <c r="B55" s="303" t="s">
        <v>54</v>
      </c>
      <c r="C55" s="304">
        <f>+C52/C54</f>
        <v>1081.8760283333334</v>
      </c>
      <c r="D55" s="299">
        <f>+D52/D54</f>
        <v>1036.6439997092609</v>
      </c>
    </row>
    <row r="56" spans="2:8" ht="16.2" thickBot="1" x14ac:dyDescent="0.4">
      <c r="B56" s="327" t="s">
        <v>55</v>
      </c>
      <c r="C56" s="328">
        <f>+C54*C55</f>
        <v>6491256.1699999999</v>
      </c>
      <c r="D56" s="311">
        <f>+D54*D55</f>
        <v>2964801.8391684862</v>
      </c>
    </row>
    <row r="57" spans="2:8" ht="16.8" thickTop="1" thickBot="1" x14ac:dyDescent="0.4">
      <c r="B57" s="329"/>
      <c r="C57" s="330"/>
      <c r="D57" s="331"/>
    </row>
    <row r="58" spans="2:8" x14ac:dyDescent="0.35">
      <c r="B58" s="332"/>
      <c r="C58" s="333"/>
      <c r="D58" s="334"/>
    </row>
    <row r="59" spans="2:8" x14ac:dyDescent="0.35">
      <c r="B59" s="279" t="s">
        <v>157</v>
      </c>
    </row>
    <row r="61" spans="2:8" x14ac:dyDescent="0.35">
      <c r="D61" s="335"/>
    </row>
    <row r="71" ht="21" customHeight="1" x14ac:dyDescent="0.35"/>
  </sheetData>
  <mergeCells count="4">
    <mergeCell ref="B3:D3"/>
    <mergeCell ref="B5:D5"/>
    <mergeCell ref="B2:E2"/>
    <mergeCell ref="B4:D4"/>
  </mergeCells>
  <pageMargins left="0.25" right="0.25" top="0.75" bottom="0.75" header="0.3" footer="0.3"/>
  <pageSetup paperSize="9" scale="69" orientation="portrait" r:id="rId1"/>
  <ignoredErrors>
    <ignoredError sqref="C12"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8"/>
  <sheetViews>
    <sheetView showGridLines="0" workbookViewId="0">
      <selection activeCell="G21" sqref="G21"/>
    </sheetView>
  </sheetViews>
  <sheetFormatPr baseColWidth="10" defaultColWidth="9.109375" defaultRowHeight="15.6" x14ac:dyDescent="0.35"/>
  <cols>
    <col min="1" max="1" width="11.44140625" style="261" customWidth="1"/>
    <col min="2" max="2" width="50.6640625" style="261" customWidth="1"/>
    <col min="3" max="3" width="24.5546875" style="261" customWidth="1"/>
    <col min="4" max="4" width="12.88671875" style="261" customWidth="1"/>
    <col min="5" max="5" width="16" style="261" customWidth="1"/>
    <col min="6" max="6" width="14.44140625" style="288" customWidth="1"/>
    <col min="7" max="7" width="11.88671875" style="288" customWidth="1"/>
    <col min="8" max="9" width="10.109375" style="288" bestFit="1" customWidth="1"/>
    <col min="10" max="10" width="9.109375" style="288"/>
    <col min="11" max="16384" width="9.109375" style="261"/>
  </cols>
  <sheetData>
    <row r="1" spans="2:5" x14ac:dyDescent="0.35">
      <c r="B1" s="283"/>
      <c r="C1" s="337"/>
      <c r="D1" s="283"/>
      <c r="E1" s="283"/>
    </row>
    <row r="2" spans="2:5" ht="26.4" x14ac:dyDescent="0.6">
      <c r="B2" s="690" t="s">
        <v>166</v>
      </c>
      <c r="C2" s="690"/>
      <c r="D2" s="690"/>
      <c r="E2" s="690"/>
    </row>
    <row r="3" spans="2:5" ht="24" x14ac:dyDescent="0.55000000000000004">
      <c r="B3" s="682" t="s">
        <v>197</v>
      </c>
      <c r="C3" s="682"/>
      <c r="D3" s="682"/>
    </row>
    <row r="4" spans="2:5" x14ac:dyDescent="0.35">
      <c r="B4" s="685" t="s">
        <v>354</v>
      </c>
      <c r="C4" s="685"/>
      <c r="D4" s="685"/>
    </row>
    <row r="5" spans="2:5" x14ac:dyDescent="0.35">
      <c r="B5" s="683" t="s">
        <v>195</v>
      </c>
      <c r="C5" s="683"/>
      <c r="D5" s="683"/>
    </row>
    <row r="6" spans="2:5" ht="24.6" thickBot="1" x14ac:dyDescent="0.6">
      <c r="B6" s="338"/>
      <c r="C6" s="338"/>
      <c r="D6" s="338"/>
    </row>
    <row r="7" spans="2:5" x14ac:dyDescent="0.35">
      <c r="B7" s="339"/>
      <c r="C7" s="686">
        <f>+INDICE!P3</f>
        <v>2022</v>
      </c>
      <c r="D7" s="688">
        <f>+INDICE!P2</f>
        <v>2021</v>
      </c>
    </row>
    <row r="8" spans="2:5" ht="9" customHeight="1" x14ac:dyDescent="0.35">
      <c r="B8" s="340"/>
      <c r="C8" s="687"/>
      <c r="D8" s="689"/>
    </row>
    <row r="9" spans="2:5" x14ac:dyDescent="0.35">
      <c r="B9" s="295" t="s">
        <v>25</v>
      </c>
      <c r="C9" s="341"/>
      <c r="D9" s="302"/>
    </row>
    <row r="10" spans="2:5" x14ac:dyDescent="0.35">
      <c r="B10" s="300"/>
      <c r="C10" s="341"/>
      <c r="D10" s="302"/>
    </row>
    <row r="11" spans="2:5" x14ac:dyDescent="0.35">
      <c r="B11" s="295" t="s">
        <v>26</v>
      </c>
      <c r="C11" s="341"/>
      <c r="D11" s="302"/>
    </row>
    <row r="12" spans="2:5" x14ac:dyDescent="0.35">
      <c r="B12" s="303" t="s">
        <v>27</v>
      </c>
      <c r="C12" s="342">
        <f>+'[4]ESTADOS DE RESULTADOS'!$G$13</f>
        <v>81560.136328297725</v>
      </c>
      <c r="D12" s="343">
        <f>+'[5]2.EERR USD'!$C$12</f>
        <v>1021.06</v>
      </c>
    </row>
    <row r="13" spans="2:5" x14ac:dyDescent="0.35">
      <c r="B13" s="344" t="s">
        <v>28</v>
      </c>
      <c r="C13" s="342">
        <f>+'[4]ESTADOS DE RESULTADOS'!$G$16+'[4]ESTADOS DE RESULTADOS'!$G$19</f>
        <v>172.40211790071183</v>
      </c>
      <c r="D13" s="343">
        <f>+'[5]2.EERR USD'!$C$13</f>
        <v>0.78</v>
      </c>
    </row>
    <row r="14" spans="2:5" x14ac:dyDescent="0.35">
      <c r="B14" s="344" t="s">
        <v>358</v>
      </c>
      <c r="C14" s="345">
        <f>+'[4]ESTADOS DE RESULTADOS'!$G$24</f>
        <v>1237380.7128839921</v>
      </c>
      <c r="D14" s="346">
        <v>0</v>
      </c>
    </row>
    <row r="15" spans="2:5" x14ac:dyDescent="0.35">
      <c r="B15" s="295" t="s">
        <v>29</v>
      </c>
      <c r="C15" s="347">
        <f>SUM(C12:C14)</f>
        <v>1319113.2513301906</v>
      </c>
      <c r="D15" s="348">
        <f>SUM(D12:D14)</f>
        <v>1021.8399999999999</v>
      </c>
    </row>
    <row r="16" spans="2:5" ht="21.75" customHeight="1" x14ac:dyDescent="0.35">
      <c r="B16" s="295" t="s">
        <v>30</v>
      </c>
      <c r="C16" s="342"/>
      <c r="D16" s="349"/>
    </row>
    <row r="17" spans="2:7" x14ac:dyDescent="0.35">
      <c r="B17" s="344" t="s">
        <v>31</v>
      </c>
      <c r="C17" s="342">
        <f>+'[4]ESTADOS DE RESULTADOS'!$G$42</f>
        <v>378968.28987031901</v>
      </c>
      <c r="D17" s="343">
        <f>+'[5]2.EERR USD'!$C$16</f>
        <v>3363.51</v>
      </c>
      <c r="E17" s="350"/>
    </row>
    <row r="18" spans="2:7" hidden="1" x14ac:dyDescent="0.35">
      <c r="B18" s="351" t="s">
        <v>32</v>
      </c>
      <c r="C18" s="342"/>
      <c r="D18" s="343"/>
    </row>
    <row r="19" spans="2:7" x14ac:dyDescent="0.35">
      <c r="B19" s="344" t="s">
        <v>158</v>
      </c>
      <c r="C19" s="342">
        <f>+'[4]ESTADOS DE RESULTADOS'!$G$62</f>
        <v>467.69088707323345</v>
      </c>
      <c r="D19" s="343">
        <f>+'[5]2.EERR USD'!$C$18</f>
        <v>104.66</v>
      </c>
    </row>
    <row r="20" spans="2:7" x14ac:dyDescent="0.35">
      <c r="B20" s="303" t="s">
        <v>34</v>
      </c>
      <c r="C20" s="342">
        <f>+'[4]ESTADOS DE RESULTADOS'!$G$67+'[4]ESTADOS DE RESULTADOS'!$G$60+'[4]ESTADOS DE RESULTADOS'!$G$57+'[4]ESTADOS DE RESULTADOS'!$G$49+'[4]ESTADOS DE RESULTADOS'!$G$44</f>
        <v>150670.59606419597</v>
      </c>
      <c r="D20" s="343">
        <f>+'[5]2.EERR USD'!$C$19</f>
        <v>22259.98</v>
      </c>
    </row>
    <row r="21" spans="2:7" x14ac:dyDescent="0.35">
      <c r="B21" s="303" t="s">
        <v>204</v>
      </c>
      <c r="C21" s="342">
        <f>+'[4]ESTADOS DE RESULTADOS'!$G$29</f>
        <v>204354.14042652806</v>
      </c>
      <c r="D21" s="343">
        <v>0</v>
      </c>
    </row>
    <row r="22" spans="2:7" x14ac:dyDescent="0.35">
      <c r="B22" s="303" t="s">
        <v>341</v>
      </c>
      <c r="C22" s="342">
        <f>+'[4]ESTADOS DE RESULTADOS'!$G$72</f>
        <v>93396.36</v>
      </c>
      <c r="D22" s="343">
        <v>0</v>
      </c>
    </row>
    <row r="23" spans="2:7" x14ac:dyDescent="0.35">
      <c r="B23" s="352" t="s">
        <v>35</v>
      </c>
      <c r="C23" s="353">
        <f>SUM(C17:C22)</f>
        <v>827857.07724811626</v>
      </c>
      <c r="D23" s="354">
        <f>SUM(D17:D22)</f>
        <v>25728.15</v>
      </c>
    </row>
    <row r="24" spans="2:7" ht="16.2" thickBot="1" x14ac:dyDescent="0.4">
      <c r="B24" s="352" t="s">
        <v>36</v>
      </c>
      <c r="C24" s="355">
        <f>+C15-C23</f>
        <v>491256.17408207431</v>
      </c>
      <c r="D24" s="356">
        <f>+D15-D23</f>
        <v>-24706.31</v>
      </c>
      <c r="G24" s="357"/>
    </row>
    <row r="25" spans="2:7" ht="16.2" thickTop="1" x14ac:dyDescent="0.35">
      <c r="B25" s="351"/>
      <c r="C25" s="586"/>
      <c r="D25" s="358"/>
    </row>
    <row r="26" spans="2:7" ht="16.2" thickBot="1" x14ac:dyDescent="0.4">
      <c r="B26" s="359"/>
      <c r="C26" s="360"/>
      <c r="D26" s="361"/>
      <c r="F26" s="362"/>
    </row>
    <row r="27" spans="2:7" x14ac:dyDescent="0.35">
      <c r="B27" s="363"/>
      <c r="C27" s="635">
        <f>+C24-'1.BG USD'!C51</f>
        <v>4.0820743306539953E-3</v>
      </c>
      <c r="D27" s="364"/>
    </row>
    <row r="28" spans="2:7" x14ac:dyDescent="0.35">
      <c r="B28" s="279" t="s">
        <v>157</v>
      </c>
      <c r="C28" s="350"/>
      <c r="D28" s="350"/>
    </row>
    <row r="29" spans="2:7" x14ac:dyDescent="0.35">
      <c r="B29" s="332"/>
      <c r="C29" s="350"/>
      <c r="D29" s="350"/>
    </row>
    <row r="30" spans="2:7" x14ac:dyDescent="0.35">
      <c r="B30" s="365"/>
      <c r="C30" s="350"/>
      <c r="D30" s="350"/>
    </row>
    <row r="31" spans="2:7" x14ac:dyDescent="0.35">
      <c r="B31" s="332"/>
      <c r="C31" s="350"/>
      <c r="D31" s="350"/>
    </row>
    <row r="32" spans="2:7" x14ac:dyDescent="0.35">
      <c r="B32" s="365"/>
      <c r="C32" s="366"/>
      <c r="D32" s="366"/>
    </row>
    <row r="33" spans="2:4" x14ac:dyDescent="0.35">
      <c r="B33" s="365"/>
      <c r="C33" s="350"/>
      <c r="D33" s="350"/>
    </row>
    <row r="34" spans="2:4" x14ac:dyDescent="0.35">
      <c r="B34" s="287"/>
      <c r="C34" s="350"/>
      <c r="D34" s="350"/>
    </row>
    <row r="35" spans="2:4" x14ac:dyDescent="0.35">
      <c r="B35" s="365"/>
      <c r="C35" s="350"/>
      <c r="D35" s="350"/>
    </row>
    <row r="36" spans="2:4" x14ac:dyDescent="0.35">
      <c r="B36" s="287"/>
      <c r="C36" s="350"/>
      <c r="D36" s="350"/>
    </row>
    <row r="37" spans="2:4" x14ac:dyDescent="0.35">
      <c r="B37" s="365"/>
      <c r="C37" s="366"/>
      <c r="D37" s="366"/>
    </row>
    <row r="38" spans="2:4" x14ac:dyDescent="0.35">
      <c r="B38" s="287"/>
      <c r="C38" s="350"/>
      <c r="D38" s="350"/>
    </row>
    <row r="39" spans="2:4" x14ac:dyDescent="0.35">
      <c r="B39" s="365"/>
      <c r="C39" s="350"/>
      <c r="D39" s="350"/>
    </row>
    <row r="40" spans="2:4" x14ac:dyDescent="0.35">
      <c r="B40" s="365"/>
      <c r="C40" s="350"/>
      <c r="D40" s="350"/>
    </row>
    <row r="41" spans="2:4" x14ac:dyDescent="0.35">
      <c r="B41" s="365"/>
      <c r="C41" s="350"/>
      <c r="D41" s="350"/>
    </row>
    <row r="42" spans="2:4" x14ac:dyDescent="0.35">
      <c r="B42" s="365"/>
      <c r="C42" s="366"/>
      <c r="D42" s="366"/>
    </row>
    <row r="44" spans="2:4" x14ac:dyDescent="0.35">
      <c r="C44" s="350"/>
      <c r="D44" s="350"/>
    </row>
    <row r="46" spans="2:4" x14ac:dyDescent="0.35">
      <c r="C46" s="350"/>
    </row>
    <row r="47" spans="2:4" x14ac:dyDescent="0.35">
      <c r="C47" s="350"/>
    </row>
    <row r="48" spans="2:4" x14ac:dyDescent="0.35">
      <c r="C48" s="350"/>
    </row>
  </sheetData>
  <mergeCells count="6">
    <mergeCell ref="B3:D3"/>
    <mergeCell ref="C7:C8"/>
    <mergeCell ref="D7:D8"/>
    <mergeCell ref="B2:E2"/>
    <mergeCell ref="B4:D4"/>
    <mergeCell ref="B5:D5"/>
  </mergeCells>
  <pageMargins left="0.25" right="0.25"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workbookViewId="0">
      <selection activeCell="L9" sqref="L9"/>
    </sheetView>
  </sheetViews>
  <sheetFormatPr baseColWidth="10" defaultColWidth="9.109375" defaultRowHeight="15.6" x14ac:dyDescent="0.35"/>
  <cols>
    <col min="1" max="1" width="5.6640625" style="261" customWidth="1"/>
    <col min="2" max="2" width="39.5546875" style="261" customWidth="1"/>
    <col min="3" max="3" width="25.6640625" style="261" customWidth="1"/>
    <col min="4" max="4" width="18.88671875" style="261" customWidth="1"/>
    <col min="5" max="5" width="42.44140625" style="261" customWidth="1"/>
    <col min="6" max="6" width="7.44140625" style="261" customWidth="1"/>
    <col min="7" max="7" width="16.44140625" style="261" bestFit="1" customWidth="1"/>
    <col min="8" max="8" width="17.109375" style="288" bestFit="1" customWidth="1"/>
    <col min="9" max="9" width="21.6640625" style="261" bestFit="1" customWidth="1"/>
    <col min="10" max="11" width="12.44140625" style="261" customWidth="1"/>
    <col min="12" max="16384" width="9.109375" style="261"/>
  </cols>
  <sheetData>
    <row r="1" spans="1:11" x14ac:dyDescent="0.35">
      <c r="A1" s="367"/>
      <c r="B1" s="368"/>
      <c r="C1" s="368"/>
      <c r="D1" s="368"/>
    </row>
    <row r="2" spans="1:11" ht="26.4" x14ac:dyDescent="0.6">
      <c r="A2" s="368"/>
      <c r="B2" s="690" t="s">
        <v>166</v>
      </c>
      <c r="C2" s="690"/>
      <c r="D2" s="690"/>
      <c r="E2" s="690"/>
      <c r="F2" s="369"/>
      <c r="G2" s="368"/>
      <c r="H2" s="370"/>
      <c r="I2" s="368"/>
      <c r="J2" s="368"/>
      <c r="K2" s="368"/>
    </row>
    <row r="3" spans="1:11" ht="26.4" x14ac:dyDescent="0.6">
      <c r="A3" s="367"/>
      <c r="B3" s="693" t="s">
        <v>16</v>
      </c>
      <c r="C3" s="693"/>
      <c r="D3" s="693"/>
      <c r="E3" s="693"/>
      <c r="F3" s="367"/>
      <c r="G3" s="367"/>
      <c r="H3" s="367"/>
      <c r="I3" s="371"/>
      <c r="J3" s="371"/>
      <c r="K3" s="371"/>
    </row>
    <row r="4" spans="1:11" x14ac:dyDescent="0.35">
      <c r="A4" s="371"/>
      <c r="B4" s="685" t="s">
        <v>354</v>
      </c>
      <c r="C4" s="685"/>
      <c r="D4" s="685"/>
      <c r="E4" s="685"/>
      <c r="F4" s="368"/>
      <c r="G4" s="368"/>
      <c r="H4" s="368"/>
      <c r="I4" s="371"/>
      <c r="J4" s="371"/>
      <c r="K4" s="371"/>
    </row>
    <row r="5" spans="1:11" x14ac:dyDescent="0.35">
      <c r="A5" s="371"/>
      <c r="B5" s="683" t="s">
        <v>195</v>
      </c>
      <c r="C5" s="683"/>
      <c r="D5" s="683"/>
      <c r="E5" s="683"/>
      <c r="F5" s="368"/>
      <c r="G5" s="368"/>
      <c r="H5" s="368"/>
      <c r="I5" s="371"/>
      <c r="J5" s="371"/>
      <c r="K5" s="371"/>
    </row>
    <row r="6" spans="1:11" x14ac:dyDescent="0.35">
      <c r="A6" s="371"/>
      <c r="B6" s="691"/>
      <c r="C6" s="691"/>
      <c r="D6" s="691"/>
      <c r="E6" s="691"/>
      <c r="F6" s="691"/>
      <c r="G6" s="691"/>
      <c r="H6" s="691"/>
      <c r="I6" s="371"/>
      <c r="J6" s="371"/>
      <c r="K6" s="371"/>
    </row>
    <row r="7" spans="1:11" x14ac:dyDescent="0.35">
      <c r="A7" s="371"/>
      <c r="B7" s="372" t="s">
        <v>17</v>
      </c>
      <c r="C7" s="373" t="s">
        <v>18</v>
      </c>
      <c r="D7" s="372" t="s">
        <v>19</v>
      </c>
      <c r="E7" s="496" t="s">
        <v>357</v>
      </c>
      <c r="F7" s="371"/>
      <c r="G7" s="371"/>
      <c r="H7" s="375"/>
      <c r="I7" s="371"/>
      <c r="J7" s="371"/>
      <c r="K7" s="371"/>
    </row>
    <row r="8" spans="1:11" x14ac:dyDescent="0.35">
      <c r="A8" s="371"/>
      <c r="B8" s="376" t="s">
        <v>20</v>
      </c>
      <c r="C8" s="377">
        <f>+'1.BG USD'!D48</f>
        <v>2860000</v>
      </c>
      <c r="D8" s="674">
        <f>+'1.BG USD'!D49</f>
        <v>104801.83916848601</v>
      </c>
      <c r="E8" s="378">
        <f>C8+D8</f>
        <v>2964801.8391684862</v>
      </c>
      <c r="F8" s="371"/>
      <c r="G8" s="670"/>
      <c r="H8" s="375"/>
      <c r="I8" s="670"/>
      <c r="J8" s="371"/>
      <c r="K8" s="379"/>
    </row>
    <row r="9" spans="1:11" x14ac:dyDescent="0.35">
      <c r="B9" s="380"/>
      <c r="C9" s="381"/>
      <c r="D9" s="675"/>
      <c r="E9" s="382"/>
    </row>
    <row r="10" spans="1:11" x14ac:dyDescent="0.35">
      <c r="A10" s="279"/>
      <c r="B10" s="380" t="s">
        <v>21</v>
      </c>
      <c r="C10" s="383"/>
      <c r="D10" s="676"/>
      <c r="E10" s="382"/>
      <c r="F10" s="384"/>
      <c r="G10" s="384"/>
      <c r="H10" s="385"/>
      <c r="I10" s="384"/>
      <c r="J10" s="384"/>
      <c r="K10" s="384"/>
    </row>
    <row r="11" spans="1:11" x14ac:dyDescent="0.35">
      <c r="A11" s="279"/>
      <c r="B11" s="386" t="s">
        <v>13</v>
      </c>
      <c r="C11" s="383">
        <f>+C16-C8</f>
        <v>3140000</v>
      </c>
      <c r="D11" s="676">
        <v>0</v>
      </c>
      <c r="E11" s="382">
        <f>C11+D11</f>
        <v>3140000</v>
      </c>
      <c r="F11" s="384"/>
      <c r="G11" s="670"/>
      <c r="H11" s="375"/>
      <c r="I11" s="670"/>
      <c r="J11" s="384"/>
      <c r="K11" s="384"/>
    </row>
    <row r="12" spans="1:11" x14ac:dyDescent="0.35">
      <c r="A12" s="379"/>
      <c r="B12" s="387" t="s">
        <v>22</v>
      </c>
      <c r="C12" s="382">
        <v>0</v>
      </c>
      <c r="D12" s="677">
        <v>0</v>
      </c>
      <c r="E12" s="382">
        <f t="shared" ref="E12" si="0">+C12+D12</f>
        <v>0</v>
      </c>
      <c r="F12" s="388"/>
      <c r="G12" s="379"/>
      <c r="H12" s="389"/>
      <c r="I12" s="388"/>
      <c r="J12" s="390"/>
      <c r="K12" s="390"/>
    </row>
    <row r="13" spans="1:11" x14ac:dyDescent="0.35">
      <c r="A13" s="379"/>
      <c r="B13" s="387" t="s">
        <v>159</v>
      </c>
      <c r="C13" s="391">
        <v>0</v>
      </c>
      <c r="D13" s="677">
        <v>0</v>
      </c>
      <c r="E13" s="382">
        <f>+C13+D13</f>
        <v>0</v>
      </c>
      <c r="F13" s="388"/>
      <c r="G13" s="379"/>
      <c r="H13" s="389"/>
      <c r="I13" s="388"/>
      <c r="J13" s="390"/>
      <c r="K13" s="390"/>
    </row>
    <row r="14" spans="1:11" x14ac:dyDescent="0.35">
      <c r="A14" s="379"/>
      <c r="B14" s="387" t="s">
        <v>162</v>
      </c>
      <c r="C14" s="391">
        <v>0</v>
      </c>
      <c r="D14" s="677">
        <v>0</v>
      </c>
      <c r="E14" s="382">
        <v>0</v>
      </c>
      <c r="F14" s="388"/>
      <c r="G14" s="379"/>
      <c r="H14" s="389"/>
      <c r="I14" s="388"/>
      <c r="J14" s="390"/>
      <c r="K14" s="390"/>
    </row>
    <row r="15" spans="1:11" x14ac:dyDescent="0.35">
      <c r="A15" s="279"/>
      <c r="B15" s="392" t="s">
        <v>23</v>
      </c>
      <c r="C15" s="393">
        <v>0</v>
      </c>
      <c r="D15" s="677">
        <f>+D16-D8</f>
        <v>386454.33083151397</v>
      </c>
      <c r="E15" s="393">
        <f>C15+D15</f>
        <v>386454.33083151397</v>
      </c>
      <c r="F15" s="279"/>
      <c r="G15" s="670"/>
      <c r="H15" s="375"/>
      <c r="I15" s="670"/>
      <c r="J15" s="279"/>
      <c r="K15" s="279"/>
    </row>
    <row r="16" spans="1:11" x14ac:dyDescent="0.35">
      <c r="A16" s="279"/>
      <c r="B16" s="394" t="s">
        <v>24</v>
      </c>
      <c r="C16" s="395">
        <f>+'1.BG USD'!C48</f>
        <v>6000000</v>
      </c>
      <c r="D16" s="395">
        <f>+'1.BG USD'!C49</f>
        <v>491256.17</v>
      </c>
      <c r="E16" s="678" t="s">
        <v>356</v>
      </c>
      <c r="F16" s="396"/>
      <c r="G16" s="316"/>
      <c r="H16" s="316"/>
      <c r="I16" s="396"/>
      <c r="J16" s="396"/>
      <c r="K16" s="396"/>
    </row>
    <row r="17" spans="1:13" ht="22.5" customHeight="1" thickBot="1" x14ac:dyDescent="0.4">
      <c r="A17" s="279"/>
      <c r="B17" s="374"/>
      <c r="C17" s="397"/>
      <c r="D17" s="397"/>
      <c r="E17" s="398">
        <f>+C16+D16</f>
        <v>6491256.1699999999</v>
      </c>
      <c r="F17" s="396"/>
      <c r="G17" s="316"/>
      <c r="H17" s="316"/>
      <c r="I17" s="396"/>
      <c r="J17" s="396"/>
      <c r="K17" s="396"/>
      <c r="M17" s="350"/>
    </row>
    <row r="18" spans="1:13" ht="16.2" thickTop="1" x14ac:dyDescent="0.35">
      <c r="A18" s="399"/>
      <c r="B18" s="396"/>
      <c r="C18" s="396"/>
      <c r="D18" s="396"/>
      <c r="E18" s="316"/>
      <c r="F18" s="396"/>
      <c r="G18" s="316"/>
      <c r="H18" s="316"/>
      <c r="I18" s="396"/>
      <c r="J18" s="396"/>
      <c r="K18" s="396"/>
      <c r="M18" s="350"/>
    </row>
    <row r="19" spans="1:13" x14ac:dyDescent="0.35">
      <c r="A19" s="279"/>
      <c r="B19" s="279" t="s">
        <v>157</v>
      </c>
      <c r="C19" s="396"/>
      <c r="D19" s="396"/>
      <c r="E19" s="400"/>
      <c r="F19" s="396"/>
      <c r="G19" s="396"/>
      <c r="H19" s="316"/>
      <c r="I19" s="396"/>
      <c r="J19" s="396"/>
      <c r="K19" s="396"/>
    </row>
    <row r="20" spans="1:13" x14ac:dyDescent="0.35">
      <c r="A20" s="279"/>
      <c r="B20" s="332"/>
      <c r="C20" s="396"/>
      <c r="D20" s="396"/>
      <c r="E20" s="316"/>
      <c r="F20" s="396"/>
      <c r="G20" s="396"/>
      <c r="H20" s="316"/>
      <c r="I20" s="396"/>
      <c r="J20" s="396"/>
      <c r="K20" s="396"/>
    </row>
    <row r="21" spans="1:13" ht="17.25" customHeight="1" x14ac:dyDescent="0.35">
      <c r="A21" s="279"/>
      <c r="B21" s="332"/>
      <c r="C21" s="332"/>
      <c r="D21" s="396"/>
      <c r="E21" s="316"/>
      <c r="F21" s="396"/>
      <c r="G21" s="396"/>
      <c r="H21" s="316"/>
      <c r="I21" s="316"/>
      <c r="J21" s="396"/>
      <c r="K21" s="396"/>
    </row>
    <row r="22" spans="1:13" x14ac:dyDescent="0.35">
      <c r="A22" s="279"/>
      <c r="B22" s="368"/>
      <c r="C22" s="396"/>
      <c r="D22" s="396"/>
      <c r="E22" s="316"/>
      <c r="F22" s="396"/>
      <c r="G22" s="396"/>
      <c r="H22" s="316"/>
      <c r="I22" s="396"/>
      <c r="J22" s="396"/>
      <c r="K22" s="396"/>
    </row>
    <row r="23" spans="1:13" x14ac:dyDescent="0.35">
      <c r="A23" s="279"/>
      <c r="B23" s="332"/>
      <c r="C23" s="396"/>
      <c r="D23" s="396"/>
      <c r="E23" s="396"/>
      <c r="F23" s="396"/>
      <c r="G23" s="396"/>
      <c r="H23" s="316"/>
      <c r="I23" s="396"/>
      <c r="J23" s="396"/>
      <c r="K23" s="396"/>
    </row>
    <row r="24" spans="1:13" x14ac:dyDescent="0.35">
      <c r="A24" s="279"/>
      <c r="B24" s="396"/>
      <c r="C24" s="396"/>
      <c r="D24" s="396"/>
      <c r="E24" s="396"/>
      <c r="F24" s="396"/>
      <c r="G24" s="396"/>
      <c r="H24" s="316"/>
      <c r="I24" s="396"/>
      <c r="J24" s="396"/>
      <c r="K24" s="396"/>
    </row>
    <row r="25" spans="1:13" x14ac:dyDescent="0.35">
      <c r="A25" s="279"/>
      <c r="B25" s="396"/>
      <c r="C25" s="396"/>
      <c r="D25" s="396"/>
      <c r="E25" s="396"/>
      <c r="F25" s="396"/>
      <c r="G25" s="396"/>
      <c r="H25" s="316"/>
      <c r="I25" s="396"/>
      <c r="J25" s="396"/>
      <c r="K25" s="396"/>
    </row>
    <row r="26" spans="1:13" x14ac:dyDescent="0.35">
      <c r="A26" s="279"/>
      <c r="B26" s="396"/>
      <c r="C26" s="396"/>
      <c r="D26" s="396"/>
      <c r="E26" s="396"/>
      <c r="F26" s="396"/>
      <c r="G26" s="396"/>
      <c r="H26" s="316"/>
      <c r="I26" s="396"/>
      <c r="J26" s="396"/>
      <c r="K26" s="396"/>
    </row>
    <row r="27" spans="1:13" x14ac:dyDescent="0.35">
      <c r="A27" s="368"/>
      <c r="B27" s="396"/>
      <c r="C27" s="396"/>
      <c r="D27" s="396"/>
      <c r="E27" s="396"/>
      <c r="F27" s="396"/>
      <c r="G27" s="396"/>
      <c r="H27" s="316"/>
      <c r="I27" s="396"/>
      <c r="J27" s="396"/>
      <c r="K27" s="396"/>
    </row>
    <row r="28" spans="1:13" x14ac:dyDescent="0.35">
      <c r="A28" s="368"/>
      <c r="B28" s="396"/>
      <c r="C28" s="396"/>
      <c r="D28" s="396"/>
      <c r="E28" s="396"/>
      <c r="F28" s="396"/>
      <c r="G28" s="396"/>
      <c r="H28" s="316"/>
      <c r="I28" s="396"/>
      <c r="J28" s="396"/>
      <c r="K28" s="396"/>
    </row>
    <row r="30" spans="1:13" x14ac:dyDescent="0.35">
      <c r="J30" s="350"/>
    </row>
    <row r="31" spans="1:13" x14ac:dyDescent="0.35">
      <c r="G31" s="350"/>
    </row>
    <row r="32" spans="1:13" x14ac:dyDescent="0.35">
      <c r="J32" s="350"/>
    </row>
    <row r="33" spans="2:10" x14ac:dyDescent="0.35">
      <c r="J33" s="350"/>
    </row>
    <row r="34" spans="2:10" x14ac:dyDescent="0.35">
      <c r="J34" s="350"/>
    </row>
    <row r="37" spans="2:10" x14ac:dyDescent="0.35">
      <c r="B37" s="379"/>
      <c r="C37" s="368"/>
      <c r="D37" s="368"/>
      <c r="E37" s="692"/>
      <c r="F37" s="692"/>
      <c r="G37" s="692"/>
      <c r="H37" s="692"/>
    </row>
    <row r="38" spans="2:10" x14ac:dyDescent="0.35">
      <c r="B38" s="379"/>
      <c r="C38" s="368"/>
      <c r="D38" s="368"/>
      <c r="E38" s="692"/>
      <c r="F38" s="692"/>
      <c r="G38" s="692"/>
      <c r="H38" s="692"/>
    </row>
  </sheetData>
  <mergeCells count="7">
    <mergeCell ref="B6:H6"/>
    <mergeCell ref="E37:H37"/>
    <mergeCell ref="E38:H38"/>
    <mergeCell ref="B2:E2"/>
    <mergeCell ref="B3:E3"/>
    <mergeCell ref="B4:E4"/>
    <mergeCell ref="B5:E5"/>
  </mergeCells>
  <pageMargins left="0.25" right="0.25"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66D8-2F16-4F72-9DF8-9864B265DB9D}">
  <sheetPr>
    <tabColor rgb="FFA32794"/>
  </sheetPr>
  <dimension ref="A1:DG101"/>
  <sheetViews>
    <sheetView zoomScale="130" zoomScaleNormal="130" workbookViewId="0">
      <pane xSplit="1" ySplit="7" topLeftCell="B66" activePane="bottomRight" state="frozen"/>
      <selection pane="topRight" activeCell="B1" sqref="B1"/>
      <selection pane="bottomLeft" activeCell="A8" sqref="A8"/>
      <selection pane="bottomRight" activeCell="A73" sqref="A73"/>
    </sheetView>
  </sheetViews>
  <sheetFormatPr baseColWidth="10" defaultColWidth="11.44140625" defaultRowHeight="13.2" x14ac:dyDescent="0.25"/>
  <cols>
    <col min="1" max="1" width="45.6640625" style="26" customWidth="1"/>
    <col min="2" max="2" width="25.6640625" style="145" customWidth="1"/>
    <col min="3" max="3" width="18.44140625" style="145" bestFit="1" customWidth="1"/>
    <col min="4" max="4" width="19.33203125" style="146" bestFit="1" customWidth="1"/>
    <col min="5" max="6" width="16" style="146" customWidth="1"/>
    <col min="7" max="7" width="18.44140625" style="145" bestFit="1" customWidth="1"/>
    <col min="8" max="8" width="14.44140625" style="145" bestFit="1" customWidth="1"/>
    <col min="9" max="11" width="15.33203125" style="145" customWidth="1"/>
    <col min="12" max="13" width="18.44140625" style="145" customWidth="1"/>
    <col min="14" max="14" width="20.109375" style="145" bestFit="1" customWidth="1"/>
    <col min="15" max="15" width="17.44140625" style="145" customWidth="1"/>
    <col min="16" max="16384" width="11.44140625" style="26"/>
  </cols>
  <sheetData>
    <row r="1" spans="1:15" ht="17.399999999999999" x14ac:dyDescent="0.3">
      <c r="A1" s="144" t="s">
        <v>310</v>
      </c>
    </row>
    <row r="2" spans="1:15" ht="17.399999999999999" x14ac:dyDescent="0.3">
      <c r="A2" s="144"/>
      <c r="F2" s="146" t="s">
        <v>309</v>
      </c>
      <c r="G2" s="145" t="s">
        <v>308</v>
      </c>
    </row>
    <row r="3" spans="1:15" ht="18" thickBot="1" x14ac:dyDescent="0.35">
      <c r="A3" s="144"/>
      <c r="F3" s="146" t="s">
        <v>307</v>
      </c>
      <c r="G3" s="145" t="s">
        <v>306</v>
      </c>
    </row>
    <row r="4" spans="1:15" x14ac:dyDescent="0.25">
      <c r="A4" s="141"/>
      <c r="B4" s="247"/>
      <c r="C4" s="259"/>
      <c r="D4" s="258"/>
      <c r="E4" s="257"/>
      <c r="F4" s="257"/>
      <c r="G4" s="256"/>
      <c r="H4" s="255"/>
      <c r="I4" s="255"/>
      <c r="J4" s="255"/>
      <c r="K4" s="255"/>
      <c r="L4" s="255"/>
      <c r="M4" s="242" t="s">
        <v>305</v>
      </c>
      <c r="N4" s="242" t="s">
        <v>304</v>
      </c>
      <c r="O4" s="254"/>
    </row>
    <row r="5" spans="1:15" ht="13.8" thickBot="1" x14ac:dyDescent="0.3">
      <c r="A5" s="138" t="s">
        <v>17</v>
      </c>
      <c r="B5" s="248" t="s">
        <v>302</v>
      </c>
      <c r="C5" s="253" t="s">
        <v>303</v>
      </c>
      <c r="D5" s="252"/>
      <c r="E5" s="245" t="s">
        <v>302</v>
      </c>
      <c r="F5" s="245" t="s">
        <v>301</v>
      </c>
      <c r="G5" s="251" t="s">
        <v>300</v>
      </c>
      <c r="H5" s="250"/>
      <c r="I5" s="250"/>
      <c r="J5" s="250"/>
      <c r="K5" s="250"/>
      <c r="L5" s="250"/>
      <c r="M5" s="248" t="s">
        <v>299</v>
      </c>
      <c r="N5" s="249" t="s">
        <v>298</v>
      </c>
      <c r="O5" s="238" t="s">
        <v>108</v>
      </c>
    </row>
    <row r="6" spans="1:15" x14ac:dyDescent="0.25">
      <c r="A6" s="132"/>
      <c r="B6" s="248" t="s">
        <v>19</v>
      </c>
      <c r="C6" s="247"/>
      <c r="D6" s="246"/>
      <c r="E6" s="245" t="s">
        <v>19</v>
      </c>
      <c r="F6" s="244" t="s">
        <v>290</v>
      </c>
      <c r="G6" s="243" t="s">
        <v>297</v>
      </c>
      <c r="H6" s="242" t="s">
        <v>296</v>
      </c>
      <c r="I6" s="239" t="s">
        <v>295</v>
      </c>
      <c r="J6" s="239" t="s">
        <v>294</v>
      </c>
      <c r="K6" s="241" t="s">
        <v>293</v>
      </c>
      <c r="L6" s="240" t="s">
        <v>292</v>
      </c>
      <c r="M6" s="239" t="s">
        <v>291</v>
      </c>
      <c r="N6" s="239" t="s">
        <v>291</v>
      </c>
      <c r="O6" s="238"/>
    </row>
    <row r="7" spans="1:15" ht="14.4" thickBot="1" x14ac:dyDescent="0.3">
      <c r="A7" s="122"/>
      <c r="B7" s="237" t="s">
        <v>359</v>
      </c>
      <c r="C7" s="232" t="s">
        <v>290</v>
      </c>
      <c r="D7" s="236" t="s">
        <v>176</v>
      </c>
      <c r="E7" s="235" t="s">
        <v>289</v>
      </c>
      <c r="F7" s="234" t="s">
        <v>288</v>
      </c>
      <c r="G7" s="233" t="s">
        <v>287</v>
      </c>
      <c r="H7" s="232" t="s">
        <v>286</v>
      </c>
      <c r="I7" s="229" t="s">
        <v>285</v>
      </c>
      <c r="J7" s="231" t="s">
        <v>284</v>
      </c>
      <c r="K7" s="231" t="s">
        <v>283</v>
      </c>
      <c r="L7" s="230" t="s">
        <v>282</v>
      </c>
      <c r="M7" s="229" t="s">
        <v>281</v>
      </c>
      <c r="N7" s="229" t="s">
        <v>281</v>
      </c>
      <c r="O7" s="228"/>
    </row>
    <row r="8" spans="1:15" x14ac:dyDescent="0.25">
      <c r="A8" s="113" t="s">
        <v>280</v>
      </c>
      <c r="B8" s="225"/>
      <c r="C8" s="225"/>
      <c r="D8" s="227"/>
      <c r="E8" s="226"/>
      <c r="F8" s="226"/>
      <c r="G8" s="225"/>
      <c r="H8" s="225"/>
      <c r="I8" s="225"/>
      <c r="J8" s="225"/>
      <c r="K8" s="225"/>
      <c r="L8" s="225"/>
      <c r="M8" s="225"/>
      <c r="N8" s="225"/>
      <c r="O8" s="224"/>
    </row>
    <row r="9" spans="1:15" x14ac:dyDescent="0.25">
      <c r="A9" s="109" t="s">
        <v>39</v>
      </c>
      <c r="B9" s="219">
        <f>+'1.BG USD'!C12</f>
        <v>185429.8438450346</v>
      </c>
      <c r="C9" s="219"/>
      <c r="D9" s="222"/>
      <c r="E9" s="162">
        <v>261013.46460722969</v>
      </c>
      <c r="F9" s="162">
        <f t="shared" ref="F9:F21" si="0">B9-E9+C9-D9</f>
        <v>-75583.620762195089</v>
      </c>
      <c r="G9" s="219"/>
      <c r="H9" s="219"/>
      <c r="I9" s="219"/>
      <c r="J9" s="219"/>
      <c r="K9" s="219"/>
      <c r="L9" s="219"/>
      <c r="M9" s="219"/>
      <c r="N9" s="219"/>
      <c r="O9" s="218">
        <f>F9</f>
        <v>-75583.620762195089</v>
      </c>
    </row>
    <row r="10" spans="1:15" ht="13.8" x14ac:dyDescent="0.3">
      <c r="A10" s="109" t="s">
        <v>279</v>
      </c>
      <c r="B10" s="223">
        <f>+'1.BG USD'!C20</f>
        <v>220801.44966640155</v>
      </c>
      <c r="C10" s="219"/>
      <c r="D10" s="222"/>
      <c r="E10" s="162">
        <v>104500.02677995752</v>
      </c>
      <c r="F10" s="162">
        <f t="shared" si="0"/>
        <v>116301.42288644402</v>
      </c>
      <c r="G10" s="219"/>
      <c r="H10" s="219"/>
      <c r="I10" s="219"/>
      <c r="J10" s="219"/>
      <c r="K10" s="219"/>
      <c r="L10" s="219">
        <f>-F10</f>
        <v>-116301.42288644402</v>
      </c>
      <c r="M10" s="219"/>
      <c r="N10" s="219"/>
      <c r="O10" s="218"/>
    </row>
    <row r="11" spans="1:15" x14ac:dyDescent="0.25">
      <c r="A11" s="106" t="s">
        <v>278</v>
      </c>
      <c r="B11" s="221">
        <v>0</v>
      </c>
      <c r="C11" s="221"/>
      <c r="D11" s="220"/>
      <c r="E11" s="182">
        <v>0</v>
      </c>
      <c r="F11" s="182">
        <f t="shared" si="0"/>
        <v>0</v>
      </c>
      <c r="G11" s="219"/>
      <c r="H11" s="219"/>
      <c r="I11" s="219"/>
      <c r="J11" s="219">
        <f>-F11</f>
        <v>0</v>
      </c>
      <c r="K11" s="219"/>
      <c r="L11" s="219"/>
      <c r="M11" s="219"/>
      <c r="N11" s="219"/>
      <c r="O11" s="218"/>
    </row>
    <row r="12" spans="1:15" x14ac:dyDescent="0.25">
      <c r="A12" s="69" t="s">
        <v>277</v>
      </c>
      <c r="B12" s="167">
        <v>0</v>
      </c>
      <c r="C12" s="167"/>
      <c r="D12" s="217"/>
      <c r="E12" s="189">
        <v>0</v>
      </c>
      <c r="F12" s="162">
        <f t="shared" si="0"/>
        <v>0</v>
      </c>
      <c r="G12" s="167">
        <f>-F12</f>
        <v>0</v>
      </c>
      <c r="H12" s="167"/>
      <c r="I12" s="167"/>
      <c r="J12" s="167"/>
      <c r="K12" s="167"/>
      <c r="L12" s="167"/>
      <c r="M12" s="167"/>
      <c r="N12" s="167"/>
      <c r="O12" s="165"/>
    </row>
    <row r="13" spans="1:15" x14ac:dyDescent="0.25">
      <c r="A13" s="69" t="s">
        <v>276</v>
      </c>
      <c r="B13" s="167">
        <f>+'1.BG USD'!C27+'1.BG USD'!C21</f>
        <v>954876.00628077646</v>
      </c>
      <c r="C13" s="167">
        <v>0</v>
      </c>
      <c r="D13" s="189"/>
      <c r="E13" s="189">
        <v>189688.66091050374</v>
      </c>
      <c r="F13" s="162">
        <f t="shared" si="0"/>
        <v>765187.34537027276</v>
      </c>
      <c r="H13" s="167"/>
      <c r="I13" s="167"/>
      <c r="J13" s="167"/>
      <c r="K13" s="167"/>
      <c r="L13" s="167">
        <f>-F13</f>
        <v>-765187.34537027276</v>
      </c>
      <c r="M13" s="167"/>
      <c r="N13" s="167"/>
      <c r="O13" s="165"/>
    </row>
    <row r="14" spans="1:15" x14ac:dyDescent="0.25">
      <c r="A14" s="102" t="s">
        <v>275</v>
      </c>
      <c r="B14" s="216">
        <v>0</v>
      </c>
      <c r="C14" s="216"/>
      <c r="D14" s="214"/>
      <c r="E14" s="214">
        <v>0</v>
      </c>
      <c r="F14" s="162">
        <f t="shared" si="0"/>
        <v>0</v>
      </c>
      <c r="G14" s="171"/>
      <c r="H14" s="171"/>
      <c r="I14" s="171"/>
      <c r="J14" s="171"/>
      <c r="K14" s="171"/>
      <c r="L14" s="171"/>
      <c r="M14" s="171"/>
      <c r="N14" s="171"/>
      <c r="O14" s="170"/>
    </row>
    <row r="15" spans="1:15" x14ac:dyDescent="0.25">
      <c r="A15" s="69" t="s">
        <v>274</v>
      </c>
      <c r="B15" s="167">
        <f>+'1.BG USD'!C17+'1.BG USD'!C33-B16</f>
        <v>1181968.7907996336</v>
      </c>
      <c r="C15" s="167"/>
      <c r="D15" s="189"/>
      <c r="E15" s="189">
        <v>842372.37414511538</v>
      </c>
      <c r="F15" s="162">
        <f t="shared" si="0"/>
        <v>339596.41665451822</v>
      </c>
      <c r="G15" s="167"/>
      <c r="H15" s="167"/>
      <c r="I15" s="167"/>
      <c r="J15" s="167"/>
      <c r="K15" s="167"/>
      <c r="L15" s="167"/>
      <c r="M15" s="167">
        <f>-F15</f>
        <v>-339596.41665451822</v>
      </c>
      <c r="N15" s="167"/>
      <c r="O15" s="165"/>
    </row>
    <row r="16" spans="1:15" x14ac:dyDescent="0.25">
      <c r="A16" s="69" t="s">
        <v>273</v>
      </c>
      <c r="B16" s="167">
        <f>+'1.BG USD'!C16</f>
        <v>3931110.9994956823</v>
      </c>
      <c r="C16" s="167">
        <f>+D44+D40</f>
        <v>-533170.24333575147</v>
      </c>
      <c r="D16" s="189">
        <f>+C34</f>
        <v>0</v>
      </c>
      <c r="E16" s="189">
        <v>1635588.162531055</v>
      </c>
      <c r="F16" s="162">
        <f t="shared" si="0"/>
        <v>1762352.5936288759</v>
      </c>
      <c r="G16" s="167"/>
      <c r="H16" s="167"/>
      <c r="I16" s="167"/>
      <c r="J16" s="167"/>
      <c r="K16" s="167"/>
      <c r="L16" s="167"/>
      <c r="M16" s="167">
        <f>-F16</f>
        <v>-1762352.5936288759</v>
      </c>
      <c r="N16" s="167"/>
      <c r="O16" s="165"/>
    </row>
    <row r="17" spans="1:111" x14ac:dyDescent="0.25">
      <c r="A17" s="102" t="s">
        <v>272</v>
      </c>
      <c r="B17" s="216">
        <f>+'1.BG USD'!C38</f>
        <v>77458.983142789744</v>
      </c>
      <c r="C17" s="215"/>
      <c r="D17" s="214"/>
      <c r="E17" s="214">
        <v>0</v>
      </c>
      <c r="F17" s="162">
        <f t="shared" si="0"/>
        <v>77458.983142789744</v>
      </c>
      <c r="G17" s="167"/>
      <c r="H17" s="167"/>
      <c r="I17" s="167"/>
      <c r="J17" s="167"/>
      <c r="K17" s="167"/>
      <c r="L17" s="167"/>
      <c r="M17" s="167">
        <f>-F17</f>
        <v>-77458.983142789744</v>
      </c>
      <c r="N17" s="167"/>
      <c r="O17" s="165"/>
    </row>
    <row r="18" spans="1:111" x14ac:dyDescent="0.25">
      <c r="A18" s="86" t="s">
        <v>271</v>
      </c>
      <c r="B18" s="197">
        <v>0</v>
      </c>
      <c r="C18" s="197"/>
      <c r="D18" s="213"/>
      <c r="E18" s="199">
        <v>0</v>
      </c>
      <c r="F18" s="194">
        <f t="shared" si="0"/>
        <v>0</v>
      </c>
      <c r="G18" s="171"/>
      <c r="H18" s="171"/>
      <c r="I18" s="171"/>
      <c r="J18" s="171"/>
      <c r="K18" s="171"/>
      <c r="L18" s="171"/>
      <c r="M18" s="171"/>
      <c r="N18" s="171"/>
      <c r="O18" s="170"/>
    </row>
    <row r="19" spans="1:111" x14ac:dyDescent="0.25">
      <c r="A19" s="102" t="s">
        <v>270</v>
      </c>
      <c r="B19" s="216">
        <v>0</v>
      </c>
      <c r="C19" s="215"/>
      <c r="D19" s="214"/>
      <c r="E19" s="214">
        <v>0</v>
      </c>
      <c r="F19" s="162">
        <f t="shared" si="0"/>
        <v>0</v>
      </c>
      <c r="G19" s="167"/>
      <c r="H19" s="167"/>
      <c r="I19" s="167"/>
      <c r="J19" s="167"/>
      <c r="K19" s="167"/>
      <c r="L19" s="167"/>
      <c r="M19" s="167">
        <f>-F19</f>
        <v>0</v>
      </c>
      <c r="N19" s="167"/>
      <c r="O19" s="165"/>
    </row>
    <row r="20" spans="1:111" x14ac:dyDescent="0.25">
      <c r="A20" s="86" t="s">
        <v>269</v>
      </c>
      <c r="B20" s="197">
        <v>0</v>
      </c>
      <c r="C20" s="197"/>
      <c r="D20" s="213"/>
      <c r="E20" s="199">
        <v>0</v>
      </c>
      <c r="F20" s="194">
        <f t="shared" si="0"/>
        <v>0</v>
      </c>
      <c r="G20" s="171"/>
      <c r="H20" s="171"/>
      <c r="I20" s="171"/>
      <c r="J20" s="171"/>
      <c r="K20" s="171"/>
      <c r="L20" s="171"/>
      <c r="M20" s="171"/>
      <c r="N20" s="171"/>
      <c r="O20" s="170"/>
    </row>
    <row r="21" spans="1:111" s="81" customFormat="1" x14ac:dyDescent="0.25">
      <c r="A21" s="98" t="s">
        <v>268</v>
      </c>
      <c r="B21" s="212">
        <v>0</v>
      </c>
      <c r="C21" s="174">
        <v>0</v>
      </c>
      <c r="D21" s="211">
        <v>0</v>
      </c>
      <c r="E21" s="211">
        <v>0</v>
      </c>
      <c r="F21" s="194">
        <f t="shared" si="0"/>
        <v>0</v>
      </c>
      <c r="G21" s="210"/>
      <c r="H21" s="210"/>
      <c r="I21" s="210"/>
      <c r="J21" s="210"/>
      <c r="K21" s="210"/>
      <c r="L21" s="210"/>
      <c r="M21" s="210">
        <f>-F21</f>
        <v>0</v>
      </c>
      <c r="N21" s="210"/>
      <c r="O21" s="209"/>
      <c r="P21" s="76">
        <v>8975342</v>
      </c>
      <c r="Q21" s="76">
        <v>105780824</v>
      </c>
      <c r="R21" s="76">
        <f>+Q21+P21</f>
        <v>114756166</v>
      </c>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row>
    <row r="22" spans="1:111" ht="13.8" thickBot="1" x14ac:dyDescent="0.3">
      <c r="A22" s="94" t="s">
        <v>267</v>
      </c>
      <c r="B22" s="193">
        <f>SUM(B9:B21)</f>
        <v>6551646.0732303178</v>
      </c>
      <c r="C22" s="167"/>
      <c r="D22" s="189"/>
      <c r="E22" s="192">
        <v>3033162.6889738613</v>
      </c>
      <c r="F22" s="162">
        <v>0</v>
      </c>
      <c r="G22" s="167"/>
      <c r="H22" s="167"/>
      <c r="I22" s="167"/>
      <c r="J22" s="167"/>
      <c r="K22" s="167"/>
      <c r="L22" s="167"/>
      <c r="M22" s="167"/>
      <c r="N22" s="167"/>
      <c r="O22" s="165"/>
      <c r="P22" s="76">
        <v>1599667</v>
      </c>
      <c r="Q22" s="76">
        <v>9474951</v>
      </c>
      <c r="R22" s="76">
        <f>+Q22+P22</f>
        <v>11074618</v>
      </c>
    </row>
    <row r="23" spans="1:111" ht="13.8" thickTop="1" x14ac:dyDescent="0.25">
      <c r="A23" s="78" t="s">
        <v>266</v>
      </c>
      <c r="B23" s="208">
        <f>+B22-'1.BG USD'!C40</f>
        <v>0</v>
      </c>
      <c r="C23" s="207"/>
      <c r="D23" s="206"/>
      <c r="E23" s="205">
        <v>0</v>
      </c>
      <c r="F23" s="204">
        <f t="shared" ref="F23:F38" si="1">B23-E23+C23-D23</f>
        <v>0</v>
      </c>
      <c r="G23" s="167"/>
      <c r="H23" s="167"/>
      <c r="I23" s="167"/>
      <c r="J23" s="167"/>
      <c r="K23" s="167"/>
      <c r="L23" s="167"/>
      <c r="M23" s="167"/>
      <c r="N23" s="167"/>
      <c r="O23" s="165"/>
      <c r="P23" s="76">
        <v>4727013</v>
      </c>
      <c r="Q23" s="76">
        <v>30725588</v>
      </c>
      <c r="R23" s="76">
        <f>+Q23+P23</f>
        <v>35452601</v>
      </c>
    </row>
    <row r="24" spans="1:111" x14ac:dyDescent="0.25">
      <c r="A24" s="69" t="s">
        <v>265</v>
      </c>
      <c r="B24" s="188">
        <v>0</v>
      </c>
      <c r="C24" s="167"/>
      <c r="D24" s="189"/>
      <c r="E24" s="187">
        <v>0</v>
      </c>
      <c r="F24" s="162">
        <f t="shared" si="1"/>
        <v>0</v>
      </c>
      <c r="G24" s="167"/>
      <c r="H24" s="167"/>
      <c r="I24" s="167"/>
      <c r="J24" s="167"/>
      <c r="K24" s="167"/>
      <c r="L24" s="167"/>
      <c r="M24" s="167"/>
      <c r="N24" s="167">
        <f>-F24</f>
        <v>0</v>
      </c>
      <c r="O24" s="165"/>
      <c r="P24" s="76">
        <v>5522903</v>
      </c>
      <c r="Q24" s="76">
        <v>52954902</v>
      </c>
      <c r="R24" s="76">
        <f>+Q24+P24</f>
        <v>58477805</v>
      </c>
    </row>
    <row r="25" spans="1:111" x14ac:dyDescent="0.25">
      <c r="A25" s="69" t="s">
        <v>264</v>
      </c>
      <c r="B25" s="167">
        <v>0</v>
      </c>
      <c r="C25" s="167">
        <f>+D31</f>
        <v>0</v>
      </c>
      <c r="D25" s="189"/>
      <c r="E25" s="189">
        <v>0</v>
      </c>
      <c r="F25" s="162">
        <f t="shared" si="1"/>
        <v>0</v>
      </c>
      <c r="G25" s="167">
        <f>-F25</f>
        <v>0</v>
      </c>
      <c r="H25" s="167"/>
      <c r="J25" s="167"/>
      <c r="K25" s="167"/>
      <c r="L25" s="167"/>
      <c r="M25" s="167"/>
      <c r="N25" s="167"/>
      <c r="O25" s="165"/>
      <c r="P25" s="76">
        <v>1172931</v>
      </c>
      <c r="Q25" s="76">
        <v>51608984</v>
      </c>
      <c r="R25" s="76">
        <f>+Q25+P25</f>
        <v>52781915</v>
      </c>
    </row>
    <row r="26" spans="1:111" x14ac:dyDescent="0.25">
      <c r="A26" s="69" t="s">
        <v>263</v>
      </c>
      <c r="B26" s="167">
        <f>-'1.BG USD'!C46</f>
        <v>-60389.903473294464</v>
      </c>
      <c r="C26" s="167">
        <f>+D46</f>
        <v>0</v>
      </c>
      <c r="D26" s="189"/>
      <c r="E26" s="189">
        <v>-68360.849448609399</v>
      </c>
      <c r="F26" s="162">
        <f t="shared" si="1"/>
        <v>7970.9459753149349</v>
      </c>
      <c r="G26" s="167"/>
      <c r="H26" s="167"/>
      <c r="I26" s="167">
        <f>-F26</f>
        <v>-7970.9459753149349</v>
      </c>
      <c r="J26" s="167"/>
      <c r="K26" s="167"/>
      <c r="L26" s="167">
        <v>0</v>
      </c>
      <c r="M26" s="167"/>
      <c r="N26" s="167"/>
      <c r="O26" s="165"/>
      <c r="P26" s="91">
        <f>SUM(P21:P25)</f>
        <v>21997856</v>
      </c>
      <c r="Q26" s="91">
        <f>SUM(Q21:Q25)</f>
        <v>250545249</v>
      </c>
      <c r="R26" s="91">
        <f>SUM(R21:R25)</f>
        <v>272543105</v>
      </c>
    </row>
    <row r="27" spans="1:111" x14ac:dyDescent="0.25">
      <c r="A27" s="69" t="s">
        <v>262</v>
      </c>
      <c r="B27" s="167">
        <f>-'[6]Balance Gral. Resol. 6'!G23-'[6]Balance Gral. Resol. 6'!G22</f>
        <v>0</v>
      </c>
      <c r="C27" s="167">
        <v>0</v>
      </c>
      <c r="D27" s="189"/>
      <c r="E27" s="189">
        <v>0</v>
      </c>
      <c r="F27" s="162">
        <f t="shared" si="1"/>
        <v>0</v>
      </c>
      <c r="G27" s="167"/>
      <c r="H27" s="167"/>
      <c r="I27" s="167"/>
      <c r="J27" s="167"/>
      <c r="K27" s="167"/>
      <c r="L27" s="167">
        <v>0</v>
      </c>
      <c r="M27" s="167"/>
      <c r="N27" s="167">
        <f>-F27</f>
        <v>0</v>
      </c>
      <c r="O27" s="165"/>
      <c r="P27" s="76"/>
      <c r="Q27" s="76"/>
      <c r="R27" s="76"/>
    </row>
    <row r="28" spans="1:111" x14ac:dyDescent="0.25">
      <c r="A28" s="69" t="s">
        <v>261</v>
      </c>
      <c r="B28" s="167">
        <v>0</v>
      </c>
      <c r="C28" s="167"/>
      <c r="D28" s="189"/>
      <c r="E28" s="189">
        <v>0</v>
      </c>
      <c r="F28" s="162">
        <f t="shared" si="1"/>
        <v>0</v>
      </c>
      <c r="G28" s="167"/>
      <c r="H28" s="167"/>
      <c r="I28" s="167"/>
      <c r="J28" s="167">
        <f>-F28</f>
        <v>0</v>
      </c>
      <c r="M28" s="167"/>
      <c r="N28" s="167"/>
      <c r="O28" s="165"/>
      <c r="P28" s="76"/>
      <c r="Q28" s="76"/>
      <c r="R28" s="76"/>
    </row>
    <row r="29" spans="1:111" x14ac:dyDescent="0.25">
      <c r="A29" s="69" t="s">
        <v>260</v>
      </c>
      <c r="B29" s="167">
        <v>0</v>
      </c>
      <c r="C29" s="203"/>
      <c r="D29" s="189"/>
      <c r="E29" s="189">
        <v>0</v>
      </c>
      <c r="F29" s="162">
        <f t="shared" si="1"/>
        <v>0</v>
      </c>
      <c r="G29" s="167"/>
      <c r="H29" s="167"/>
      <c r="I29" s="167"/>
      <c r="J29" s="167"/>
      <c r="K29" s="167"/>
      <c r="L29" s="167">
        <f>-F29</f>
        <v>0</v>
      </c>
      <c r="M29" s="167"/>
      <c r="N29" s="167"/>
      <c r="O29" s="165"/>
      <c r="P29" s="76"/>
      <c r="Q29" s="76"/>
      <c r="R29" s="76"/>
    </row>
    <row r="30" spans="1:111" x14ac:dyDescent="0.25">
      <c r="A30" s="89" t="s">
        <v>259</v>
      </c>
      <c r="B30" s="202">
        <f>-'1.BG USD'!C48</f>
        <v>-6000000</v>
      </c>
      <c r="C30" s="201">
        <v>0</v>
      </c>
      <c r="D30" s="200"/>
      <c r="E30" s="200">
        <v>-2860000</v>
      </c>
      <c r="F30" s="194">
        <f t="shared" si="1"/>
        <v>-3140000</v>
      </c>
      <c r="G30" s="167"/>
      <c r="H30" s="167"/>
      <c r="I30" s="167"/>
      <c r="J30" s="167"/>
      <c r="K30" s="167"/>
      <c r="L30" s="167"/>
      <c r="M30" s="167"/>
      <c r="N30" s="167">
        <f>-F30</f>
        <v>3140000</v>
      </c>
      <c r="O30" s="165"/>
      <c r="P30" s="76"/>
      <c r="Q30" s="76"/>
      <c r="R30" s="76"/>
    </row>
    <row r="31" spans="1:111" x14ac:dyDescent="0.25">
      <c r="A31" s="69" t="s">
        <v>258</v>
      </c>
      <c r="B31" s="167">
        <v>0</v>
      </c>
      <c r="D31" s="189">
        <v>0</v>
      </c>
      <c r="E31" s="189">
        <v>0</v>
      </c>
      <c r="F31" s="162">
        <f t="shared" si="1"/>
        <v>0</v>
      </c>
      <c r="G31" s="167"/>
      <c r="H31" s="167"/>
      <c r="I31" s="167"/>
      <c r="J31" s="167"/>
      <c r="K31" s="167"/>
      <c r="L31" s="167"/>
      <c r="M31" s="167"/>
      <c r="N31" s="167">
        <f>-F31</f>
        <v>0</v>
      </c>
      <c r="O31" s="165"/>
      <c r="P31" s="76"/>
      <c r="Q31" s="76"/>
      <c r="R31" s="76"/>
    </row>
    <row r="32" spans="1:111" x14ac:dyDescent="0.25">
      <c r="A32" s="86" t="s">
        <v>257</v>
      </c>
      <c r="B32" s="197">
        <v>0</v>
      </c>
      <c r="C32" s="197">
        <v>0</v>
      </c>
      <c r="D32" s="199">
        <v>0</v>
      </c>
      <c r="E32" s="199">
        <v>0</v>
      </c>
      <c r="F32" s="194">
        <f t="shared" si="1"/>
        <v>0</v>
      </c>
      <c r="G32" s="171"/>
      <c r="H32" s="171"/>
      <c r="I32" s="171"/>
      <c r="J32" s="171"/>
      <c r="K32" s="171"/>
      <c r="L32" s="171"/>
      <c r="M32" s="171"/>
      <c r="N32" s="171"/>
      <c r="O32" s="170"/>
      <c r="P32" s="76"/>
      <c r="Q32" s="76"/>
      <c r="R32" s="76"/>
    </row>
    <row r="33" spans="1:111" x14ac:dyDescent="0.25">
      <c r="A33" s="86" t="s">
        <v>242</v>
      </c>
      <c r="B33" s="197">
        <v>0</v>
      </c>
      <c r="C33" s="197">
        <v>0</v>
      </c>
      <c r="D33" s="199"/>
      <c r="E33" s="199">
        <v>0</v>
      </c>
      <c r="F33" s="194">
        <f t="shared" si="1"/>
        <v>0</v>
      </c>
      <c r="G33" s="171"/>
      <c r="H33" s="171"/>
      <c r="I33" s="171"/>
      <c r="J33" s="171"/>
      <c r="K33" s="171"/>
      <c r="L33" s="171"/>
      <c r="M33" s="171"/>
      <c r="N33" s="171"/>
      <c r="O33" s="170"/>
      <c r="P33" s="76"/>
      <c r="Q33" s="76"/>
      <c r="R33" s="76"/>
    </row>
    <row r="34" spans="1:111" x14ac:dyDescent="0.25">
      <c r="A34" s="86" t="s">
        <v>256</v>
      </c>
      <c r="B34" s="197">
        <v>0</v>
      </c>
      <c r="C34" s="197">
        <v>0</v>
      </c>
      <c r="D34" s="199">
        <v>0</v>
      </c>
      <c r="E34" s="199">
        <v>0</v>
      </c>
      <c r="F34" s="194">
        <f t="shared" si="1"/>
        <v>0</v>
      </c>
      <c r="G34" s="171"/>
      <c r="H34" s="171"/>
      <c r="I34" s="171"/>
      <c r="J34" s="171"/>
      <c r="K34" s="171"/>
      <c r="L34" s="171"/>
      <c r="M34" s="171"/>
      <c r="N34" s="171"/>
      <c r="O34" s="170"/>
      <c r="P34" s="76"/>
      <c r="Q34" s="76"/>
      <c r="R34" s="76"/>
    </row>
    <row r="35" spans="1:111" s="81" customFormat="1" x14ac:dyDescent="0.25">
      <c r="A35" s="86" t="s">
        <v>255</v>
      </c>
      <c r="B35" s="197">
        <f>-'1.BG USD'!C50</f>
        <v>0</v>
      </c>
      <c r="C35" s="197">
        <v>0</v>
      </c>
      <c r="D35" s="199">
        <v>0</v>
      </c>
      <c r="E35" s="199">
        <v>0</v>
      </c>
      <c r="F35" s="194">
        <f t="shared" si="1"/>
        <v>0</v>
      </c>
      <c r="G35" s="171"/>
      <c r="H35" s="171"/>
      <c r="I35" s="171"/>
      <c r="J35" s="171"/>
      <c r="K35" s="171"/>
      <c r="L35" s="171"/>
      <c r="M35" s="171"/>
      <c r="N35" s="171"/>
      <c r="O35" s="170"/>
      <c r="P35" s="76"/>
      <c r="Q35" s="76"/>
      <c r="R35" s="7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row>
    <row r="36" spans="1:111" s="597" customFormat="1" x14ac:dyDescent="0.25">
      <c r="A36" s="587" t="s">
        <v>254</v>
      </c>
      <c r="B36" s="588">
        <v>0</v>
      </c>
      <c r="C36" s="589">
        <f>+D37</f>
        <v>104801.84</v>
      </c>
      <c r="D36" s="590"/>
      <c r="E36" s="591">
        <v>0</v>
      </c>
      <c r="F36" s="592">
        <f t="shared" si="1"/>
        <v>104801.84</v>
      </c>
      <c r="G36" s="593"/>
      <c r="H36" s="593"/>
      <c r="I36" s="593"/>
      <c r="J36" s="593"/>
      <c r="K36" s="593"/>
      <c r="L36" s="594"/>
      <c r="M36" s="593"/>
      <c r="N36" s="167">
        <f>-F36</f>
        <v>-104801.84</v>
      </c>
      <c r="O36" s="595"/>
      <c r="P36" s="596"/>
      <c r="Q36" s="596"/>
      <c r="R36" s="596"/>
    </row>
    <row r="37" spans="1:111" s="81" customFormat="1" ht="13.8" thickBot="1" x14ac:dyDescent="0.3">
      <c r="A37" s="86" t="s">
        <v>253</v>
      </c>
      <c r="B37" s="198">
        <f>-'1.BG USD'!C51</f>
        <v>-491256.17</v>
      </c>
      <c r="C37" s="197">
        <f>+D56</f>
        <v>491256.17408207443</v>
      </c>
      <c r="D37" s="196">
        <v>104801.84</v>
      </c>
      <c r="E37" s="195">
        <v>-104801.83916848601</v>
      </c>
      <c r="F37" s="194">
        <f t="shared" si="1"/>
        <v>3.2505604613106698E-3</v>
      </c>
      <c r="G37" s="171"/>
      <c r="H37" s="171"/>
      <c r="I37" s="171"/>
      <c r="J37" s="171"/>
      <c r="K37" s="171"/>
      <c r="L37" s="171"/>
      <c r="M37" s="171"/>
      <c r="N37" s="171"/>
      <c r="O37" s="170"/>
      <c r="P37" s="76"/>
      <c r="Q37" s="76"/>
      <c r="R37" s="7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row>
    <row r="38" spans="1:111" ht="13.8" thickBot="1" x14ac:dyDescent="0.3">
      <c r="A38" s="80" t="s">
        <v>52</v>
      </c>
      <c r="B38" s="193">
        <f>SUM(B24:B37)</f>
        <v>-6551646.0734732943</v>
      </c>
      <c r="C38" s="167"/>
      <c r="D38" s="189"/>
      <c r="E38" s="192">
        <v>-3033162.6886170954</v>
      </c>
      <c r="F38" s="162">
        <f t="shared" si="1"/>
        <v>-3518483.3848561989</v>
      </c>
      <c r="G38" s="167"/>
      <c r="H38" s="167"/>
      <c r="I38" s="167"/>
      <c r="J38" s="167"/>
      <c r="K38" s="167"/>
      <c r="L38" s="167"/>
      <c r="M38" s="167"/>
      <c r="N38" s="167"/>
      <c r="O38" s="165"/>
      <c r="P38" s="76"/>
      <c r="Q38" s="76"/>
      <c r="R38" s="76"/>
    </row>
    <row r="39" spans="1:111" ht="13.8" thickTop="1" x14ac:dyDescent="0.25">
      <c r="A39" s="78" t="s">
        <v>252</v>
      </c>
      <c r="B39" s="191">
        <f>+B38+B22</f>
        <v>-2.4297647178173065E-4</v>
      </c>
      <c r="C39" s="167"/>
      <c r="D39" s="189"/>
      <c r="E39" s="190">
        <v>0</v>
      </c>
      <c r="F39" s="162">
        <v>0</v>
      </c>
      <c r="G39" s="167"/>
      <c r="H39" s="167"/>
      <c r="I39" s="167"/>
      <c r="J39" s="167"/>
      <c r="K39" s="167"/>
      <c r="L39" s="167"/>
      <c r="M39" s="167"/>
      <c r="N39" s="167"/>
      <c r="O39" s="165"/>
      <c r="P39" s="76"/>
      <c r="Q39" s="76"/>
      <c r="R39" s="76"/>
    </row>
    <row r="40" spans="1:111" x14ac:dyDescent="0.25">
      <c r="A40" s="69" t="s">
        <v>251</v>
      </c>
      <c r="B40" s="167">
        <f>-'2.EERR USD'!C14</f>
        <v>-1237380.7128839921</v>
      </c>
      <c r="C40" s="167"/>
      <c r="D40" s="189">
        <v>-610968.30000000005</v>
      </c>
      <c r="E40" s="189"/>
      <c r="F40" s="162">
        <f t="shared" ref="F40:F51" si="2">B40-E40+C40-D40</f>
        <v>-626412.41288399207</v>
      </c>
      <c r="G40" s="167">
        <f>-F40</f>
        <v>626412.41288399207</v>
      </c>
      <c r="H40" s="167"/>
      <c r="I40" s="167"/>
      <c r="J40" s="167"/>
      <c r="K40" s="167"/>
      <c r="L40" s="167"/>
      <c r="M40" s="167"/>
      <c r="N40" s="167"/>
      <c r="O40" s="165"/>
    </row>
    <row r="41" spans="1:111" x14ac:dyDescent="0.25">
      <c r="A41" s="69" t="s">
        <v>250</v>
      </c>
      <c r="B41" s="167">
        <f>-'2.EERR USD'!C12-'2.EERR USD'!C13</f>
        <v>-81732.538446198436</v>
      </c>
      <c r="C41" s="167"/>
      <c r="D41" s="189"/>
      <c r="E41" s="189"/>
      <c r="F41" s="162">
        <f t="shared" si="2"/>
        <v>-81732.538446198436</v>
      </c>
      <c r="G41" s="167">
        <f>-F41</f>
        <v>81732.538446198436</v>
      </c>
      <c r="H41" s="167">
        <v>0</v>
      </c>
      <c r="I41" s="167"/>
      <c r="J41" s="167"/>
      <c r="K41" s="167"/>
      <c r="L41" s="167"/>
      <c r="M41" s="167"/>
      <c r="N41" s="167"/>
      <c r="O41" s="165"/>
    </row>
    <row r="42" spans="1:111" x14ac:dyDescent="0.25">
      <c r="A42" s="69" t="s">
        <v>249</v>
      </c>
      <c r="B42" s="167">
        <v>0</v>
      </c>
      <c r="C42" s="167"/>
      <c r="D42" s="189"/>
      <c r="E42" s="189"/>
      <c r="F42" s="162">
        <f t="shared" si="2"/>
        <v>0</v>
      </c>
      <c r="G42" s="167"/>
      <c r="H42" s="167"/>
      <c r="I42" s="167"/>
      <c r="J42" s="167"/>
      <c r="K42" s="167"/>
      <c r="L42" s="167"/>
      <c r="M42" s="167">
        <f>-F42</f>
        <v>0</v>
      </c>
      <c r="N42" s="167"/>
      <c r="O42" s="165"/>
    </row>
    <row r="43" spans="1:111" x14ac:dyDescent="0.25">
      <c r="A43" s="69" t="s">
        <v>248</v>
      </c>
      <c r="B43" s="167">
        <v>0</v>
      </c>
      <c r="C43" s="167"/>
      <c r="D43" s="189"/>
      <c r="E43" s="189"/>
      <c r="F43" s="162">
        <f t="shared" si="2"/>
        <v>0</v>
      </c>
      <c r="G43" s="167"/>
      <c r="H43" s="167"/>
      <c r="I43" s="167"/>
      <c r="J43" s="167"/>
      <c r="K43" s="167"/>
      <c r="L43" s="167"/>
      <c r="M43" s="167">
        <f>-B43</f>
        <v>0</v>
      </c>
      <c r="N43" s="167"/>
      <c r="O43" s="165"/>
    </row>
    <row r="44" spans="1:111" x14ac:dyDescent="0.25">
      <c r="A44" s="69" t="s">
        <v>247</v>
      </c>
      <c r="B44" s="167">
        <f>+'2.EERR USD'!C21</f>
        <v>204354.14042652806</v>
      </c>
      <c r="C44" s="167"/>
      <c r="D44" s="189">
        <f>+'[4]ESTADOS DE RESULTADOS'!$G$32</f>
        <v>77798.056664248565</v>
      </c>
      <c r="E44" s="189"/>
      <c r="F44" s="162">
        <f t="shared" si="2"/>
        <v>126556.08376227949</v>
      </c>
      <c r="G44" s="167"/>
      <c r="H44" s="167"/>
      <c r="I44" s="167">
        <f>-F44</f>
        <v>-126556.08376227949</v>
      </c>
      <c r="J44" s="167"/>
      <c r="K44" s="167"/>
      <c r="L44" s="167"/>
      <c r="M44" s="167"/>
      <c r="N44" s="167"/>
      <c r="O44" s="165"/>
    </row>
    <row r="45" spans="1:111" x14ac:dyDescent="0.25">
      <c r="A45" s="69" t="s">
        <v>246</v>
      </c>
      <c r="B45" s="167">
        <v>0</v>
      </c>
      <c r="C45" s="167"/>
      <c r="D45" s="189"/>
      <c r="E45" s="189"/>
      <c r="F45" s="162">
        <f t="shared" si="2"/>
        <v>0</v>
      </c>
      <c r="G45" s="167"/>
      <c r="H45" s="167"/>
      <c r="I45" s="167"/>
      <c r="J45" s="167"/>
      <c r="K45" s="167">
        <f>-F45</f>
        <v>0</v>
      </c>
      <c r="L45" s="167"/>
      <c r="M45" s="167"/>
      <c r="N45" s="167"/>
      <c r="O45" s="165"/>
    </row>
    <row r="46" spans="1:111" x14ac:dyDescent="0.25">
      <c r="A46" s="69" t="s">
        <v>245</v>
      </c>
      <c r="B46" s="167">
        <f>+'2.EERR USD'!C17</f>
        <v>378968.28987031901</v>
      </c>
      <c r="C46" s="167"/>
      <c r="D46" s="189">
        <v>0</v>
      </c>
      <c r="E46" s="189"/>
      <c r="F46" s="162">
        <f t="shared" si="2"/>
        <v>378968.28987031901</v>
      </c>
      <c r="G46" s="167"/>
      <c r="H46" s="167"/>
      <c r="I46" s="167"/>
      <c r="J46" s="167"/>
      <c r="K46" s="167"/>
      <c r="L46" s="167">
        <f>-F46</f>
        <v>-378968.28987031901</v>
      </c>
      <c r="M46" s="167"/>
      <c r="N46" s="167"/>
      <c r="O46" s="165"/>
    </row>
    <row r="47" spans="1:111" x14ac:dyDescent="0.25">
      <c r="A47" s="69" t="s">
        <v>244</v>
      </c>
      <c r="B47" s="188">
        <f>+'2.EERR USD'!C19+'2.EERR USD'!C20</f>
        <v>151138.2869512692</v>
      </c>
      <c r="C47" s="167"/>
      <c r="D47" s="181">
        <v>0</v>
      </c>
      <c r="E47" s="187"/>
      <c r="F47" s="162">
        <f t="shared" si="2"/>
        <v>151138.2869512692</v>
      </c>
      <c r="G47" s="167"/>
      <c r="H47" s="167"/>
      <c r="I47" s="167"/>
      <c r="J47" s="167"/>
      <c r="K47" s="167"/>
      <c r="L47" s="167">
        <f>-F47</f>
        <v>-151138.2869512692</v>
      </c>
      <c r="M47" s="167"/>
      <c r="N47" s="167"/>
      <c r="O47" s="165"/>
    </row>
    <row r="48" spans="1:111" x14ac:dyDescent="0.25">
      <c r="A48" s="71" t="s">
        <v>243</v>
      </c>
      <c r="B48" s="185">
        <v>0</v>
      </c>
      <c r="C48" s="174"/>
      <c r="D48" s="173"/>
      <c r="E48" s="184"/>
      <c r="F48" s="182">
        <f t="shared" si="2"/>
        <v>0</v>
      </c>
      <c r="G48" s="171"/>
      <c r="H48" s="171"/>
      <c r="I48" s="171"/>
      <c r="J48" s="171"/>
      <c r="K48" s="171"/>
      <c r="L48" s="171">
        <f>F48</f>
        <v>0</v>
      </c>
      <c r="M48" s="171"/>
      <c r="N48" s="171"/>
      <c r="O48" s="170"/>
    </row>
    <row r="49" spans="1:15" x14ac:dyDescent="0.25">
      <c r="A49" s="67" t="s">
        <v>242</v>
      </c>
      <c r="B49" s="186">
        <v>0</v>
      </c>
      <c r="C49" s="174"/>
      <c r="D49" s="173"/>
      <c r="E49" s="184"/>
      <c r="F49" s="182">
        <f t="shared" si="2"/>
        <v>0</v>
      </c>
      <c r="G49" s="171"/>
      <c r="H49" s="171"/>
      <c r="I49" s="171"/>
      <c r="J49" s="171"/>
      <c r="K49" s="171"/>
      <c r="L49" s="171">
        <f>-F49</f>
        <v>0</v>
      </c>
      <c r="M49" s="171"/>
      <c r="N49" s="171"/>
      <c r="O49" s="170"/>
    </row>
    <row r="50" spans="1:15" s="606" customFormat="1" x14ac:dyDescent="0.25">
      <c r="A50" s="599" t="s">
        <v>342</v>
      </c>
      <c r="B50" s="600">
        <f>+'2.EERR USD'!C22</f>
        <v>93396.36</v>
      </c>
      <c r="C50" s="601"/>
      <c r="D50" s="602"/>
      <c r="E50" s="603"/>
      <c r="F50" s="604">
        <f t="shared" si="2"/>
        <v>93396.36</v>
      </c>
      <c r="G50" s="601"/>
      <c r="H50" s="601"/>
      <c r="I50" s="601"/>
      <c r="J50" s="601"/>
      <c r="K50" s="601"/>
      <c r="L50" s="601">
        <f>-F50</f>
        <v>-93396.36</v>
      </c>
      <c r="M50" s="601"/>
      <c r="N50" s="601"/>
      <c r="O50" s="605"/>
    </row>
    <row r="51" spans="1:15" x14ac:dyDescent="0.25">
      <c r="A51" s="71" t="s">
        <v>240</v>
      </c>
      <c r="B51" s="174">
        <v>0</v>
      </c>
      <c r="C51" s="174"/>
      <c r="D51" s="173"/>
      <c r="E51" s="183"/>
      <c r="F51" s="182">
        <f t="shared" si="2"/>
        <v>0</v>
      </c>
      <c r="G51" s="167"/>
      <c r="H51" s="167"/>
      <c r="I51" s="167"/>
      <c r="J51" s="167"/>
      <c r="K51" s="167"/>
      <c r="L51" s="167"/>
      <c r="M51" s="167"/>
      <c r="N51" s="167">
        <f>+L5-F51</f>
        <v>0</v>
      </c>
      <c r="O51" s="165"/>
    </row>
    <row r="52" spans="1:15" x14ac:dyDescent="0.25">
      <c r="A52" s="69"/>
      <c r="B52" s="166"/>
      <c r="C52" s="167"/>
      <c r="D52" s="181"/>
      <c r="E52" s="180"/>
      <c r="F52" s="162"/>
      <c r="G52" s="167"/>
      <c r="H52" s="167"/>
      <c r="I52" s="167"/>
      <c r="J52" s="167"/>
      <c r="K52" s="167"/>
      <c r="L52" s="167"/>
      <c r="M52" s="167"/>
      <c r="N52" s="167"/>
      <c r="O52" s="165"/>
    </row>
    <row r="53" spans="1:15" x14ac:dyDescent="0.25">
      <c r="A53" s="69"/>
      <c r="B53" s="167"/>
      <c r="C53" s="167"/>
      <c r="D53" s="181"/>
      <c r="E53" s="180"/>
      <c r="F53" s="162"/>
      <c r="G53" s="167"/>
      <c r="H53" s="167"/>
      <c r="I53" s="167"/>
      <c r="J53" s="167"/>
      <c r="K53" s="167"/>
      <c r="L53" s="167"/>
      <c r="M53" s="167"/>
      <c r="N53" s="167"/>
      <c r="O53" s="165"/>
    </row>
    <row r="54" spans="1:15" x14ac:dyDescent="0.25">
      <c r="A54" s="69"/>
      <c r="B54" s="167">
        <v>0</v>
      </c>
      <c r="C54" s="167"/>
      <c r="D54" s="181"/>
      <c r="E54" s="180"/>
      <c r="F54" s="162"/>
      <c r="G54" s="167"/>
      <c r="H54" s="167"/>
      <c r="I54" s="167"/>
      <c r="J54" s="167"/>
      <c r="K54" s="167"/>
      <c r="L54" s="167"/>
      <c r="M54" s="167"/>
      <c r="N54" s="167"/>
      <c r="O54" s="165"/>
    </row>
    <row r="55" spans="1:15" ht="13.8" thickBot="1" x14ac:dyDescent="0.3">
      <c r="A55" s="67" t="s">
        <v>239</v>
      </c>
      <c r="B55" s="179">
        <v>0</v>
      </c>
      <c r="C55" s="178"/>
      <c r="D55" s="177"/>
      <c r="E55" s="173"/>
      <c r="F55" s="172">
        <f>B55-E55+C55-D55</f>
        <v>0</v>
      </c>
      <c r="G55" s="176"/>
      <c r="H55" s="171"/>
      <c r="I55" s="171"/>
      <c r="J55" s="171"/>
      <c r="K55" s="171"/>
      <c r="L55" s="171">
        <f>-F55</f>
        <v>0</v>
      </c>
      <c r="M55" s="171"/>
      <c r="N55" s="171"/>
      <c r="O55" s="170"/>
    </row>
    <row r="56" spans="1:15" ht="13.8" thickBot="1" x14ac:dyDescent="0.3">
      <c r="A56" s="62" t="s">
        <v>238</v>
      </c>
      <c r="B56" s="175">
        <f>SUM(B40:B55)*-1</f>
        <v>491256.17408207443</v>
      </c>
      <c r="C56" s="174"/>
      <c r="D56" s="173">
        <f>+B56</f>
        <v>491256.17408207443</v>
      </c>
      <c r="E56" s="173"/>
      <c r="F56" s="172">
        <f>B56-E56+C56-D56</f>
        <v>0</v>
      </c>
      <c r="G56" s="171"/>
      <c r="H56" s="171"/>
      <c r="I56" s="171"/>
      <c r="J56" s="171"/>
      <c r="K56" s="171"/>
      <c r="L56" s="171">
        <f>-F56</f>
        <v>0</v>
      </c>
      <c r="M56" s="171"/>
      <c r="N56" s="171"/>
      <c r="O56" s="170"/>
    </row>
    <row r="57" spans="1:15" ht="13.8" thickBot="1" x14ac:dyDescent="0.3">
      <c r="A57" s="55" t="s">
        <v>237</v>
      </c>
      <c r="B57" s="169">
        <f>+B56+B37</f>
        <v>4.0820744470693171E-3</v>
      </c>
      <c r="C57" s="169"/>
      <c r="D57" s="168"/>
      <c r="E57" s="163"/>
      <c r="F57" s="162"/>
      <c r="G57" s="166"/>
      <c r="H57" s="166"/>
      <c r="I57" s="166"/>
      <c r="J57" s="166"/>
      <c r="K57" s="166"/>
      <c r="L57" s="167"/>
      <c r="M57" s="167"/>
      <c r="N57" s="166"/>
      <c r="O57" s="165"/>
    </row>
    <row r="58" spans="1:15" ht="14.4" thickBot="1" x14ac:dyDescent="0.3">
      <c r="A58" s="50" t="s">
        <v>108</v>
      </c>
      <c r="B58" s="164"/>
      <c r="C58" s="164">
        <f>SUM(C9:C56)</f>
        <v>62887.770746322931</v>
      </c>
      <c r="D58" s="163">
        <f>SUM(D9:D57)</f>
        <v>62887.770746322931</v>
      </c>
      <c r="E58" s="163"/>
      <c r="F58" s="162">
        <f>B58-E58+C58-D58</f>
        <v>0</v>
      </c>
      <c r="G58" s="161">
        <f t="shared" ref="G58:N58" si="3">SUM(G9:G56)</f>
        <v>708144.95133019052</v>
      </c>
      <c r="H58" s="161">
        <f t="shared" si="3"/>
        <v>0</v>
      </c>
      <c r="I58" s="161">
        <f t="shared" si="3"/>
        <v>-134527.02973759442</v>
      </c>
      <c r="J58" s="161">
        <f t="shared" si="3"/>
        <v>0</v>
      </c>
      <c r="K58" s="161">
        <f t="shared" si="3"/>
        <v>0</v>
      </c>
      <c r="L58" s="161">
        <f t="shared" si="3"/>
        <v>-1504991.7050783052</v>
      </c>
      <c r="M58" s="161">
        <f t="shared" si="3"/>
        <v>-2179407.9934261842</v>
      </c>
      <c r="N58" s="161">
        <f t="shared" si="3"/>
        <v>3035198.16</v>
      </c>
      <c r="O58" s="160">
        <f>SUM(F58:N58)</f>
        <v>-75583.616911893245</v>
      </c>
    </row>
    <row r="59" spans="1:15" ht="15.6" x14ac:dyDescent="0.3">
      <c r="B59" s="145">
        <f>+B37+B56</f>
        <v>4.0820744470693171E-3</v>
      </c>
      <c r="D59" s="159">
        <f>D58-C58</f>
        <v>0</v>
      </c>
      <c r="O59" s="158">
        <f>O58-O9</f>
        <v>3.8503018440678716E-3</v>
      </c>
    </row>
    <row r="60" spans="1:15" x14ac:dyDescent="0.25">
      <c r="A60" s="41"/>
      <c r="B60" s="157"/>
      <c r="C60" s="157"/>
    </row>
    <row r="61" spans="1:15" ht="21" x14ac:dyDescent="0.4">
      <c r="A61" s="40" t="s">
        <v>230</v>
      </c>
      <c r="B61" s="156"/>
      <c r="C61" s="156"/>
      <c r="D61" s="155"/>
      <c r="E61" s="155"/>
    </row>
    <row r="62" spans="1:15" ht="15" x14ac:dyDescent="0.25">
      <c r="A62" s="35"/>
      <c r="B62" s="152"/>
      <c r="C62" s="152"/>
      <c r="D62" s="147"/>
      <c r="E62" s="147">
        <v>0</v>
      </c>
    </row>
    <row r="63" spans="1:15" ht="15" x14ac:dyDescent="0.25">
      <c r="A63" s="34" t="s">
        <v>236</v>
      </c>
      <c r="B63" s="153">
        <f>+G58</f>
        <v>708144.95133019052</v>
      </c>
      <c r="C63" s="152"/>
      <c r="D63" s="150"/>
      <c r="E63" s="147"/>
    </row>
    <row r="64" spans="1:15" ht="15" x14ac:dyDescent="0.25">
      <c r="A64" s="34" t="s">
        <v>235</v>
      </c>
      <c r="B64" s="153">
        <f>+H58</f>
        <v>0</v>
      </c>
      <c r="C64" s="152"/>
      <c r="D64" s="150"/>
      <c r="E64" s="147"/>
    </row>
    <row r="65" spans="1:5" ht="15" x14ac:dyDescent="0.25">
      <c r="A65" s="34" t="s">
        <v>234</v>
      </c>
      <c r="B65" s="153">
        <f>+I58</f>
        <v>-134527.02973759442</v>
      </c>
      <c r="C65" s="152"/>
      <c r="D65" s="150"/>
      <c r="E65" s="147"/>
    </row>
    <row r="66" spans="1:5" ht="15" x14ac:dyDescent="0.25">
      <c r="A66" s="34" t="s">
        <v>233</v>
      </c>
      <c r="B66" s="153">
        <f>+K58</f>
        <v>0</v>
      </c>
      <c r="C66" s="152"/>
      <c r="D66" s="150"/>
      <c r="E66" s="147"/>
    </row>
    <row r="67" spans="1:5" ht="15" x14ac:dyDescent="0.25">
      <c r="A67" s="34" t="s">
        <v>232</v>
      </c>
      <c r="B67" s="153">
        <f>+L58</f>
        <v>-1504991.7050783052</v>
      </c>
      <c r="C67" s="152"/>
      <c r="D67" s="150"/>
      <c r="E67" s="147"/>
    </row>
    <row r="68" spans="1:5" ht="15" x14ac:dyDescent="0.25">
      <c r="A68" s="34" t="s">
        <v>231</v>
      </c>
      <c r="B68" s="153">
        <f>+J58</f>
        <v>0</v>
      </c>
      <c r="C68" s="152"/>
      <c r="D68" s="150"/>
      <c r="E68" s="147"/>
    </row>
    <row r="69" spans="1:5" ht="15" x14ac:dyDescent="0.25">
      <c r="A69" s="35"/>
      <c r="B69" s="153"/>
      <c r="C69" s="152"/>
      <c r="D69" s="150"/>
      <c r="E69" s="147"/>
    </row>
    <row r="70" spans="1:5" ht="15.6" x14ac:dyDescent="0.3">
      <c r="A70" s="32" t="s">
        <v>230</v>
      </c>
      <c r="B70" s="153"/>
      <c r="C70" s="154">
        <f>SUM(B63:B68)</f>
        <v>-931373.78348570911</v>
      </c>
      <c r="D70" s="150"/>
      <c r="E70" s="147"/>
    </row>
    <row r="71" spans="1:5" ht="15" x14ac:dyDescent="0.25">
      <c r="A71" s="35"/>
      <c r="B71" s="153"/>
      <c r="C71" s="152"/>
      <c r="D71" s="150"/>
      <c r="E71" s="147"/>
    </row>
    <row r="72" spans="1:5" ht="15" x14ac:dyDescent="0.25">
      <c r="A72" s="34" t="s">
        <v>311</v>
      </c>
      <c r="B72" s="148">
        <f>+M16</f>
        <v>-1762352.5936288759</v>
      </c>
      <c r="C72" s="152"/>
      <c r="D72" s="150"/>
      <c r="E72" s="147"/>
    </row>
    <row r="73" spans="1:5" ht="15" x14ac:dyDescent="0.25">
      <c r="A73" s="34" t="s">
        <v>229</v>
      </c>
      <c r="B73" s="148">
        <f>+M17+M19</f>
        <v>-77458.983142789744</v>
      </c>
      <c r="C73" s="152"/>
      <c r="D73" s="150"/>
      <c r="E73" s="147"/>
    </row>
    <row r="74" spans="1:5" ht="15" x14ac:dyDescent="0.25">
      <c r="A74" s="34" t="s">
        <v>228</v>
      </c>
      <c r="B74" s="148">
        <f>+M15</f>
        <v>-339596.41665451822</v>
      </c>
      <c r="C74" s="152"/>
      <c r="D74" s="150"/>
      <c r="E74" s="147"/>
    </row>
    <row r="75" spans="1:5" ht="15" x14ac:dyDescent="0.25">
      <c r="A75" s="34" t="s">
        <v>227</v>
      </c>
      <c r="B75" s="148">
        <v>0</v>
      </c>
      <c r="C75" s="152"/>
      <c r="D75" s="150"/>
      <c r="E75" s="147"/>
    </row>
    <row r="76" spans="1:5" ht="15" x14ac:dyDescent="0.25">
      <c r="A76" s="34" t="s">
        <v>226</v>
      </c>
      <c r="B76" s="148">
        <v>0</v>
      </c>
      <c r="C76" s="152"/>
      <c r="D76" s="150"/>
      <c r="E76" s="147"/>
    </row>
    <row r="77" spans="1:5" ht="15" x14ac:dyDescent="0.25">
      <c r="A77" s="34"/>
      <c r="B77" s="148"/>
      <c r="C77" s="152"/>
      <c r="D77" s="150"/>
      <c r="E77" s="147"/>
    </row>
    <row r="78" spans="1:5" ht="15" x14ac:dyDescent="0.25">
      <c r="A78" s="34"/>
      <c r="B78" s="153">
        <v>0</v>
      </c>
      <c r="C78" s="152"/>
      <c r="D78" s="150"/>
      <c r="E78" s="147"/>
    </row>
    <row r="79" spans="1:5" ht="15" x14ac:dyDescent="0.25">
      <c r="A79" s="35"/>
      <c r="B79" s="153"/>
      <c r="C79" s="152"/>
      <c r="D79" s="150"/>
      <c r="E79" s="147"/>
    </row>
    <row r="80" spans="1:5" ht="15.6" x14ac:dyDescent="0.3">
      <c r="A80" s="32" t="s">
        <v>225</v>
      </c>
      <c r="B80" s="153"/>
      <c r="C80" s="154">
        <f>SUM(B72:B78)</f>
        <v>-2179407.9934261837</v>
      </c>
      <c r="D80" s="150"/>
      <c r="E80" s="147"/>
    </row>
    <row r="81" spans="1:5" ht="15" x14ac:dyDescent="0.25">
      <c r="A81" s="35"/>
      <c r="B81" s="153"/>
      <c r="C81" s="152"/>
      <c r="D81" s="150"/>
      <c r="E81" s="147"/>
    </row>
    <row r="82" spans="1:5" ht="15.6" x14ac:dyDescent="0.3">
      <c r="A82" s="32" t="s">
        <v>224</v>
      </c>
      <c r="B82" s="153"/>
      <c r="C82" s="152"/>
      <c r="D82" s="150"/>
      <c r="E82" s="147"/>
    </row>
    <row r="83" spans="1:5" ht="15" x14ac:dyDescent="0.25">
      <c r="A83" s="35"/>
      <c r="B83" s="153"/>
      <c r="C83" s="152"/>
      <c r="D83" s="150"/>
      <c r="E83" s="147"/>
    </row>
    <row r="84" spans="1:5" ht="15" x14ac:dyDescent="0.25">
      <c r="A84" s="34" t="s">
        <v>223</v>
      </c>
      <c r="B84" s="153">
        <f>+N24</f>
        <v>0</v>
      </c>
      <c r="C84" s="152"/>
      <c r="D84" s="150"/>
      <c r="E84" s="147"/>
    </row>
    <row r="85" spans="1:5" ht="15" x14ac:dyDescent="0.25">
      <c r="A85" s="34" t="s">
        <v>222</v>
      </c>
      <c r="B85" s="148">
        <f>+N36</f>
        <v>-104801.84</v>
      </c>
      <c r="C85" s="152"/>
      <c r="D85" s="150"/>
      <c r="E85" s="147"/>
    </row>
    <row r="86" spans="1:5" ht="15" x14ac:dyDescent="0.25">
      <c r="A86" s="34" t="s">
        <v>221</v>
      </c>
      <c r="B86" s="153">
        <f>+N30</f>
        <v>3140000</v>
      </c>
      <c r="C86" s="152"/>
      <c r="D86" s="150"/>
      <c r="E86" s="147"/>
    </row>
    <row r="87" spans="1:5" ht="15" x14ac:dyDescent="0.25">
      <c r="A87" s="35"/>
      <c r="B87" s="153"/>
      <c r="C87" s="152"/>
      <c r="D87" s="150"/>
      <c r="E87" s="147"/>
    </row>
    <row r="88" spans="1:5" ht="15.6" x14ac:dyDescent="0.3">
      <c r="A88" s="32" t="s">
        <v>220</v>
      </c>
      <c r="B88" s="153"/>
      <c r="C88" s="154">
        <f>SUM(B84:B86)</f>
        <v>3035198.16</v>
      </c>
      <c r="D88" s="150"/>
      <c r="E88" s="147"/>
    </row>
    <row r="89" spans="1:5" ht="15" x14ac:dyDescent="0.25">
      <c r="A89" s="35"/>
      <c r="B89" s="153"/>
      <c r="C89" s="152"/>
      <c r="D89" s="150"/>
      <c r="E89" s="147"/>
    </row>
    <row r="90" spans="1:5" ht="15.6" x14ac:dyDescent="0.3">
      <c r="A90" s="34" t="s">
        <v>219</v>
      </c>
      <c r="B90" s="153"/>
      <c r="C90" s="152">
        <f>C88+C80+C70</f>
        <v>-75583.616911892663</v>
      </c>
      <c r="D90" s="150">
        <f>O58</f>
        <v>-75583.616911893245</v>
      </c>
      <c r="E90" s="149">
        <f>D90-C90</f>
        <v>-5.8207660913467407E-10</v>
      </c>
    </row>
    <row r="91" spans="1:5" ht="15.6" x14ac:dyDescent="0.3">
      <c r="A91" s="34" t="s">
        <v>218</v>
      </c>
      <c r="B91" s="153"/>
      <c r="C91" s="152">
        <f>+E9</f>
        <v>261013.46460722969</v>
      </c>
      <c r="D91" s="150"/>
      <c r="E91" s="149"/>
    </row>
    <row r="92" spans="1:5" ht="15.6" x14ac:dyDescent="0.3">
      <c r="A92" s="32" t="s">
        <v>217</v>
      </c>
      <c r="B92" s="151"/>
      <c r="C92" s="151">
        <f>SUM(C90:C91)</f>
        <v>185429.84769533703</v>
      </c>
      <c r="D92" s="150">
        <f>B9</f>
        <v>185429.8438450346</v>
      </c>
      <c r="E92" s="149">
        <f>D92-C92</f>
        <v>-3.8503024261444807E-3</v>
      </c>
    </row>
    <row r="93" spans="1:5" ht="15" x14ac:dyDescent="0.25">
      <c r="A93" s="27"/>
      <c r="B93" s="148"/>
      <c r="C93" s="148"/>
      <c r="D93" s="147"/>
      <c r="E93" s="147"/>
    </row>
    <row r="94" spans="1:5" ht="15" x14ac:dyDescent="0.25">
      <c r="A94" s="27"/>
      <c r="B94" s="148"/>
      <c r="C94" s="148"/>
      <c r="D94" s="147"/>
      <c r="E94" s="147"/>
    </row>
    <row r="95" spans="1:5" ht="15" x14ac:dyDescent="0.25">
      <c r="A95" s="27"/>
      <c r="B95" s="148"/>
      <c r="C95" s="148"/>
      <c r="D95" s="147"/>
      <c r="E95" s="147"/>
    </row>
    <row r="96" spans="1:5" ht="15" x14ac:dyDescent="0.25">
      <c r="A96" s="27"/>
      <c r="B96" s="148"/>
      <c r="C96" s="148"/>
      <c r="D96" s="147"/>
      <c r="E96" s="147"/>
    </row>
    <row r="97" spans="1:5" ht="15" x14ac:dyDescent="0.25">
      <c r="A97" s="27"/>
      <c r="B97" s="148"/>
      <c r="C97" s="148"/>
      <c r="D97" s="147"/>
      <c r="E97" s="147"/>
    </row>
    <row r="98" spans="1:5" ht="15" x14ac:dyDescent="0.25">
      <c r="A98" s="27"/>
      <c r="B98" s="148"/>
      <c r="C98" s="148"/>
      <c r="D98" s="147"/>
      <c r="E98" s="147"/>
    </row>
    <row r="99" spans="1:5" ht="15" x14ac:dyDescent="0.25">
      <c r="A99" s="27"/>
      <c r="B99" s="148"/>
      <c r="C99" s="148"/>
      <c r="D99" s="147"/>
      <c r="E99" s="147"/>
    </row>
    <row r="100" spans="1:5" ht="15" x14ac:dyDescent="0.25">
      <c r="A100" s="27"/>
      <c r="B100" s="148"/>
      <c r="C100" s="148"/>
      <c r="D100" s="147"/>
      <c r="E100" s="147"/>
    </row>
    <row r="101" spans="1:5" ht="15" x14ac:dyDescent="0.25">
      <c r="A101" s="27"/>
      <c r="B101" s="148"/>
      <c r="C101" s="148"/>
      <c r="D101" s="147"/>
      <c r="E101" s="147"/>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showGridLines="0" topLeftCell="A5" zoomScaleNormal="100" workbookViewId="0">
      <selection activeCell="C37" sqref="C37:G37"/>
    </sheetView>
  </sheetViews>
  <sheetFormatPr baseColWidth="10" defaultColWidth="9.109375" defaultRowHeight="15.6" x14ac:dyDescent="0.35"/>
  <cols>
    <col min="1" max="1" width="3.6640625" style="279" customWidth="1"/>
    <col min="2" max="2" width="60" style="279" customWidth="1"/>
    <col min="3" max="3" width="19.88671875" style="279" customWidth="1"/>
    <col min="4" max="4" width="2.88671875" style="279" customWidth="1"/>
    <col min="5" max="5" width="16.109375" style="279" customWidth="1"/>
    <col min="6" max="6" width="15.109375" style="279" bestFit="1" customWidth="1"/>
    <col min="7" max="7" width="7.44140625" style="279" customWidth="1"/>
    <col min="8" max="8" width="19.6640625" style="402" customWidth="1"/>
    <col min="9" max="9" width="12.33203125" style="279" bestFit="1" customWidth="1"/>
    <col min="10" max="10" width="12.88671875" style="279" bestFit="1" customWidth="1"/>
    <col min="11" max="16384" width="9.109375" style="279"/>
  </cols>
  <sheetData>
    <row r="1" spans="1:9" x14ac:dyDescent="0.35">
      <c r="B1" s="283"/>
      <c r="C1" s="283"/>
      <c r="E1" s="283"/>
      <c r="F1" s="283"/>
      <c r="G1" s="283"/>
      <c r="H1" s="401"/>
    </row>
    <row r="2" spans="1:9" x14ac:dyDescent="0.35">
      <c r="B2" s="283"/>
      <c r="C2" s="369"/>
      <c r="E2" s="698"/>
      <c r="F2" s="698"/>
      <c r="G2" s="698"/>
      <c r="H2" s="698"/>
    </row>
    <row r="3" spans="1:9" ht="26.4" x14ac:dyDescent="0.6">
      <c r="B3" s="690" t="s">
        <v>166</v>
      </c>
      <c r="C3" s="690"/>
      <c r="D3" s="690"/>
      <c r="E3" s="690"/>
      <c r="F3" s="369"/>
      <c r="G3" s="699"/>
      <c r="H3" s="699"/>
    </row>
    <row r="4" spans="1:9" ht="26.4" x14ac:dyDescent="0.6">
      <c r="B4" s="693" t="s">
        <v>198</v>
      </c>
      <c r="C4" s="693"/>
      <c r="D4" s="693"/>
      <c r="E4" s="693"/>
    </row>
    <row r="5" spans="1:9" x14ac:dyDescent="0.35">
      <c r="B5" s="685" t="s">
        <v>354</v>
      </c>
      <c r="C5" s="685"/>
      <c r="D5" s="685"/>
      <c r="E5" s="685"/>
    </row>
    <row r="6" spans="1:9" x14ac:dyDescent="0.35">
      <c r="B6" s="683" t="s">
        <v>195</v>
      </c>
      <c r="C6" s="683"/>
      <c r="D6" s="683"/>
      <c r="E6" s="683"/>
    </row>
    <row r="7" spans="1:9" x14ac:dyDescent="0.35">
      <c r="C7" s="403"/>
    </row>
    <row r="8" spans="1:9" x14ac:dyDescent="0.35">
      <c r="A8" s="332"/>
      <c r="B8" s="404"/>
      <c r="C8" s="696">
        <f>+INDICE!P3</f>
        <v>2022</v>
      </c>
      <c r="D8" s="405"/>
      <c r="E8" s="694">
        <f>+INDICE!P2</f>
        <v>2021</v>
      </c>
      <c r="G8" s="396"/>
      <c r="I8" s="396"/>
    </row>
    <row r="9" spans="1:9" x14ac:dyDescent="0.35">
      <c r="B9" s="406"/>
      <c r="C9" s="697"/>
      <c r="D9" s="407"/>
      <c r="E9" s="695"/>
      <c r="G9" s="396"/>
      <c r="I9" s="396"/>
    </row>
    <row r="10" spans="1:9" x14ac:dyDescent="0.35">
      <c r="A10" s="332"/>
      <c r="B10" s="406"/>
      <c r="C10" s="408" t="s">
        <v>77</v>
      </c>
      <c r="D10" s="408"/>
      <c r="E10" s="409" t="s">
        <v>77</v>
      </c>
      <c r="G10" s="396"/>
      <c r="I10" s="396"/>
    </row>
    <row r="11" spans="1:9" x14ac:dyDescent="0.35">
      <c r="B11" s="410"/>
      <c r="C11" s="411"/>
      <c r="D11" s="412"/>
      <c r="E11" s="413"/>
      <c r="G11" s="396"/>
      <c r="I11" s="396"/>
    </row>
    <row r="12" spans="1:9" x14ac:dyDescent="0.35">
      <c r="A12" s="332"/>
      <c r="B12" s="414" t="s">
        <v>1</v>
      </c>
      <c r="C12" s="415">
        <f>+'1.BG USD'!D12</f>
        <v>261013.46460722969</v>
      </c>
      <c r="D12" s="416"/>
      <c r="E12" s="417">
        <v>0</v>
      </c>
      <c r="G12" s="396"/>
      <c r="I12" s="396"/>
    </row>
    <row r="13" spans="1:9" x14ac:dyDescent="0.35">
      <c r="B13" s="410" t="s">
        <v>2</v>
      </c>
      <c r="C13" s="416"/>
      <c r="D13" s="416"/>
      <c r="E13" s="418"/>
      <c r="G13" s="396"/>
      <c r="I13" s="396"/>
    </row>
    <row r="14" spans="1:9" x14ac:dyDescent="0.35">
      <c r="A14" s="332"/>
      <c r="B14" s="414" t="s">
        <v>78</v>
      </c>
      <c r="C14" s="419"/>
      <c r="D14" s="419"/>
      <c r="E14" s="420"/>
      <c r="G14" s="396"/>
      <c r="I14" s="396"/>
    </row>
    <row r="15" spans="1:9" x14ac:dyDescent="0.35">
      <c r="B15" s="414" t="s">
        <v>4</v>
      </c>
      <c r="C15" s="419"/>
      <c r="D15" s="419"/>
      <c r="E15" s="420"/>
      <c r="G15" s="396"/>
      <c r="I15" s="396"/>
    </row>
    <row r="16" spans="1:9" x14ac:dyDescent="0.35">
      <c r="A16" s="332"/>
      <c r="B16" s="410" t="s">
        <v>5</v>
      </c>
      <c r="C16" s="419">
        <f>+'Flujo de Fondos Calculo GS U$S'!B63</f>
        <v>708144.95133019052</v>
      </c>
      <c r="D16" s="419"/>
      <c r="E16" s="420">
        <v>-22259.98</v>
      </c>
      <c r="G16" s="396"/>
      <c r="I16" s="396"/>
    </row>
    <row r="17" spans="1:10" x14ac:dyDescent="0.35">
      <c r="B17" s="410" t="s">
        <v>79</v>
      </c>
      <c r="C17" s="419"/>
      <c r="D17" s="419"/>
      <c r="E17" s="420"/>
      <c r="G17" s="396"/>
      <c r="I17" s="396"/>
    </row>
    <row r="18" spans="1:10" x14ac:dyDescent="0.35">
      <c r="A18" s="332"/>
      <c r="B18" s="410" t="s">
        <v>205</v>
      </c>
      <c r="C18" s="419">
        <f>+'Flujo de Fondos Calculo GS U$S'!B67+'Flujo de Fondos Calculo GS U$S'!B65</f>
        <v>-1639518.7348158997</v>
      </c>
      <c r="D18" s="419"/>
      <c r="E18" s="421">
        <v>101424.11</v>
      </c>
      <c r="G18" s="396"/>
      <c r="H18" s="316"/>
      <c r="I18" s="396"/>
    </row>
    <row r="19" spans="1:10" x14ac:dyDescent="0.35">
      <c r="B19" s="410" t="s">
        <v>8</v>
      </c>
      <c r="C19" s="422"/>
      <c r="D19" s="419"/>
      <c r="E19" s="423"/>
      <c r="G19" s="396"/>
      <c r="H19" s="316"/>
      <c r="I19" s="396"/>
    </row>
    <row r="20" spans="1:10" x14ac:dyDescent="0.35">
      <c r="A20" s="332"/>
      <c r="B20" s="410" t="s">
        <v>9</v>
      </c>
      <c r="C20" s="353">
        <f>SUM(C16:C19)</f>
        <v>-931373.78348570922</v>
      </c>
      <c r="D20" s="416"/>
      <c r="E20" s="424">
        <v>79164.13</v>
      </c>
      <c r="G20" s="396"/>
      <c r="H20" s="316"/>
      <c r="I20" s="396"/>
    </row>
    <row r="21" spans="1:10" x14ac:dyDescent="0.35">
      <c r="B21" s="410"/>
      <c r="C21" s="419"/>
      <c r="D21" s="419"/>
      <c r="E21" s="420"/>
      <c r="G21" s="396"/>
      <c r="I21" s="396"/>
    </row>
    <row r="22" spans="1:10" x14ac:dyDescent="0.35">
      <c r="A22" s="332"/>
      <c r="B22" s="410" t="s">
        <v>10</v>
      </c>
      <c r="C22" s="419"/>
      <c r="D22" s="419"/>
      <c r="E22" s="420"/>
      <c r="G22" s="396"/>
      <c r="I22" s="396"/>
    </row>
    <row r="23" spans="1:10" x14ac:dyDescent="0.35">
      <c r="B23" s="414" t="s">
        <v>11</v>
      </c>
      <c r="C23" s="419"/>
      <c r="D23" s="419"/>
      <c r="E23" s="420"/>
      <c r="G23" s="396"/>
      <c r="H23" s="425"/>
      <c r="I23" s="396"/>
    </row>
    <row r="24" spans="1:10" x14ac:dyDescent="0.35">
      <c r="A24" s="332"/>
      <c r="B24" s="410" t="s">
        <v>12</v>
      </c>
      <c r="C24" s="419">
        <f>+'Flujo de Fondos Calculo GS U$S'!C80</f>
        <v>-2179407.9934261837</v>
      </c>
      <c r="D24" s="419"/>
      <c r="E24" s="420">
        <v>-1895351.2</v>
      </c>
      <c r="G24" s="396"/>
      <c r="H24" s="425"/>
      <c r="I24" s="396"/>
    </row>
    <row r="25" spans="1:10" x14ac:dyDescent="0.35">
      <c r="B25" s="410" t="s">
        <v>13</v>
      </c>
      <c r="C25" s="426">
        <f>+'Flujo de Fondos Calculo GS U$S'!C88</f>
        <v>3035198.16</v>
      </c>
      <c r="D25" s="419"/>
      <c r="E25" s="427">
        <v>2000000</v>
      </c>
    </row>
    <row r="26" spans="1:10" x14ac:dyDescent="0.35">
      <c r="A26" s="332"/>
      <c r="B26" s="410" t="s">
        <v>14</v>
      </c>
      <c r="C26" s="353">
        <f>SUM(C24:C25)</f>
        <v>855790.16657381644</v>
      </c>
      <c r="D26" s="419"/>
      <c r="E26" s="418">
        <v>104648.80000000005</v>
      </c>
    </row>
    <row r="27" spans="1:10" ht="16.2" thickBot="1" x14ac:dyDescent="0.4">
      <c r="B27" s="428" t="s">
        <v>15</v>
      </c>
      <c r="C27" s="429">
        <f>+C12+C20+C26</f>
        <v>185429.84769533691</v>
      </c>
      <c r="D27" s="355"/>
      <c r="E27" s="430">
        <v>183812.93000000005</v>
      </c>
      <c r="H27" s="316"/>
      <c r="I27" s="396"/>
      <c r="J27" s="396"/>
    </row>
    <row r="28" spans="1:10" ht="16.2" thickTop="1" x14ac:dyDescent="0.35">
      <c r="A28" s="332"/>
      <c r="B28" s="406"/>
      <c r="C28" s="598">
        <f>+C27-'1.BG USD'!C12</f>
        <v>3.8503023097291589E-3</v>
      </c>
      <c r="D28" s="432"/>
      <c r="E28" s="433"/>
      <c r="I28" s="396"/>
    </row>
    <row r="29" spans="1:10" x14ac:dyDescent="0.35">
      <c r="C29" s="434"/>
      <c r="D29" s="435"/>
      <c r="E29" s="435"/>
    </row>
    <row r="30" spans="1:10" x14ac:dyDescent="0.35">
      <c r="B30" s="279" t="s">
        <v>157</v>
      </c>
      <c r="C30" s="435"/>
      <c r="D30" s="435"/>
      <c r="E30" s="435"/>
    </row>
    <row r="31" spans="1:10" x14ac:dyDescent="0.35">
      <c r="C31" s="396"/>
      <c r="D31" s="396"/>
      <c r="E31" s="396"/>
    </row>
    <row r="32" spans="1:10" x14ac:dyDescent="0.35">
      <c r="B32" s="332"/>
      <c r="C32" s="396"/>
      <c r="D32" s="396"/>
      <c r="E32" s="396"/>
      <c r="F32" s="396"/>
      <c r="G32" s="396"/>
      <c r="I32" s="396"/>
    </row>
    <row r="33" spans="2:7" x14ac:dyDescent="0.35">
      <c r="B33" s="368"/>
      <c r="C33" s="396"/>
      <c r="D33" s="396"/>
      <c r="E33" s="396"/>
    </row>
    <row r="34" spans="2:7" x14ac:dyDescent="0.35">
      <c r="B34" s="332"/>
      <c r="C34" s="425"/>
      <c r="D34" s="396"/>
      <c r="E34" s="396"/>
    </row>
    <row r="35" spans="2:7" x14ac:dyDescent="0.35">
      <c r="C35" s="396"/>
      <c r="D35" s="396"/>
      <c r="E35" s="396"/>
      <c r="F35" s="436"/>
    </row>
    <row r="36" spans="2:7" x14ac:dyDescent="0.35">
      <c r="B36" s="379"/>
      <c r="C36" s="692"/>
      <c r="D36" s="692"/>
      <c r="E36" s="692"/>
      <c r="F36" s="692"/>
      <c r="G36" s="692"/>
    </row>
    <row r="37" spans="2:7" x14ac:dyDescent="0.35">
      <c r="B37" s="379"/>
      <c r="C37" s="692"/>
      <c r="D37" s="692"/>
      <c r="E37" s="692"/>
      <c r="F37" s="692"/>
      <c r="G37" s="692"/>
    </row>
    <row r="38" spans="2:7" x14ac:dyDescent="0.35">
      <c r="C38" s="396"/>
      <c r="D38" s="396"/>
      <c r="E38" s="396"/>
    </row>
  </sheetData>
  <mergeCells count="11">
    <mergeCell ref="C37:G37"/>
    <mergeCell ref="B3:E3"/>
    <mergeCell ref="E8:E9"/>
    <mergeCell ref="C8:C9"/>
    <mergeCell ref="E2:F2"/>
    <mergeCell ref="B4:E4"/>
    <mergeCell ref="G2:H2"/>
    <mergeCell ref="G3:H3"/>
    <mergeCell ref="C36:G36"/>
    <mergeCell ref="B5:E5"/>
    <mergeCell ref="B6:E6"/>
  </mergeCells>
  <pageMargins left="0.25" right="0.25"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6"/>
  <sheetViews>
    <sheetView showGridLines="0" topLeftCell="B23" zoomScale="85" zoomScaleNormal="85" workbookViewId="0">
      <selection activeCell="B59" sqref="B59"/>
    </sheetView>
  </sheetViews>
  <sheetFormatPr baseColWidth="10" defaultColWidth="9.109375" defaultRowHeight="15.6" x14ac:dyDescent="0.35"/>
  <cols>
    <col min="1" max="1" width="11.44140625" style="261" customWidth="1"/>
    <col min="2" max="2" width="65.44140625" style="261" customWidth="1"/>
    <col min="3" max="3" width="19.88671875" style="335" customWidth="1"/>
    <col min="4" max="4" width="19.109375" style="335" customWidth="1"/>
    <col min="5" max="5" width="17.33203125" style="261" bestFit="1" customWidth="1"/>
    <col min="6" max="6" width="15.88671875" style="288" customWidth="1"/>
    <col min="7" max="7" width="16.44140625" style="288" bestFit="1" customWidth="1"/>
    <col min="8" max="16384" width="9.109375" style="261"/>
  </cols>
  <sheetData>
    <row r="1" spans="1:8" s="287" customFormat="1" x14ac:dyDescent="0.35">
      <c r="A1" s="279"/>
      <c r="B1" s="283"/>
      <c r="C1" s="284"/>
      <c r="D1" s="437"/>
      <c r="E1" s="283"/>
      <c r="F1" s="286"/>
      <c r="G1" s="286"/>
    </row>
    <row r="2" spans="1:8" s="287" customFormat="1" ht="26.4" x14ac:dyDescent="0.6">
      <c r="A2" s="279"/>
      <c r="B2" s="690" t="s">
        <v>166</v>
      </c>
      <c r="C2" s="690"/>
      <c r="D2" s="690"/>
      <c r="E2" s="438"/>
      <c r="F2" s="286"/>
      <c r="G2" s="286"/>
    </row>
    <row r="3" spans="1:8" ht="21.75" customHeight="1" x14ac:dyDescent="0.6">
      <c r="B3" s="693" t="s">
        <v>196</v>
      </c>
      <c r="C3" s="693"/>
      <c r="D3" s="693"/>
    </row>
    <row r="4" spans="1:8" ht="21.75" customHeight="1" x14ac:dyDescent="0.35">
      <c r="B4" s="685" t="s">
        <v>353</v>
      </c>
      <c r="C4" s="685"/>
      <c r="D4" s="685"/>
      <c r="E4" s="279"/>
    </row>
    <row r="5" spans="1:8" ht="14.25" customHeight="1" x14ac:dyDescent="0.35">
      <c r="B5" s="700" t="s">
        <v>56</v>
      </c>
      <c r="C5" s="700"/>
      <c r="D5" s="700"/>
      <c r="G5" s="316"/>
      <c r="H5" s="279"/>
    </row>
    <row r="6" spans="1:8" ht="14.25" customHeight="1" thickBot="1" x14ac:dyDescent="0.4">
      <c r="B6" s="439"/>
      <c r="C6" s="440">
        <f>+INDICE!M2</f>
        <v>7078.87</v>
      </c>
      <c r="D6" s="439"/>
      <c r="G6" s="316"/>
      <c r="H6" s="279"/>
    </row>
    <row r="7" spans="1:8" x14ac:dyDescent="0.35">
      <c r="B7" s="292" t="s">
        <v>37</v>
      </c>
      <c r="C7" s="441">
        <f>+INDICE!P3</f>
        <v>2022</v>
      </c>
      <c r="D7" s="442">
        <f>+INDICE!P2</f>
        <v>2021</v>
      </c>
      <c r="G7" s="316"/>
      <c r="H7" s="279"/>
    </row>
    <row r="8" spans="1:8" ht="17.25" customHeight="1" x14ac:dyDescent="0.35">
      <c r="B8" s="295" t="s">
        <v>38</v>
      </c>
      <c r="C8" s="443"/>
      <c r="D8" s="444"/>
      <c r="F8" s="298">
        <v>6979.36</v>
      </c>
      <c r="G8" s="298">
        <v>6979.36</v>
      </c>
      <c r="H8" s="279"/>
    </row>
    <row r="9" spans="1:8" ht="15" customHeight="1" x14ac:dyDescent="0.35">
      <c r="B9" s="295" t="s">
        <v>39</v>
      </c>
      <c r="C9" s="443"/>
      <c r="D9" s="444"/>
      <c r="G9" s="316"/>
      <c r="H9" s="279"/>
    </row>
    <row r="10" spans="1:8" ht="14.25" customHeight="1" x14ac:dyDescent="0.35">
      <c r="B10" s="300" t="s">
        <v>40</v>
      </c>
      <c r="C10" s="443">
        <f>+'1.BG USD'!C10*INDICE!M2</f>
        <v>1312633758.6993001</v>
      </c>
      <c r="D10" s="444">
        <v>1793373924</v>
      </c>
      <c r="E10" s="362"/>
      <c r="G10" s="316"/>
      <c r="H10" s="279"/>
    </row>
    <row r="11" spans="1:8" ht="14.25" customHeight="1" x14ac:dyDescent="0.35">
      <c r="B11" s="303"/>
      <c r="C11" s="443"/>
      <c r="D11" s="444"/>
      <c r="G11" s="316"/>
      <c r="H11" s="279"/>
    </row>
    <row r="12" spans="1:8" x14ac:dyDescent="0.35">
      <c r="B12" s="300"/>
      <c r="C12" s="445">
        <f>SUM(C10:C11)</f>
        <v>1312633758.6993001</v>
      </c>
      <c r="D12" s="446">
        <v>1793373924</v>
      </c>
      <c r="F12" s="447"/>
      <c r="G12" s="316"/>
      <c r="H12" s="279"/>
    </row>
    <row r="13" spans="1:8" x14ac:dyDescent="0.35">
      <c r="B13" s="295" t="s">
        <v>41</v>
      </c>
      <c r="C13" s="443"/>
      <c r="D13" s="444"/>
      <c r="G13" s="316"/>
      <c r="H13" s="279"/>
    </row>
    <row r="14" spans="1:8" x14ac:dyDescent="0.35">
      <c r="B14" s="303" t="s">
        <v>42</v>
      </c>
      <c r="C14" s="443">
        <f>+'1.BG USD'!C14*INDICE!M2</f>
        <v>2946902492.1278</v>
      </c>
      <c r="D14" s="444">
        <v>395122925</v>
      </c>
      <c r="F14" s="447"/>
      <c r="G14" s="316"/>
      <c r="H14" s="279"/>
    </row>
    <row r="15" spans="1:8" x14ac:dyDescent="0.35">
      <c r="B15" s="303" t="s">
        <v>43</v>
      </c>
      <c r="C15" s="443">
        <f>+'1.BG USD'!C15*INDICE!M3</f>
        <v>0</v>
      </c>
      <c r="D15" s="444">
        <v>0</v>
      </c>
    </row>
    <row r="16" spans="1:8" x14ac:dyDescent="0.35">
      <c r="B16" s="303" t="str">
        <f>+'1.BG USD'!B16</f>
        <v>Activos Biologicos en Producción</v>
      </c>
      <c r="C16" s="443">
        <f>+'1.BG USD'!C16*INDICE!M2</f>
        <v>27827823721</v>
      </c>
      <c r="D16" s="444">
        <v>11237815503</v>
      </c>
    </row>
    <row r="17" spans="2:7" x14ac:dyDescent="0.35">
      <c r="B17" s="295"/>
      <c r="C17" s="445">
        <f>SUM(C14:C16)</f>
        <v>30774726213.1278</v>
      </c>
      <c r="D17" s="446">
        <v>11632938428</v>
      </c>
      <c r="F17" s="448"/>
      <c r="G17" s="447"/>
    </row>
    <row r="18" spans="2:7" x14ac:dyDescent="0.35">
      <c r="B18" s="295" t="str">
        <f>+'1.BG USD'!B18</f>
        <v>CREDITOS</v>
      </c>
      <c r="C18" s="443"/>
      <c r="D18" s="444">
        <v>0</v>
      </c>
      <c r="F18" s="448"/>
      <c r="G18" s="447"/>
    </row>
    <row r="19" spans="2:7" x14ac:dyDescent="0.35">
      <c r="B19" s="303" t="str">
        <f>+'1.BG USD'!B19</f>
        <v xml:space="preserve">Clientes </v>
      </c>
      <c r="C19" s="443">
        <f>+'1.BG USD'!C19*$C$6</f>
        <v>0</v>
      </c>
      <c r="D19" s="444">
        <v>20000000</v>
      </c>
      <c r="F19" s="448"/>
      <c r="G19" s="447"/>
    </row>
    <row r="20" spans="2:7" x14ac:dyDescent="0.35">
      <c r="B20" s="303" t="str">
        <f>+'1.BG USD'!B20</f>
        <v>Impuestos Corrientes</v>
      </c>
      <c r="C20" s="443">
        <f>+'1.BG USD'!C20*$C$6</f>
        <v>1563024758</v>
      </c>
      <c r="D20" s="444">
        <v>717999829</v>
      </c>
      <c r="F20" s="448"/>
      <c r="G20" s="447"/>
    </row>
    <row r="21" spans="2:7" x14ac:dyDescent="0.35">
      <c r="B21" s="303" t="str">
        <f>+'1.BG USD'!B21</f>
        <v>Anticipos a Proveedores</v>
      </c>
      <c r="C21" s="443">
        <f>+'1.BG USD'!C21*$C$6</f>
        <v>6098688771.9250002</v>
      </c>
      <c r="D21" s="444">
        <v>0</v>
      </c>
      <c r="F21" s="448"/>
      <c r="G21" s="447"/>
    </row>
    <row r="22" spans="2:7" x14ac:dyDescent="0.35">
      <c r="B22" s="303"/>
      <c r="C22" s="445">
        <f>SUM(C18:C21)</f>
        <v>7661713529.9250002</v>
      </c>
      <c r="D22" s="446">
        <v>737999829</v>
      </c>
      <c r="F22" s="448"/>
      <c r="G22" s="447"/>
    </row>
    <row r="23" spans="2:7" x14ac:dyDescent="0.35">
      <c r="B23" s="303"/>
      <c r="C23" s="443"/>
      <c r="D23" s="444"/>
      <c r="F23" s="336"/>
    </row>
    <row r="24" spans="2:7" x14ac:dyDescent="0.35">
      <c r="B24" s="295" t="str">
        <f>+'1.BG USD'!B24</f>
        <v>GASTOS PAGADOS POR ADELANTADO</v>
      </c>
      <c r="C24" s="443"/>
      <c r="D24" s="444"/>
    </row>
    <row r="25" spans="2:7" x14ac:dyDescent="0.35">
      <c r="B25" s="303" t="str">
        <f>+'1.BG USD'!B25</f>
        <v>Alquileres pagados por adelantado</v>
      </c>
      <c r="C25" s="443">
        <f>+'1.BG USD'!C27*INDICE!M2</f>
        <v>660754342.65579998</v>
      </c>
      <c r="D25" s="444">
        <v>1283530119</v>
      </c>
    </row>
    <row r="26" spans="2:7" x14ac:dyDescent="0.35">
      <c r="B26" s="303"/>
      <c r="C26" s="445">
        <f>+C25</f>
        <v>660754342.65579998</v>
      </c>
      <c r="D26" s="446">
        <v>1283530119</v>
      </c>
    </row>
    <row r="27" spans="2:7" x14ac:dyDescent="0.35">
      <c r="B27" s="303"/>
      <c r="C27" s="443"/>
      <c r="D27" s="444"/>
    </row>
    <row r="28" spans="2:7" x14ac:dyDescent="0.35">
      <c r="B28" s="295" t="s">
        <v>57</v>
      </c>
      <c r="C28" s="445">
        <f>+C12+C17+C22+C26</f>
        <v>40409827844.407898</v>
      </c>
      <c r="D28" s="446">
        <v>15447842300</v>
      </c>
    </row>
    <row r="29" spans="2:7" x14ac:dyDescent="0.35">
      <c r="B29" s="295"/>
      <c r="C29" s="449"/>
      <c r="D29" s="450"/>
    </row>
    <row r="30" spans="2:7" x14ac:dyDescent="0.35">
      <c r="B30" s="295" t="s">
        <v>44</v>
      </c>
      <c r="C30" s="449"/>
      <c r="D30" s="450"/>
    </row>
    <row r="31" spans="2:7" x14ac:dyDescent="0.35">
      <c r="B31" s="295" t="s">
        <v>41</v>
      </c>
      <c r="C31" s="449"/>
      <c r="D31" s="450"/>
      <c r="F31" s="448"/>
    </row>
    <row r="32" spans="2:7" ht="27.75" customHeight="1" x14ac:dyDescent="0.35">
      <c r="B32" s="303" t="s">
        <v>42</v>
      </c>
      <c r="C32" s="451">
        <f>+'1.BG USD'!C31*C6</f>
        <v>5420100922.000001</v>
      </c>
      <c r="D32" s="452">
        <v>5392657607</v>
      </c>
    </row>
    <row r="33" spans="2:5" x14ac:dyDescent="0.35">
      <c r="B33" s="303" t="s">
        <v>43</v>
      </c>
      <c r="C33" s="451">
        <v>0</v>
      </c>
      <c r="D33" s="452">
        <v>0</v>
      </c>
    </row>
    <row r="34" spans="2:5" x14ac:dyDescent="0.35">
      <c r="B34" s="303"/>
      <c r="C34" s="445">
        <f>+C32+C33</f>
        <v>5420100922.000001</v>
      </c>
      <c r="D34" s="446">
        <v>5392657607</v>
      </c>
    </row>
    <row r="35" spans="2:5" x14ac:dyDescent="0.35">
      <c r="B35" s="303"/>
      <c r="C35" s="449"/>
      <c r="D35" s="450"/>
    </row>
    <row r="36" spans="2:5" x14ac:dyDescent="0.35">
      <c r="B36" s="295" t="s">
        <v>210</v>
      </c>
      <c r="C36" s="453"/>
      <c r="D36" s="450"/>
    </row>
    <row r="37" spans="2:5" x14ac:dyDescent="0.35">
      <c r="B37" s="303" t="s">
        <v>211</v>
      </c>
      <c r="C37" s="454">
        <f>+'1.BG USD'!C36*C6+24</f>
        <v>548322096</v>
      </c>
      <c r="D37" s="450">
        <f>+'1.BG USD'!D36*D6</f>
        <v>0</v>
      </c>
    </row>
    <row r="38" spans="2:5" x14ac:dyDescent="0.35">
      <c r="B38" s="303" t="s">
        <v>212</v>
      </c>
      <c r="C38" s="455">
        <v>0</v>
      </c>
      <c r="D38" s="456">
        <v>0</v>
      </c>
    </row>
    <row r="39" spans="2:5" x14ac:dyDescent="0.35">
      <c r="B39" s="295"/>
      <c r="C39" s="453">
        <f>SUM(C37:C38)</f>
        <v>548322096</v>
      </c>
      <c r="D39" s="450">
        <f>SUM(D37:D38)</f>
        <v>0</v>
      </c>
    </row>
    <row r="40" spans="2:5" ht="16.2" thickBot="1" x14ac:dyDescent="0.4">
      <c r="B40" s="295"/>
      <c r="C40" s="457">
        <f>+C34+C39</f>
        <v>5968423018.000001</v>
      </c>
      <c r="D40" s="458">
        <f>+D34+D39</f>
        <v>5392657607</v>
      </c>
    </row>
    <row r="41" spans="2:5" ht="16.8" thickTop="1" thickBot="1" x14ac:dyDescent="0.4">
      <c r="B41" s="295" t="s">
        <v>45</v>
      </c>
      <c r="C41" s="459">
        <f>+C28+C40</f>
        <v>46378250862.407898</v>
      </c>
      <c r="D41" s="460">
        <f>+D28+D40</f>
        <v>20840499907</v>
      </c>
    </row>
    <row r="42" spans="2:5" ht="15.75" customHeight="1" thickTop="1" x14ac:dyDescent="0.35">
      <c r="B42" s="319" t="s">
        <v>46</v>
      </c>
      <c r="C42" s="461"/>
      <c r="D42" s="462"/>
    </row>
    <row r="43" spans="2:5" x14ac:dyDescent="0.35">
      <c r="B43" s="295" t="s">
        <v>47</v>
      </c>
      <c r="C43" s="443"/>
      <c r="D43" s="444"/>
    </row>
    <row r="44" spans="2:5" x14ac:dyDescent="0.35">
      <c r="B44" s="295" t="s">
        <v>48</v>
      </c>
      <c r="C44" s="443"/>
      <c r="D44" s="444"/>
    </row>
    <row r="45" spans="2:5" x14ac:dyDescent="0.35">
      <c r="B45" s="300" t="s">
        <v>49</v>
      </c>
      <c r="C45" s="443">
        <f>+'1.BG USD'!C44*INDICE!M2</f>
        <v>0</v>
      </c>
      <c r="D45" s="444">
        <v>375485408</v>
      </c>
    </row>
    <row r="46" spans="2:5" x14ac:dyDescent="0.35">
      <c r="B46" s="303" t="s">
        <v>181</v>
      </c>
      <c r="C46" s="443">
        <f>+'[4]BALANCE GENERAL'!$H$86+1</f>
        <v>427803852</v>
      </c>
      <c r="D46" s="444">
        <v>94209000</v>
      </c>
    </row>
    <row r="47" spans="2:5" x14ac:dyDescent="0.35">
      <c r="B47" s="295" t="s">
        <v>50</v>
      </c>
      <c r="C47" s="445">
        <f>SUM(C45:C46)</f>
        <v>427803852</v>
      </c>
      <c r="D47" s="446">
        <f>SUM(D45:D46)</f>
        <v>469694408</v>
      </c>
      <c r="E47" s="350"/>
    </row>
    <row r="48" spans="2:5" x14ac:dyDescent="0.35">
      <c r="B48" s="295" t="str">
        <f>+'1.BG USD'!B48</f>
        <v>PLAN FONDO DE INVERSION IN GANADERO U$S</v>
      </c>
      <c r="C48" s="463">
        <f>+'[4]BALANCE GENERAL'!$H$93</f>
        <v>41523827000</v>
      </c>
      <c r="D48" s="464">
        <v>19697964000</v>
      </c>
    </row>
    <row r="49" spans="2:4" x14ac:dyDescent="0.35">
      <c r="B49" s="295" t="str">
        <f>+'1.BG USD'!B49</f>
        <v>RESULTADOS</v>
      </c>
      <c r="C49" s="449">
        <f>+C50+C51</f>
        <v>4426620011.4899998</v>
      </c>
      <c r="D49" s="450">
        <f>+D50+D51</f>
        <v>672841498.83000004</v>
      </c>
    </row>
    <row r="50" spans="2:4" x14ac:dyDescent="0.35">
      <c r="B50" s="303" t="s">
        <v>162</v>
      </c>
      <c r="C50" s="454">
        <v>0</v>
      </c>
      <c r="D50" s="450">
        <v>0</v>
      </c>
    </row>
    <row r="51" spans="2:4" x14ac:dyDescent="0.35">
      <c r="B51" s="303" t="s">
        <v>213</v>
      </c>
      <c r="C51" s="653">
        <f>+'[4]BALANCE GENERAL'!$H$97</f>
        <v>4426620011.4899998</v>
      </c>
      <c r="D51" s="654">
        <v>672841498.83000004</v>
      </c>
    </row>
    <row r="52" spans="2:4" x14ac:dyDescent="0.35">
      <c r="B52" s="295" t="s">
        <v>51</v>
      </c>
      <c r="C52" s="465">
        <f>SUM(C48:C49)</f>
        <v>45950447011.489998</v>
      </c>
      <c r="D52" s="466">
        <f>SUM(D48:D49)</f>
        <v>20370805498.830002</v>
      </c>
    </row>
    <row r="53" spans="2:4" ht="16.2" thickBot="1" x14ac:dyDescent="0.4">
      <c r="B53" s="295" t="s">
        <v>52</v>
      </c>
      <c r="C53" s="459">
        <f>+C47+C52</f>
        <v>46378250863.489998</v>
      </c>
      <c r="D53" s="460">
        <f>+D47+D52</f>
        <v>20840499906.830002</v>
      </c>
    </row>
    <row r="54" spans="2:4" ht="16.8" thickTop="1" thickBot="1" x14ac:dyDescent="0.4">
      <c r="B54" s="467"/>
      <c r="C54" s="636">
        <f>+C53-C41</f>
        <v>1.0820999145507813</v>
      </c>
      <c r="D54" s="637"/>
    </row>
    <row r="55" spans="2:4" x14ac:dyDescent="0.35">
      <c r="C55" s="638">
        <f>+C53-C41</f>
        <v>1.0820999145507813</v>
      </c>
      <c r="D55" s="638">
        <f>+D53-D41</f>
        <v>-0.1699981689453125</v>
      </c>
    </row>
    <row r="56" spans="2:4" x14ac:dyDescent="0.35">
      <c r="B56" s="279" t="s">
        <v>157</v>
      </c>
      <c r="C56" s="468"/>
      <c r="D56" s="469"/>
    </row>
    <row r="57" spans="2:4" x14ac:dyDescent="0.35">
      <c r="B57" s="365"/>
    </row>
    <row r="58" spans="2:4" x14ac:dyDescent="0.35">
      <c r="B58" s="332"/>
    </row>
    <row r="66" ht="21" customHeight="1" x14ac:dyDescent="0.35"/>
  </sheetData>
  <mergeCells count="4">
    <mergeCell ref="B3:D3"/>
    <mergeCell ref="B5:D5"/>
    <mergeCell ref="B2:D2"/>
    <mergeCell ref="B4:D4"/>
  </mergeCells>
  <pageMargins left="0.25" right="0.25"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43"/>
  <sheetViews>
    <sheetView showGridLines="0" topLeftCell="B1" workbookViewId="0">
      <selection activeCell="F11" sqref="F11"/>
    </sheetView>
  </sheetViews>
  <sheetFormatPr baseColWidth="10" defaultColWidth="9.109375" defaultRowHeight="15.6" x14ac:dyDescent="0.35"/>
  <cols>
    <col min="1" max="1" width="11.44140625" style="261" customWidth="1"/>
    <col min="2" max="2" width="64.33203125" style="261" customWidth="1"/>
    <col min="3" max="3" width="16.33203125" style="492" bestFit="1" customWidth="1"/>
    <col min="4" max="4" width="22.109375" style="492" customWidth="1"/>
    <col min="5" max="5" width="16.44140625" style="261" customWidth="1"/>
    <col min="6" max="6" width="17.5546875" style="261" bestFit="1" customWidth="1"/>
    <col min="7" max="7" width="13.6640625" style="261" bestFit="1" customWidth="1"/>
    <col min="8" max="16384" width="9.109375" style="261"/>
  </cols>
  <sheetData>
    <row r="1" spans="2:12" x14ac:dyDescent="0.35">
      <c r="B1" s="283"/>
      <c r="C1" s="470"/>
      <c r="D1" s="471"/>
      <c r="E1" s="283"/>
      <c r="F1" s="283"/>
    </row>
    <row r="2" spans="2:12" ht="26.4" x14ac:dyDescent="0.6">
      <c r="B2" s="690" t="s">
        <v>166</v>
      </c>
      <c r="C2" s="690"/>
      <c r="D2" s="690"/>
      <c r="E2" s="438"/>
      <c r="F2" s="369"/>
    </row>
    <row r="3" spans="2:12" ht="26.4" x14ac:dyDescent="0.6">
      <c r="B3" s="693" t="s">
        <v>199</v>
      </c>
      <c r="C3" s="693"/>
      <c r="D3" s="693"/>
      <c r="E3" s="472"/>
      <c r="F3" s="473"/>
    </row>
    <row r="4" spans="2:12" x14ac:dyDescent="0.35">
      <c r="B4" s="685" t="s">
        <v>354</v>
      </c>
      <c r="C4" s="685"/>
      <c r="D4" s="685"/>
      <c r="E4" s="279"/>
      <c r="F4" s="473"/>
    </row>
    <row r="5" spans="2:12" x14ac:dyDescent="0.35">
      <c r="B5" s="700" t="s">
        <v>58</v>
      </c>
      <c r="C5" s="700"/>
      <c r="D5" s="700"/>
      <c r="G5" s="262"/>
      <c r="H5" s="262"/>
      <c r="I5" s="262"/>
      <c r="J5" s="262"/>
      <c r="K5" s="262"/>
      <c r="L5" s="262"/>
    </row>
    <row r="6" spans="2:12" x14ac:dyDescent="0.35">
      <c r="B6" s="332"/>
      <c r="C6" s="474">
        <v>6920.06</v>
      </c>
      <c r="D6" s="639">
        <v>6731.3</v>
      </c>
      <c r="E6" s="262"/>
      <c r="G6" s="262"/>
      <c r="H6" s="262"/>
      <c r="I6" s="262"/>
      <c r="J6" s="262"/>
      <c r="K6" s="262"/>
      <c r="L6" s="262"/>
    </row>
    <row r="7" spans="2:12" x14ac:dyDescent="0.35">
      <c r="B7" s="475"/>
      <c r="C7" s="476">
        <f>+INDICE!P3</f>
        <v>2022</v>
      </c>
      <c r="D7" s="477">
        <f>+INDICE!P2</f>
        <v>2021</v>
      </c>
      <c r="E7" s="262"/>
      <c r="G7" s="478"/>
      <c r="H7" s="478"/>
      <c r="I7" s="262"/>
      <c r="J7" s="262"/>
      <c r="K7" s="262"/>
      <c r="L7" s="262"/>
    </row>
    <row r="8" spans="2:12" x14ac:dyDescent="0.35">
      <c r="B8" s="671" t="s">
        <v>25</v>
      </c>
      <c r="C8" s="672"/>
      <c r="D8" s="673"/>
      <c r="E8" s="262"/>
      <c r="G8" s="478"/>
      <c r="H8" s="262"/>
      <c r="I8" s="262"/>
      <c r="J8" s="262"/>
      <c r="K8" s="262"/>
      <c r="L8" s="262"/>
    </row>
    <row r="9" spans="2:12" x14ac:dyDescent="0.35">
      <c r="B9" s="414"/>
      <c r="C9" s="479"/>
      <c r="D9" s="480"/>
      <c r="E9" s="262"/>
      <c r="G9" s="370"/>
      <c r="H9" s="368"/>
      <c r="I9" s="368"/>
      <c r="J9" s="262"/>
      <c r="K9" s="262"/>
      <c r="L9" s="262"/>
    </row>
    <row r="10" spans="2:12" x14ac:dyDescent="0.35">
      <c r="B10" s="414" t="s">
        <v>26</v>
      </c>
      <c r="C10" s="479"/>
      <c r="D10" s="480"/>
      <c r="E10" s="262"/>
      <c r="G10" s="368"/>
      <c r="H10" s="368"/>
      <c r="I10" s="368"/>
      <c r="J10" s="262"/>
      <c r="K10" s="262"/>
      <c r="L10" s="262"/>
    </row>
    <row r="11" spans="2:12" x14ac:dyDescent="0.35">
      <c r="B11" s="410" t="str">
        <f>+'2.EERR USD'!B12</f>
        <v xml:space="preserve">Intereses </v>
      </c>
      <c r="C11" s="479">
        <f>+'2.EERR USD'!C12*$C$6</f>
        <v>564401037</v>
      </c>
      <c r="D11" s="480">
        <f>$D$6*'2.EERR USD'!D12-20</f>
        <v>6873041.1779999994</v>
      </c>
      <c r="E11" s="262"/>
      <c r="G11" s="481"/>
      <c r="H11" s="481"/>
      <c r="I11" s="368"/>
      <c r="J11" s="262"/>
      <c r="K11" s="262"/>
      <c r="L11" s="262"/>
    </row>
    <row r="12" spans="2:12" x14ac:dyDescent="0.35">
      <c r="B12" s="410" t="str">
        <f>+'2.EERR USD'!B13</f>
        <v xml:space="preserve">Otros </v>
      </c>
      <c r="C12" s="479">
        <f>+'2.EERR USD'!C13*C6</f>
        <v>1193033</v>
      </c>
      <c r="D12" s="480">
        <f>$D$6*'2.EERR USD'!D13-50+24</f>
        <v>5224.4140000000007</v>
      </c>
      <c r="E12" s="262"/>
      <c r="G12" s="368"/>
      <c r="H12" s="368"/>
      <c r="I12" s="368"/>
      <c r="J12" s="262"/>
      <c r="K12" s="262"/>
      <c r="L12" s="262"/>
    </row>
    <row r="13" spans="2:12" x14ac:dyDescent="0.35">
      <c r="B13" s="410" t="str">
        <f>+'2.EERR USD'!B14</f>
        <v>Ingresos por Tenenciade Ganado</v>
      </c>
      <c r="C13" s="479">
        <f>+'2.EERR USD'!C14*$C$6</f>
        <v>8562748775.999999</v>
      </c>
      <c r="D13" s="480">
        <f>$D$6*'2.EERR USD'!D14</f>
        <v>0</v>
      </c>
      <c r="E13" s="262"/>
      <c r="G13" s="368"/>
      <c r="H13" s="368"/>
      <c r="I13" s="368"/>
      <c r="J13" s="262"/>
      <c r="K13" s="262"/>
      <c r="L13" s="262"/>
    </row>
    <row r="14" spans="2:12" x14ac:dyDescent="0.35">
      <c r="B14" s="410" t="s">
        <v>340</v>
      </c>
      <c r="C14" s="479">
        <f>+'[4]ESTADOS DE RESULTADOS'!$C$23</f>
        <v>643656650</v>
      </c>
      <c r="D14" s="480">
        <f>+'[7]ESTADOS DE RESULTADOS'!$C$18</f>
        <v>14800460</v>
      </c>
      <c r="E14" s="262"/>
      <c r="G14" s="368"/>
      <c r="H14" s="368"/>
      <c r="I14" s="368"/>
      <c r="J14" s="262"/>
      <c r="K14" s="262"/>
      <c r="L14" s="262"/>
    </row>
    <row r="15" spans="2:12" x14ac:dyDescent="0.35">
      <c r="B15" s="414" t="s">
        <v>29</v>
      </c>
      <c r="C15" s="476">
        <f>SUM(C10:C14)</f>
        <v>9771999496</v>
      </c>
      <c r="D15" s="477">
        <f>SUM(D10:D14)</f>
        <v>21678725.592</v>
      </c>
      <c r="E15" s="262"/>
      <c r="G15" s="368"/>
      <c r="I15" s="368"/>
      <c r="J15" s="262"/>
      <c r="K15" s="262"/>
      <c r="L15" s="262"/>
    </row>
    <row r="16" spans="2:12" ht="21.75" customHeight="1" x14ac:dyDescent="0.35">
      <c r="B16" s="414" t="s">
        <v>30</v>
      </c>
      <c r="C16" s="479"/>
      <c r="D16" s="480"/>
      <c r="E16" s="262"/>
      <c r="G16" s="368"/>
      <c r="I16" s="368"/>
      <c r="J16" s="262"/>
      <c r="K16" s="262"/>
      <c r="L16" s="262"/>
    </row>
    <row r="17" spans="2:12" x14ac:dyDescent="0.35">
      <c r="B17" s="482" t="s">
        <v>31</v>
      </c>
      <c r="C17" s="479">
        <f>+'2.EERR USD'!C17*$C$6</f>
        <v>2622483304</v>
      </c>
      <c r="D17" s="480">
        <f>$D$6*'2.EERR USD'!D17-50-6</f>
        <v>22640738.863000002</v>
      </c>
      <c r="E17" s="262"/>
      <c r="F17" s="350"/>
      <c r="G17" s="262"/>
      <c r="H17" s="262"/>
      <c r="I17" s="262"/>
      <c r="J17" s="262"/>
      <c r="K17" s="262"/>
      <c r="L17" s="262"/>
    </row>
    <row r="18" spans="2:12" hidden="1" x14ac:dyDescent="0.35">
      <c r="B18" s="483" t="s">
        <v>32</v>
      </c>
      <c r="C18" s="479">
        <f>+'2.EERR USD'!C18*$C$6</f>
        <v>0</v>
      </c>
      <c r="D18" s="480">
        <f>$D$6*'2.EERR USD'!D18</f>
        <v>0</v>
      </c>
      <c r="E18" s="262"/>
      <c r="G18" s="262"/>
      <c r="H18" s="262"/>
      <c r="I18" s="262"/>
      <c r="J18" s="262"/>
      <c r="K18" s="262"/>
      <c r="L18" s="262"/>
    </row>
    <row r="19" spans="2:12" x14ac:dyDescent="0.35">
      <c r="B19" s="482" t="s">
        <v>33</v>
      </c>
      <c r="C19" s="479">
        <f>+'2.EERR USD'!C19*$C$6</f>
        <v>3236449</v>
      </c>
      <c r="D19" s="480">
        <f>$D$6*'2.EERR USD'!D19</f>
        <v>704497.85800000001</v>
      </c>
      <c r="E19" s="262"/>
      <c r="G19" s="262"/>
      <c r="H19" s="262"/>
      <c r="I19" s="262"/>
      <c r="J19" s="262"/>
      <c r="K19" s="262"/>
      <c r="L19" s="262"/>
    </row>
    <row r="20" spans="2:12" x14ac:dyDescent="0.35">
      <c r="B20" s="410" t="s">
        <v>34</v>
      </c>
      <c r="C20" s="479">
        <f>+'2.EERR USD'!C20*C6</f>
        <v>1042649565</v>
      </c>
      <c r="D20" s="480">
        <f>$D$6*('2.EERR USD'!D20-3324.79)</f>
        <v>127458444.447</v>
      </c>
      <c r="E20" s="262"/>
      <c r="G20" s="357"/>
      <c r="H20" s="262"/>
      <c r="I20" s="262"/>
      <c r="J20" s="262"/>
      <c r="K20" s="262"/>
      <c r="L20" s="262"/>
    </row>
    <row r="21" spans="2:12" x14ac:dyDescent="0.35">
      <c r="B21" s="410" t="str">
        <f>+'2.EERR USD'!B21</f>
        <v>Costo de Trasformacion de Activo Biologico</v>
      </c>
      <c r="C21" s="479">
        <f>+'2.EERR USD'!C21*$C$6</f>
        <v>1414142912.9999998</v>
      </c>
      <c r="D21" s="480">
        <f>$D$6*'2.EERR USD'!D21</f>
        <v>0</v>
      </c>
      <c r="E21" s="262"/>
      <c r="G21" s="357"/>
      <c r="H21" s="262"/>
      <c r="I21" s="262"/>
      <c r="J21" s="262"/>
      <c r="K21" s="262"/>
      <c r="L21" s="262"/>
    </row>
    <row r="22" spans="2:12" x14ac:dyDescent="0.35">
      <c r="B22" s="410" t="s">
        <v>339</v>
      </c>
      <c r="C22" s="479">
        <f>+'[4]ESTADOS DE RESULTADOS'!$C$66+1</f>
        <v>262867254</v>
      </c>
      <c r="D22" s="480">
        <f>+'[7]ESTADOS DE RESULTADOS'!$C$33</f>
        <v>3133161</v>
      </c>
      <c r="E22" s="262"/>
      <c r="G22" s="357"/>
      <c r="H22" s="262"/>
      <c r="I22" s="262"/>
      <c r="J22" s="262"/>
      <c r="K22" s="262"/>
      <c r="L22" s="262"/>
    </row>
    <row r="23" spans="2:12" x14ac:dyDescent="0.35">
      <c r="B23" s="484" t="s">
        <v>35</v>
      </c>
      <c r="C23" s="476">
        <f>SUM(C17:C22)</f>
        <v>5345379485</v>
      </c>
      <c r="D23" s="477">
        <f>SUM(D17:D22)</f>
        <v>153936842.16799998</v>
      </c>
      <c r="E23" s="262"/>
      <c r="G23" s="262"/>
      <c r="H23" s="262"/>
      <c r="I23" s="262"/>
      <c r="J23" s="262"/>
      <c r="K23" s="262"/>
      <c r="L23" s="262"/>
    </row>
    <row r="24" spans="2:12" ht="16.2" thickBot="1" x14ac:dyDescent="0.4">
      <c r="B24" s="484" t="s">
        <v>36</v>
      </c>
      <c r="C24" s="485">
        <f>+C15-C23</f>
        <v>4426620011</v>
      </c>
      <c r="D24" s="486">
        <f>+D15-D23</f>
        <v>-132258116.57599998</v>
      </c>
      <c r="E24" s="262"/>
      <c r="G24" s="487"/>
      <c r="H24" s="262"/>
      <c r="I24" s="262"/>
      <c r="J24" s="262"/>
      <c r="K24" s="262"/>
      <c r="L24" s="262"/>
    </row>
    <row r="25" spans="2:12" ht="16.2" thickTop="1" x14ac:dyDescent="0.35">
      <c r="B25" s="488"/>
      <c r="C25" s="489"/>
      <c r="D25" s="490"/>
      <c r="E25" s="262"/>
      <c r="G25" s="262"/>
      <c r="H25" s="262"/>
      <c r="I25" s="262"/>
      <c r="J25" s="262"/>
      <c r="K25" s="262"/>
      <c r="L25" s="262"/>
    </row>
    <row r="26" spans="2:12" x14ac:dyDescent="0.35">
      <c r="B26" s="491"/>
      <c r="C26" s="607">
        <f>+C24-'[4]ESTADOS DE RESULTADOS'!$C$74</f>
        <v>-1</v>
      </c>
      <c r="D26" s="607">
        <f>+D24-'[7]ESTADOS DE RESULTADOS'!$C$37</f>
        <v>0.42400002479553223</v>
      </c>
      <c r="E26" s="262"/>
      <c r="G26" s="262"/>
      <c r="H26" s="262"/>
      <c r="I26" s="262"/>
      <c r="J26" s="262"/>
      <c r="K26" s="262"/>
      <c r="L26" s="262"/>
    </row>
    <row r="27" spans="2:12" x14ac:dyDescent="0.35">
      <c r="B27" s="279" t="s">
        <v>157</v>
      </c>
      <c r="E27" s="262"/>
      <c r="G27" s="262"/>
      <c r="H27" s="262"/>
      <c r="I27" s="262"/>
      <c r="J27" s="262"/>
      <c r="K27" s="262"/>
      <c r="L27" s="262"/>
    </row>
    <row r="28" spans="2:12" x14ac:dyDescent="0.35">
      <c r="B28" s="493"/>
      <c r="C28" s="494"/>
      <c r="D28" s="494"/>
      <c r="E28" s="262"/>
      <c r="G28" s="262"/>
      <c r="H28" s="262"/>
      <c r="I28" s="487"/>
      <c r="J28" s="262"/>
      <c r="K28" s="262"/>
      <c r="L28" s="262"/>
    </row>
    <row r="29" spans="2:12" x14ac:dyDescent="0.35">
      <c r="E29" s="262"/>
      <c r="G29" s="262"/>
      <c r="H29" s="262"/>
      <c r="I29" s="262"/>
      <c r="J29" s="262"/>
      <c r="K29" s="262"/>
      <c r="L29" s="262"/>
    </row>
    <row r="30" spans="2:12" x14ac:dyDescent="0.35">
      <c r="E30" s="262"/>
      <c r="G30" s="262"/>
      <c r="H30" s="262"/>
      <c r="I30" s="487"/>
      <c r="J30" s="262"/>
      <c r="K30" s="262"/>
      <c r="L30" s="262"/>
    </row>
    <row r="31" spans="2:12" x14ac:dyDescent="0.35">
      <c r="B31" s="365"/>
      <c r="E31" s="262"/>
      <c r="G31" s="262"/>
      <c r="H31" s="262"/>
      <c r="I31" s="262"/>
      <c r="J31" s="262"/>
      <c r="K31" s="262"/>
      <c r="L31" s="262"/>
    </row>
    <row r="32" spans="2:12" x14ac:dyDescent="0.35">
      <c r="B32" s="332"/>
      <c r="E32" s="262"/>
    </row>
    <row r="33" spans="2:5" x14ac:dyDescent="0.35">
      <c r="B33" s="365"/>
      <c r="C33" s="494"/>
      <c r="D33" s="494"/>
      <c r="E33" s="262"/>
    </row>
    <row r="34" spans="2:5" x14ac:dyDescent="0.35">
      <c r="B34" s="365"/>
      <c r="E34" s="262"/>
    </row>
    <row r="35" spans="2:5" x14ac:dyDescent="0.35">
      <c r="B35" s="287"/>
      <c r="E35" s="262"/>
    </row>
    <row r="36" spans="2:5" x14ac:dyDescent="0.35">
      <c r="B36" s="365"/>
      <c r="E36" s="262"/>
    </row>
    <row r="37" spans="2:5" x14ac:dyDescent="0.35">
      <c r="B37" s="287"/>
      <c r="E37" s="262"/>
    </row>
    <row r="38" spans="2:5" x14ac:dyDescent="0.35">
      <c r="B38" s="365"/>
      <c r="C38" s="494"/>
      <c r="D38" s="494"/>
      <c r="E38" s="262"/>
    </row>
    <row r="39" spans="2:5" x14ac:dyDescent="0.35">
      <c r="B39" s="287"/>
      <c r="E39" s="262"/>
    </row>
    <row r="40" spans="2:5" x14ac:dyDescent="0.35">
      <c r="B40" s="365"/>
      <c r="E40" s="262"/>
    </row>
    <row r="41" spans="2:5" x14ac:dyDescent="0.35">
      <c r="B41" s="365"/>
      <c r="E41" s="262"/>
    </row>
    <row r="42" spans="2:5" x14ac:dyDescent="0.35">
      <c r="B42" s="365"/>
      <c r="E42" s="262"/>
    </row>
    <row r="43" spans="2:5" x14ac:dyDescent="0.35">
      <c r="B43" s="365"/>
      <c r="C43" s="494"/>
      <c r="D43" s="494"/>
      <c r="E43" s="262"/>
    </row>
  </sheetData>
  <mergeCells count="4">
    <mergeCell ref="B3:D3"/>
    <mergeCell ref="B5:D5"/>
    <mergeCell ref="B4:D4"/>
    <mergeCell ref="B2:D2"/>
  </mergeCells>
  <pageMargins left="0.25" right="0.25" top="0.75" bottom="0.75" header="0.3" footer="0.3"/>
  <pageSetup paperSize="9" scale="75" orientation="portrait" r:id="rId1"/>
  <ignoredErrors>
    <ignoredError sqref="D16"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8"/>
  <sheetViews>
    <sheetView showGridLines="0" topLeftCell="B6" workbookViewId="0">
      <selection activeCell="H16" sqref="H16"/>
    </sheetView>
  </sheetViews>
  <sheetFormatPr baseColWidth="10" defaultColWidth="9.109375" defaultRowHeight="15.6" x14ac:dyDescent="0.35"/>
  <cols>
    <col min="1" max="1" width="5.6640625" style="261" customWidth="1"/>
    <col min="2" max="2" width="40.44140625" style="261" customWidth="1"/>
    <col min="3" max="3" width="20.6640625" style="261" customWidth="1"/>
    <col min="4" max="4" width="21.33203125" style="261" customWidth="1"/>
    <col min="5" max="5" width="24.44140625" style="261" customWidth="1"/>
    <col min="6" max="6" width="13.6640625" style="261" customWidth="1"/>
    <col min="7" max="7" width="12.44140625" style="261" customWidth="1"/>
    <col min="8" max="8" width="11.44140625" style="261" bestFit="1" customWidth="1"/>
    <col min="9" max="9" width="13.33203125" style="261" customWidth="1"/>
    <col min="10" max="11" width="12.44140625" style="261" customWidth="1"/>
    <col min="12" max="16384" width="9.109375" style="261"/>
  </cols>
  <sheetData>
    <row r="1" spans="1:11" x14ac:dyDescent="0.35">
      <c r="A1" s="367"/>
      <c r="B1" s="368"/>
      <c r="C1" s="368"/>
      <c r="D1" s="368"/>
    </row>
    <row r="2" spans="1:11" x14ac:dyDescent="0.35">
      <c r="A2" s="368"/>
      <c r="B2" s="700" t="s">
        <v>166</v>
      </c>
      <c r="C2" s="700"/>
      <c r="D2" s="700"/>
      <c r="E2" s="700"/>
      <c r="F2" s="369"/>
      <c r="G2" s="368"/>
      <c r="H2" s="368"/>
      <c r="I2" s="368"/>
      <c r="J2" s="368"/>
      <c r="K2" s="368"/>
    </row>
    <row r="3" spans="1:11" x14ac:dyDescent="0.35">
      <c r="A3" s="367"/>
      <c r="B3" s="701" t="s">
        <v>16</v>
      </c>
      <c r="C3" s="701"/>
      <c r="D3" s="701"/>
      <c r="E3" s="701"/>
      <c r="F3" s="368"/>
      <c r="G3" s="368"/>
      <c r="H3" s="368"/>
      <c r="I3" s="371"/>
      <c r="J3" s="371"/>
      <c r="K3" s="371"/>
    </row>
    <row r="4" spans="1:11" x14ac:dyDescent="0.35">
      <c r="A4" s="367"/>
      <c r="B4" s="685" t="s">
        <v>354</v>
      </c>
      <c r="C4" s="685"/>
      <c r="D4" s="685"/>
      <c r="E4" s="685"/>
      <c r="F4" s="368"/>
      <c r="G4" s="368"/>
      <c r="H4" s="368"/>
      <c r="I4" s="371"/>
      <c r="J4" s="371"/>
      <c r="K4" s="371"/>
    </row>
    <row r="5" spans="1:11" x14ac:dyDescent="0.35">
      <c r="A5" s="371"/>
      <c r="B5" s="702" t="s">
        <v>58</v>
      </c>
      <c r="C5" s="702"/>
      <c r="D5" s="702"/>
      <c r="E5" s="702"/>
      <c r="I5" s="371"/>
      <c r="J5" s="371"/>
      <c r="K5" s="371"/>
    </row>
    <row r="6" spans="1:11" x14ac:dyDescent="0.35">
      <c r="A6" s="371"/>
      <c r="B6" s="495"/>
      <c r="C6" s="495"/>
      <c r="D6" s="495"/>
      <c r="E6" s="495"/>
      <c r="I6" s="371"/>
      <c r="J6" s="371"/>
      <c r="K6" s="371"/>
    </row>
    <row r="7" spans="1:11" ht="31.2" x14ac:dyDescent="0.35">
      <c r="A7" s="371"/>
      <c r="B7" s="374" t="s">
        <v>17</v>
      </c>
      <c r="C7" s="374" t="s">
        <v>18</v>
      </c>
      <c r="D7" s="374" t="s">
        <v>19</v>
      </c>
      <c r="E7" s="374" t="s">
        <v>355</v>
      </c>
      <c r="F7" s="371"/>
      <c r="G7" s="371"/>
      <c r="H7" s="371"/>
      <c r="I7" s="288"/>
      <c r="J7" s="288"/>
      <c r="K7" s="371"/>
    </row>
    <row r="8" spans="1:11" ht="23.25" customHeight="1" x14ac:dyDescent="0.35">
      <c r="A8" s="371"/>
      <c r="B8" s="496" t="s">
        <v>20</v>
      </c>
      <c r="C8" s="497">
        <f>+'5.BG G'!D48</f>
        <v>19697964000</v>
      </c>
      <c r="D8" s="497">
        <f>+'5.BG G'!D49</f>
        <v>672841498.83000004</v>
      </c>
      <c r="E8" s="640">
        <v>20987446795.234623</v>
      </c>
      <c r="F8" s="371"/>
      <c r="G8" s="371"/>
      <c r="H8" s="371"/>
      <c r="I8" s="498"/>
      <c r="J8" s="371"/>
      <c r="K8" s="379"/>
    </row>
    <row r="9" spans="1:11" x14ac:dyDescent="0.35">
      <c r="B9" s="499"/>
      <c r="C9" s="500"/>
      <c r="D9" s="500"/>
      <c r="E9" s="501"/>
      <c r="I9" s="350"/>
    </row>
    <row r="10" spans="1:11" x14ac:dyDescent="0.35">
      <c r="A10" s="279"/>
      <c r="B10" s="380" t="s">
        <v>21</v>
      </c>
      <c r="C10" s="502"/>
      <c r="D10" s="502"/>
      <c r="E10" s="501"/>
      <c r="F10" s="384"/>
      <c r="G10" s="384"/>
      <c r="H10" s="384"/>
      <c r="I10" s="384"/>
      <c r="J10" s="384"/>
      <c r="K10" s="384"/>
    </row>
    <row r="11" spans="1:11" x14ac:dyDescent="0.35">
      <c r="A11" s="279"/>
      <c r="B11" s="386" t="s">
        <v>151</v>
      </c>
      <c r="C11" s="503">
        <f>+C16-C8</f>
        <v>21825863000</v>
      </c>
      <c r="D11" s="501">
        <v>0</v>
      </c>
      <c r="E11" s="501">
        <v>22227651800</v>
      </c>
      <c r="F11" s="384"/>
      <c r="G11" s="384"/>
      <c r="H11" s="384"/>
      <c r="I11" s="384"/>
      <c r="J11" s="384"/>
      <c r="K11" s="384"/>
    </row>
    <row r="12" spans="1:11" x14ac:dyDescent="0.35">
      <c r="A12" s="379"/>
      <c r="B12" s="504" t="s">
        <v>22</v>
      </c>
      <c r="C12" s="503">
        <v>0</v>
      </c>
      <c r="D12" s="501">
        <v>0</v>
      </c>
      <c r="E12" s="501"/>
      <c r="F12" s="388"/>
      <c r="G12" s="379"/>
      <c r="H12" s="379"/>
      <c r="I12" s="388"/>
      <c r="J12" s="390"/>
      <c r="K12" s="390"/>
    </row>
    <row r="13" spans="1:11" x14ac:dyDescent="0.35">
      <c r="A13" s="379"/>
      <c r="B13" s="504" t="s">
        <v>160</v>
      </c>
      <c r="C13" s="503">
        <v>0</v>
      </c>
      <c r="D13" s="505">
        <f>+'3.VARIAC. PA USD'!D13*6895.8</f>
        <v>0</v>
      </c>
      <c r="E13" s="505"/>
      <c r="F13" s="388"/>
      <c r="G13" s="379"/>
      <c r="H13" s="379"/>
      <c r="I13" s="388"/>
      <c r="J13" s="390"/>
      <c r="K13" s="390"/>
    </row>
    <row r="14" spans="1:11" x14ac:dyDescent="0.35">
      <c r="A14" s="379"/>
      <c r="B14" s="504" t="s">
        <v>163</v>
      </c>
      <c r="C14" s="503">
        <v>0</v>
      </c>
      <c r="D14" s="505">
        <f>+'3.VARIAC. PA USD'!D14*6895.8</f>
        <v>0</v>
      </c>
      <c r="E14" s="505"/>
      <c r="F14" s="388"/>
      <c r="G14" s="379"/>
      <c r="H14" s="379"/>
      <c r="I14" s="388"/>
      <c r="J14" s="390"/>
      <c r="K14" s="390"/>
    </row>
    <row r="15" spans="1:11" x14ac:dyDescent="0.35">
      <c r="A15" s="279"/>
      <c r="B15" s="506" t="s">
        <v>23</v>
      </c>
      <c r="C15" s="507">
        <v>0</v>
      </c>
      <c r="D15" s="508">
        <f>+D16-D8</f>
        <v>3753778512.6599998</v>
      </c>
      <c r="E15" s="505">
        <v>2735659968.8932791</v>
      </c>
      <c r="F15" s="279"/>
      <c r="G15" s="279"/>
      <c r="H15" s="435"/>
      <c r="I15" s="279"/>
      <c r="J15" s="279"/>
      <c r="K15" s="279"/>
    </row>
    <row r="16" spans="1:11" ht="58.5" customHeight="1" x14ac:dyDescent="0.35">
      <c r="A16" s="279"/>
      <c r="B16" s="394" t="s">
        <v>24</v>
      </c>
      <c r="C16" s="509">
        <f>+'5.BG G'!C48</f>
        <v>41523827000</v>
      </c>
      <c r="D16" s="509">
        <f>+'5.BG G'!C49</f>
        <v>4426620011.4899998</v>
      </c>
      <c r="E16" s="510" t="s">
        <v>356</v>
      </c>
      <c r="F16" s="396"/>
      <c r="G16" s="396"/>
      <c r="H16" s="396"/>
      <c r="I16" s="396"/>
      <c r="J16" s="396"/>
      <c r="K16" s="396"/>
    </row>
    <row r="17" spans="1:13" ht="21" customHeight="1" thickBot="1" x14ac:dyDescent="0.4">
      <c r="A17" s="279"/>
      <c r="B17" s="396"/>
      <c r="C17" s="400"/>
      <c r="D17" s="400"/>
      <c r="E17" s="511">
        <f>+C16+D16</f>
        <v>45950447011.489998</v>
      </c>
      <c r="F17" s="396"/>
      <c r="G17" s="396"/>
      <c r="H17" s="396"/>
      <c r="I17" s="396"/>
      <c r="J17" s="396"/>
      <c r="K17" s="396"/>
      <c r="M17" s="350"/>
    </row>
    <row r="18" spans="1:13" ht="16.2" thickTop="1" x14ac:dyDescent="0.35">
      <c r="A18" s="399"/>
      <c r="B18" s="396"/>
      <c r="C18" s="396"/>
      <c r="D18" s="396"/>
      <c r="E18" s="396"/>
      <c r="F18" s="396"/>
      <c r="G18" s="396"/>
      <c r="H18" s="396"/>
      <c r="I18" s="396"/>
      <c r="J18" s="396"/>
      <c r="K18" s="396"/>
      <c r="M18" s="350"/>
    </row>
    <row r="19" spans="1:13" x14ac:dyDescent="0.35">
      <c r="A19" s="279"/>
      <c r="B19" s="279" t="s">
        <v>157</v>
      </c>
      <c r="C19" s="396"/>
      <c r="D19" s="396"/>
      <c r="E19" s="400"/>
      <c r="F19" s="396"/>
      <c r="G19" s="396"/>
      <c r="H19" s="396"/>
      <c r="I19" s="396"/>
      <c r="J19" s="396"/>
      <c r="K19" s="396"/>
    </row>
    <row r="20" spans="1:13" x14ac:dyDescent="0.35">
      <c r="A20" s="279"/>
      <c r="B20" s="332"/>
      <c r="C20" s="396"/>
      <c r="D20" s="396"/>
      <c r="E20" s="396"/>
      <c r="F20" s="396"/>
      <c r="G20" s="396"/>
      <c r="H20" s="396"/>
      <c r="I20" s="396"/>
      <c r="J20" s="396"/>
      <c r="K20" s="396"/>
    </row>
    <row r="21" spans="1:13" x14ac:dyDescent="0.35">
      <c r="A21" s="279"/>
      <c r="B21" s="368"/>
      <c r="C21" s="396"/>
      <c r="D21" s="396"/>
      <c r="E21" s="396"/>
      <c r="F21" s="396"/>
      <c r="G21" s="396"/>
      <c r="H21" s="396"/>
      <c r="I21" s="396"/>
      <c r="J21" s="396"/>
      <c r="K21" s="396"/>
    </row>
    <row r="22" spans="1:13" x14ac:dyDescent="0.35">
      <c r="A22" s="279"/>
      <c r="B22" s="332"/>
      <c r="C22" s="396"/>
      <c r="D22" s="396"/>
      <c r="E22" s="396"/>
      <c r="F22" s="396"/>
      <c r="G22" s="396"/>
      <c r="H22" s="396"/>
      <c r="I22" s="396"/>
      <c r="J22" s="396"/>
      <c r="K22" s="396"/>
    </row>
    <row r="23" spans="1:13" x14ac:dyDescent="0.35">
      <c r="A23" s="279"/>
      <c r="B23" s="368"/>
      <c r="C23" s="396"/>
      <c r="D23" s="396"/>
      <c r="E23" s="396"/>
      <c r="F23" s="396"/>
      <c r="G23" s="396"/>
      <c r="H23" s="396"/>
      <c r="I23" s="396"/>
      <c r="J23" s="396"/>
      <c r="K23" s="396"/>
    </row>
    <row r="24" spans="1:13" x14ac:dyDescent="0.35">
      <c r="A24" s="279"/>
      <c r="B24" s="396"/>
      <c r="C24" s="396"/>
      <c r="D24" s="396"/>
      <c r="E24" s="396"/>
      <c r="F24" s="396"/>
      <c r="G24" s="396"/>
      <c r="H24" s="396"/>
      <c r="I24" s="396"/>
      <c r="J24" s="396"/>
      <c r="K24" s="396"/>
    </row>
    <row r="25" spans="1:13" x14ac:dyDescent="0.35">
      <c r="A25" s="279"/>
      <c r="B25" s="396"/>
      <c r="C25" s="396"/>
      <c r="D25" s="396"/>
      <c r="E25" s="396"/>
      <c r="F25" s="396"/>
      <c r="G25" s="396"/>
      <c r="H25" s="396"/>
      <c r="I25" s="396"/>
      <c r="J25" s="396"/>
      <c r="K25" s="396"/>
    </row>
    <row r="26" spans="1:13" x14ac:dyDescent="0.35">
      <c r="A26" s="279"/>
      <c r="B26" s="396"/>
      <c r="C26" s="396"/>
      <c r="D26" s="396"/>
      <c r="E26" s="396"/>
      <c r="F26" s="396"/>
      <c r="G26" s="396"/>
      <c r="H26" s="396"/>
      <c r="I26" s="396"/>
      <c r="J26" s="396"/>
      <c r="K26" s="396"/>
    </row>
    <row r="27" spans="1:13" x14ac:dyDescent="0.35">
      <c r="A27" s="368"/>
      <c r="B27" s="396"/>
      <c r="C27" s="396"/>
      <c r="D27" s="396"/>
      <c r="E27" s="396"/>
      <c r="F27" s="396"/>
      <c r="G27" s="396"/>
      <c r="H27" s="396"/>
      <c r="I27" s="396"/>
      <c r="J27" s="396"/>
      <c r="K27" s="396"/>
    </row>
    <row r="28" spans="1:13" x14ac:dyDescent="0.35">
      <c r="A28" s="368"/>
      <c r="B28" s="396"/>
      <c r="C28" s="396"/>
      <c r="D28" s="396"/>
      <c r="E28" s="396"/>
      <c r="F28" s="396"/>
      <c r="G28" s="396"/>
      <c r="H28" s="396"/>
      <c r="I28" s="396"/>
      <c r="J28" s="396"/>
      <c r="K28" s="396"/>
    </row>
    <row r="30" spans="1:13" x14ac:dyDescent="0.35">
      <c r="J30" s="350"/>
    </row>
    <row r="31" spans="1:13" x14ac:dyDescent="0.35">
      <c r="G31" s="350"/>
    </row>
    <row r="32" spans="1:13" x14ac:dyDescent="0.35">
      <c r="J32" s="350"/>
    </row>
    <row r="33" spans="2:10" x14ac:dyDescent="0.35">
      <c r="J33" s="350"/>
    </row>
    <row r="34" spans="2:10" x14ac:dyDescent="0.35">
      <c r="J34" s="350"/>
    </row>
    <row r="37" spans="2:10" x14ac:dyDescent="0.35">
      <c r="B37" s="379"/>
      <c r="C37" s="368"/>
      <c r="D37" s="368"/>
      <c r="E37" s="692"/>
      <c r="F37" s="692"/>
      <c r="G37" s="692"/>
      <c r="H37" s="692"/>
    </row>
    <row r="38" spans="2:10" x14ac:dyDescent="0.35">
      <c r="B38" s="379"/>
      <c r="C38" s="368"/>
      <c r="D38" s="368"/>
      <c r="E38" s="692"/>
      <c r="F38" s="692"/>
      <c r="G38" s="692"/>
      <c r="H38" s="692"/>
    </row>
  </sheetData>
  <mergeCells count="6">
    <mergeCell ref="E37:H37"/>
    <mergeCell ref="E38:H38"/>
    <mergeCell ref="B2:E2"/>
    <mergeCell ref="B3:E3"/>
    <mergeCell ref="B5:E5"/>
    <mergeCell ref="B4:E4"/>
  </mergeCells>
  <pageMargins left="0.25" right="0.25" top="0.75" bottom="0.75" header="0.3" footer="0.3"/>
  <pageSetup paperSize="9" scale="65"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SjkSSmfIrb21A30adk8mzRMZAHnoAg/Or6Z/RMJ9FWI=</DigestValue>
    </Reference>
    <Reference Type="http://www.w3.org/2000/09/xmldsig#Object" URI="#idOfficeObject">
      <DigestMethod Algorithm="http://www.w3.org/2001/04/xmlenc#sha256"/>
      <DigestValue>F+5YWMkNK7eNscMrgYvsnZ248uCiqcP7SjryPY+VyaI=</DigestValue>
    </Reference>
    <Reference Type="http://uri.etsi.org/01903#SignedProperties" URI="#idSignedProperties">
      <Transforms>
        <Transform Algorithm="http://www.w3.org/TR/2001/REC-xml-c14n-20010315"/>
      </Transforms>
      <DigestMethod Algorithm="http://www.w3.org/2001/04/xmlenc#sha256"/>
      <DigestValue>+NjfkWhghZ/yyPfsEl8EwoHUnKZm0kKj3t+RDnKUx5M=</DigestValue>
    </Reference>
    <Reference Type="http://www.w3.org/2000/09/xmldsig#Object" URI="#idValidSigLnImg">
      <DigestMethod Algorithm="http://www.w3.org/2001/04/xmlenc#sha256"/>
      <DigestValue>1bpIEJ8cqdV2ZM15VEQW40o7J9r/o9dVqOhuqI/5iCI=</DigestValue>
    </Reference>
    <Reference Type="http://www.w3.org/2000/09/xmldsig#Object" URI="#idInvalidSigLnImg">
      <DigestMethod Algorithm="http://www.w3.org/2001/04/xmlenc#sha256"/>
      <DigestValue>jA36kyYZ/IfiOCyv9V5JocsL3SnmhN8WG8xcJautu1A=</DigestValue>
    </Reference>
  </SignedInfo>
  <SignatureValue>OMvfvRnQa8ceYgthMWW/kid0l0FewIpMCbrU/QH+v+HhZETwAL8hLzg/TBzIfCWPTqsBKzRoW0pk
xy/3KBdAM93rJg9hesS5Ge8HfYvO6kWjpp8bI9gtVbF82w+6HkGvr7/r7sSRtOtb/oRxpqsUHhyQ
vfbxb6h6iFSyssWISXqLBloitppQklM8i06KGDaTaMCvgtcQcFscHUeO3u3FJZuyn63bqzEeHvog
5s+uU3mWxAZGrsM991bl+IAAGMGaE9fhTkNqlNAj6cmBCKoOdqQCIrIkxf7NzGe5SpMf9Rp1Qbh1
XEvjrUQzMWCZiQeB3u+dVunzezjRgDgm1sF07Q==</SignatureValue>
  <KeyInfo>
    <X509Data>
      <X509Certificate>MIID8jCCAtqgAwIBAgIQ1mMZ/R+4r5VLo6SAFninLjANBgkqhkiG9w0BAQsFADB4MXYwEQYKCZImiZPyLGQBGRYDbmV0MBUGCgmSJomT8ixkARkWB3dpbmRvd3MwHQYDVQQDExZNUy1Pcmdhbml6YXRpb24tQWNjZXNzMCsGA1UECxMkODJkYmFjYTQtM2U4MS00NmNhLTljNzMtMDk1MGMxZWFjYTk3MB4XDTIwMTAwOTAwMzcyMVoXDTMwMTAwOTAxMDcyMVowLzEtMCsGA1UEAxMkYWNiODM1MDMtMTE1OC00YzY2LTgyZTAtOWJlNGFiZjZkYTMyMIIBIjANBgkqhkiG9w0BAQEFAAOCAQ8AMIIBCgKCAQEAv5NOAVdwaSacPS9Ifmv83xRUj2+DXXhfgnCysW5T0YsmevbNmYJbUk8yBG3gqRbJwQkqaUReHOsP77GtPF/UqG0C0iKaQ6qSBwZiqVIdYIy6Xp6MMl68y7vEVFLtBWLRGBgEBKRmkfzXaBuU+glYikKurqarH4SU8PKN8wlgckwmesz57I6WuEdRxZOuX9wSNPQyWZ08Ppj1EylZkmafnMLYdsodmfKDAyVPhEhv0qTVcIAUYyWyvquUz+5zX5lRLt/KWG4mhS2dAyrEeAh3G9Cv6c6vcmwbra2eq+76MlSOXW1h/K6fm9Cfu7n4kOwxjQvP3Op8muDJcp7f/hFmiwIDAQABo4HAMIG9MAwGA1UdEwEB/wQCMAAwFgYDVR0lAQH/BAwwCgYIKwYBBQUHAwIwIgYLKoZIhvcUAQWCHAIEEwSBEAM1uKxYEWZMguCb5Kv22jIwIgYLKoZIhvcUAQWCHAMEEwSBEK8cZ/8FkJhFt43qm2qvw3kwIgYLKoZIhvcUAQWCHAUEEwSBENtQLXUQ4WNMkzxjOS8EBIowFAYLKoZIhvcUAQWCHAgEBQSBAlNBMBMGCyqGSIb3FAEFghwHBAQEgQEwMA0GCSqGSIb3DQEBCwUAA4IBAQBQz0x56r9T+IEzwdj4fjPm+L9FCTe0TKAgtwH37rfDsCgfqr7Du0OLXaNpiNb1sGCDUQcFZBm29lqxuYmChnCFKhGI0tU4aVr/z1lYVh+J4ijYm6PruPks17/CmjX8twN7rqAfAbBhflEusMXEJNvWxdvGq19D916G/rYhw3+PSkAdyqwd6QTFM+vy2Nl0sdnFF92K+P7UK7KohCtcy/sFhXUoL+vX5GEyu5JoyRXZarYTdYBtn5RdR3IRUv7g7V4lfyEIs3wRWuYqzPdkjgN7/aTLZUyZaX6fDrb/eelcIxULlBOgGPTfIKskXVPlO+f6kRpvk1VE0q3DTL2fzq75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gzA5ESp0SKLhMRlCQ1a65OZ/9+4nlrMntNNz4arEqPA=</DigestValue>
      </Reference>
      <Reference URI="/xl/calcChain.xml?ContentType=application/vnd.openxmlformats-officedocument.spreadsheetml.calcChain+xml">
        <DigestMethod Algorithm="http://www.w3.org/2001/04/xmlenc#sha256"/>
        <DigestValue>7pRszXO9UOXW2pyZ/cPK1oWp6QkJ9js2UK/jY5lNgU4=</DigestValue>
      </Reference>
      <Reference URI="/xl/comments1.xml?ContentType=application/vnd.openxmlformats-officedocument.spreadsheetml.comments+xml">
        <DigestMethod Algorithm="http://www.w3.org/2001/04/xmlenc#sha256"/>
        <DigestValue>C7edDS1WM2idlnBexEEntYTIZ/Ebe7MbZgtc7TTvlM4=</DigestValue>
      </Reference>
      <Reference URI="/xl/comments2.xml?ContentType=application/vnd.openxmlformats-officedocument.spreadsheetml.comments+xml">
        <DigestMethod Algorithm="http://www.w3.org/2001/04/xmlenc#sha256"/>
        <DigestValue>5k5xUZZ8Ea/DC6ODEq+6bcN9uKqWh4KCybNA5g7iVG4=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xjawFzGC2DUvnbrMwBnu71d8EF55aB1+RA1JIfEst7Y=</DigestValue>
      </Reference>
      <Reference URI="/xl/drawings/vmlDrawing1.vml?ContentType=application/vnd.openxmlformats-officedocument.vmlDrawing">
        <DigestMethod Algorithm="http://www.w3.org/2001/04/xmlenc#sha256"/>
        <DigestValue>+JRHHa8+WyfmKGHR2bZODbjY9vyLXWT2Alom9O0Ocl4=</DigestValue>
      </Reference>
      <Reference URI="/xl/drawings/vmlDrawing2.vml?ContentType=application/vnd.openxmlformats-officedocument.vmlDrawing">
        <DigestMethod Algorithm="http://www.w3.org/2001/04/xmlenc#sha256"/>
        <DigestValue>u/Z59otcJGTChPvhcnLm9KhH0ow9E9gT/PnpEfLGWNM=</DigestValue>
      </Reference>
      <Reference URI="/xl/drawings/vmlDrawing3.vml?ContentType=application/vnd.openxmlformats-officedocument.vmlDrawing">
        <DigestMethod Algorithm="http://www.w3.org/2001/04/xmlenc#sha256"/>
        <DigestValue>mRkPwbq3iWyT1JGTN1DI7JpGHShzDuPPiOINvcShCMs=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iaQSVcjqzrlLiNCEr1Ge0F4CzLWsFLvjbQJNn264qww=</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nd5nbSJ5OvfYUdJPvWp2/N1PfWwFYWtituouy/Uh2O8=</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KPvaf7CfFw9mOuwWSoBv6EJksvUsMaXwFB/cerx1YSM=</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7Wwi8q7i3/y9adBLZHN9t5fn3JOJ7PUgGh5dve9QewE=</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W6SpxOLZ8amKgYOTG1V6iK0k+c8Tx+dd+EI7BCw1cCA=</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1FGuYEmk+Q4YiShAGpJvTjCeLMGvqtHxgurLpByxRZI=</DigestValue>
      </Reference>
      <Reference URI="/xl/externalLinks/externalLink5.xml?ContentType=application/vnd.openxmlformats-officedocument.spreadsheetml.externalLink+xml">
        <DigestMethod Algorithm="http://www.w3.org/2001/04/xmlenc#sha256"/>
        <DigestValue>/Wju8BGoWEnJjDMM5qq8Xd6jmUnygL4T8M1ONtS7j7o=</DigestValue>
      </Reference>
      <Reference URI="/xl/externalLinks/externalLink6.xml?ContentType=application/vnd.openxmlformats-officedocument.spreadsheetml.externalLink+xml">
        <DigestMethod Algorithm="http://www.w3.org/2001/04/xmlenc#sha256"/>
        <DigestValue>ClXLdInWniPsDsgs1MVBFziSacQxWzFFepQV8aVDhK8=</DigestValue>
      </Reference>
      <Reference URI="/xl/externalLinks/externalLink7.xml?ContentType=application/vnd.openxmlformats-officedocument.spreadsheetml.externalLink+xml">
        <DigestMethod Algorithm="http://www.w3.org/2001/04/xmlenc#sha256"/>
        <DigestValue>ZY2iFpx2RJQJzTze+idcn9ikaV7Bc0Perr7wTO651rs=</DigestValue>
      </Reference>
      <Reference URI="/xl/externalLinks/externalLink8.xml?ContentType=application/vnd.openxmlformats-officedocument.spreadsheetml.externalLink+xml">
        <DigestMethod Algorithm="http://www.w3.org/2001/04/xmlenc#sha256"/>
        <DigestValue>1XOOZ9z9wAgYqwwFqL59N8yE9dJb63GrQV6KGdlLkRg=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rlQfL6b0EVXUvpdx2/hHWDDiBa3f0V4x9vKfnptsMrc=</DigestValue>
      </Reference>
      <Reference URI="/xl/media/image3.emf?ContentType=image/x-emf">
        <DigestMethod Algorithm="http://www.w3.org/2001/04/xmlenc#sha256"/>
        <DigestValue>XBG2UpkR6WeJKGlMAs0oNN+rFnPcotnDk+aVxdl41fU=</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10.bin?ContentType=application/vnd.openxmlformats-officedocument.spreadsheetml.printerSettings">
        <DigestMethod Algorithm="http://www.w3.org/2001/04/xmlenc#sha256"/>
        <DigestValue>7FK+7ND2wkX5JRID7I5pGN2xS08AkOKCreOpDVpwU38=</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DhLX4rjnwdbQPweXYyD7kdwa3XMRHLSS9YTCJAaRbUc=</DigestValue>
      </Reference>
      <Reference URI="/xl/printerSettings/printerSettings13.bin?ContentType=application/vnd.openxmlformats-officedocument.spreadsheetml.printerSettings">
        <DigestMethod Algorithm="http://www.w3.org/2001/04/xmlenc#sha256"/>
        <DigestValue>DhLX4rjnwdbQPweXYyD7kdwa3XMRHLSS9YTCJAaRbUc=</DigestValue>
      </Reference>
      <Reference URI="/xl/printerSettings/printerSettings14.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V2Rz2Zv19k4KjB/HhDxguzEQxoQHTONkLEIoZlIzxuE=</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V2Rz2Zv19k4KjB/HhDxguzEQxoQHTONkLEIoZlIzxuE=</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QKcX857Snptw1iVZ84fwGCOnwxn1tEYMjP81MrgsR+w=</DigestValue>
      </Reference>
      <Reference URI="/xl/styles.xml?ContentType=application/vnd.openxmlformats-officedocument.spreadsheetml.styles+xml">
        <DigestMethod Algorithm="http://www.w3.org/2001/04/xmlenc#sha256"/>
        <DigestValue>CMyqWpYbNju2M3dM2yFzk3rZ9TYjfKpWO1Oh6AfFCcU=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bejnhMPdf7/3ZBTTrn91k0k1ITxPpt8oUhQOAFN90gg=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nSs+hUDNPaLOTnYoFvMucNNdm/jSbslacidXyB6tM/0=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EVXMmtbrK05YSYRgw5FgQD3Dc1yMJuinCK6QQtulNOM=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zpMzLqxUn9psmfzkyPoYDy60yavFEnKbKv2tnpdR840=</DigestValue>
      </Reference>
      <Reference URI="/xl/worksheets/sheet10.xml?ContentType=application/vnd.openxmlformats-officedocument.spreadsheetml.worksheet+xml">
        <DigestMethod Algorithm="http://www.w3.org/2001/04/xmlenc#sha256"/>
        <DigestValue>YuwXOTu4ayreLgBJ4sZjVeEHcCC2Y/+qhyftiwQXlK0=</DigestValue>
      </Reference>
      <Reference URI="/xl/worksheets/sheet11.xml?ContentType=application/vnd.openxmlformats-officedocument.spreadsheetml.worksheet+xml">
        <DigestMethod Algorithm="http://www.w3.org/2001/04/xmlenc#sha256"/>
        <DigestValue>XEo1p4uGDR3vLQqmbwcqqx3Es1lOPgsU5ix66xieyeo=</DigestValue>
      </Reference>
      <Reference URI="/xl/worksheets/sheet12.xml?ContentType=application/vnd.openxmlformats-officedocument.spreadsheetml.worksheet+xml">
        <DigestMethod Algorithm="http://www.w3.org/2001/04/xmlenc#sha256"/>
        <DigestValue>ckXIuLTy2iH5tOCdCxZh1kE5dU43W5tyKm/mUx8WOi8=</DigestValue>
      </Reference>
      <Reference URI="/xl/worksheets/sheet13.xml?ContentType=application/vnd.openxmlformats-officedocument.spreadsheetml.worksheet+xml">
        <DigestMethod Algorithm="http://www.w3.org/2001/04/xmlenc#sha256"/>
        <DigestValue>1IykzV4mjmbEWFLSvmheb3E/qZqE+EWact/Af+iJdII=</DigestValue>
      </Reference>
      <Reference URI="/xl/worksheets/sheet14.xml?ContentType=application/vnd.openxmlformats-officedocument.spreadsheetml.worksheet+xml">
        <DigestMethod Algorithm="http://www.w3.org/2001/04/xmlenc#sha256"/>
        <DigestValue>Dh1n1x4FDxJpFqHZyWYqg8YDbTZo+60o++ccFJvAxNQ=</DigestValue>
      </Reference>
      <Reference URI="/xl/worksheets/sheet2.xml?ContentType=application/vnd.openxmlformats-officedocument.spreadsheetml.worksheet+xml">
        <DigestMethod Algorithm="http://www.w3.org/2001/04/xmlenc#sha256"/>
        <DigestValue>3wooj03mfdLuDElVnzVFkVNxOlARUOq5QrdtMjSYZt8=</DigestValue>
      </Reference>
      <Reference URI="/xl/worksheets/sheet3.xml?ContentType=application/vnd.openxmlformats-officedocument.spreadsheetml.worksheet+xml">
        <DigestMethod Algorithm="http://www.w3.org/2001/04/xmlenc#sha256"/>
        <DigestValue>fkRPAWtlLD6XVN0MCotmFCmDn3MeR7LIJ3pol9p/CXw=</DigestValue>
      </Reference>
      <Reference URI="/xl/worksheets/sheet4.xml?ContentType=application/vnd.openxmlformats-officedocument.spreadsheetml.worksheet+xml">
        <DigestMethod Algorithm="http://www.w3.org/2001/04/xmlenc#sha256"/>
        <DigestValue>yQPPxcYiGWN3zAEqvoTDHnw5qBpl65Xz+tRfkohsXlU=</DigestValue>
      </Reference>
      <Reference URI="/xl/worksheets/sheet5.xml?ContentType=application/vnd.openxmlformats-officedocument.spreadsheetml.worksheet+xml">
        <DigestMethod Algorithm="http://www.w3.org/2001/04/xmlenc#sha256"/>
        <DigestValue>ml3AfoDuh+l7uGYgDnuRhH2QmsNSogAnXR0faT5WsEg=</DigestValue>
      </Reference>
      <Reference URI="/xl/worksheets/sheet6.xml?ContentType=application/vnd.openxmlformats-officedocument.spreadsheetml.worksheet+xml">
        <DigestMethod Algorithm="http://www.w3.org/2001/04/xmlenc#sha256"/>
        <DigestValue>EI/hGUCu3ofouxnW8kZZp9ApXTVJkIqXmzYJd5CLRFY=</DigestValue>
      </Reference>
      <Reference URI="/xl/worksheets/sheet7.xml?ContentType=application/vnd.openxmlformats-officedocument.spreadsheetml.worksheet+xml">
        <DigestMethod Algorithm="http://www.w3.org/2001/04/xmlenc#sha256"/>
        <DigestValue>v05X/b9zPV9E/1Co4/M2u7bymMA/G/68NCFhH6+lZNk=</DigestValue>
      </Reference>
      <Reference URI="/xl/worksheets/sheet8.xml?ContentType=application/vnd.openxmlformats-officedocument.spreadsheetml.worksheet+xml">
        <DigestMethod Algorithm="http://www.w3.org/2001/04/xmlenc#sha256"/>
        <DigestValue>v1kCu1GJq8QY3BHNH4BAPgm6/Td3wHJ/xqII6KO75c0=</DigestValue>
      </Reference>
      <Reference URI="/xl/worksheets/sheet9.xml?ContentType=application/vnd.openxmlformats-officedocument.spreadsheetml.worksheet+xml">
        <DigestMethod Algorithm="http://www.w3.org/2001/04/xmlenc#sha256"/>
        <DigestValue>SOrYomvrsXI/wlVCSU0JVU2CDA6LjaL8ajJdKc8BLCY=</DigestValue>
      </Reference>
    </Manifest>
    <SignatureProperties>
      <SignatureProperty Id="idSignatureTime" Target="#idPackageSignature">
        <mdssi:SignatureTime xmlns:mdssi="http://schemas.openxmlformats.org/package/2006/digital-signature">
          <mdssi:Format>YYYY-MM-DDThh:mm:ssTZD</mdssi:Format>
          <mdssi:Value>2022-10-31T22:19:06Z</mdssi:Value>
        </mdssi:SignatureTime>
      </SignatureProperty>
    </SignatureProperties>
  </Object>
  <Object Id="idOfficeObject">
    <SignatureProperties>
      <SignatureProperty Id="idOfficeV1Details" Target="#idPackageSignature">
        <SignatureInfoV1 xmlns="http://schemas.microsoft.com/office/2006/digsig">
          <SetupID>{BEE95137-5DD2-4FB8-8538-4E0DE4D69258}</SetupID>
          <SignatureText>SSP</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2022-10-31T22:19:06Z</xd:SigningTime>
          <xd:SigningCertificate>
            <xd:Cert>
              <xd:CertDigest>
                <DigestMethod Algorithm="http://www.w3.org/2001/04/xmlenc#sha256"/>
                <DigestValue>HS0Y3WrwN6qT/5wedAq4tuXzb2DM5awfeMcHe8/wBYs=</DigestValue>
              </xd:CertDigest>
              <xd:IssuerSerial>
                <X509IssuerName>DC=net + DC=windows + CN=MS-Organization-Access + OU=82dbaca4-3e81-46ca-9c73-0950c1eaca97</X509IssuerName>
                <X509SerialNumber>284969355601749458960697778797826058030</X509SerialNumber>
              </xd:IssuerSerial>
            </xd:Cert>
          </xd:SigningCertificate>
          <xd:SignaturePolicyIdentifier>
            <xd:SignaturePolicyImplied/>
          </xd:SignaturePolicyIdentifier>
        </xd:SignedSignatureProperties>
      </xd:SignedProperties>
    </xd:QualifyingProperties>
  </Object>
  <Object Id="idValidSigLnImg">AQAAAGwAAAAAAAAAAAAAAGABAACfAAAAAAAAAAAAAAC1GAAALAsAACBFTUYAAAEAmBsAAKoAAAAGAAAAAAAAAAAAAAAAAAAAgAcAADgEAABYAQAAwQAAAAAAAAAAAAAAAAAAAMA/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AAAAAAAlAAAADAAAAAEAAABMAAAAZAAAAAAAAAAAAAAAYAEAAJ8AAAAAAAAAAAAAAGEBAACgAAAAIQDwAAAAAAAAAAAAAACAPwAAAAAAAAAAAACAPwAAAAAAAAAAAAAAAAAAAAAAAAAAAAAAAAAAAAAAAAAAJQAAAAwAAAAAAACAKAAAAAwAAAABAAAAJwAAABgAAAABAAAAAAAAAP///wAAAAAAJQAAAAwAAAABAAAATAAAAGQAAAAAAAAAAAAAAGABAACfAAAAAAAAAAAAAABh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MPi9+H8AAAAw+L34fwAATJ/avfh/AAAAAIIX+X8AALEJS734fwAAMBaCF/l/AABMn9q9+H8AANgWAAAAAAAAQAAAwPh/AAAAAIIX+X8AAIEMS734fwAABAAAAAAAAAAwFoIX+X8AABC4r4tiAAAATJ/avQAAAABIAAAAAAAAAEyf2r34fwAAoDP4vfh/AACAo9q9+H8AAAEAAAAAAAAAAMnavfh/AAAAAIIX+X8AAAAAAAAAAAAAAAAAAAAAAADQLuATSgIAAHAQ3QVKAgAAq98uFfl/AADwuK+LYgAAAIm5r4tiAAAAAAAAAAAAAAAAAAAAZHYACAAAAAAlAAAADAAAAAEAAAAYAAAADAAAAAAAAAASAAAADAAAAAEAAAAeAAAAGAAAAO4AAAAFAAAAMgEAABYAAAAlAAAADAAAAAEAAABUAAAAiAAAAO8AAAAFAAAAMAEAABUAAAABAAAAVVWPQYX2jkHvAAAABQAAAAoAAABMAAAAAAAAAAAAAAAAAAAA//////////9gAAAAMwAxAC8AMQAwAC8AMgAwADIAMgAHAAAABwAAAAUAAAAHAAAABwAAAAUAAAAHAAAABwAAAAcAAAAHAAAASwAAAEAAAAAwAAAABQAAACAAAAABAAAAAQAAABAAAAAAAAAAAAAAAGEBAACgAAAAAAAAAAAAAABhAQAAoAAAAFIAAABwAQAAAgAAABQAAAAJAAAAAAAAAAAAAAC8AgAAAAAAAAECAiJTAHkAcwB0AGUAbQAAAAAAAAAAAAAAAAAAAAAAAAAAAAAAAAAAAAAAAAAAAAAAAAAAAAAAAAAAAAAAAAAAAAAAAAAAAIAJwQNKAgAAAAAAAAAAAAABAAAAAAAAAIg+UhX5fwAAAAAAAAAAAACQP4IX+X8AAAkAAAABAAAACQAAAAAAAAAAAAAAAAAAAAAAAAAAAAAAJjsOILMtAACxR4sX+X8AAJBKmxJKAgAAOAaKAAAAAABwEN0FSgIAABDZr4sAAAAAAAAAAAAAAAAHAAAAAAAAAAAAAAAAAAAATNivi2IAAACJ2K+LYgAAAHHNKhX5fwAAsO2iEkoCAAAAAAAAAAAAANDXr4tiAAAAMAj6+/h/AABwEN0FSgIAAKvfLhX5fwAA8Nevi2IAAACJ2K+LYgAAAECQ/xZKAg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wAAAAAAAAACgAAAAAAAAAiD5SFfl/AAAAAAAAAAAAAKlxrotiAAAAAwAAAAAAAADHs4sX+X8AAAAAAAAAAAAAAAAAAAAAAACmgQ8gsy0AAAAAAAD4fwAAAAAAAPh/AADg////AAAAAHAQ3QVKAgAAqHOuiwAAAAAAAAAAAAAAAAYAAAAAAAAAAAAAAAAAAADMcq6LYgAAAAlzrotiAAAAcc0qFfl/AAABAAAAAAAAAPBxH7gAAAAAsL83uPh/AADwcR+4+H8AAHAQ3QVKAgAAq98uFfl/AABwcq6LYgAAAAlzrotiAAAA4J7/FkoCAAAAAAAAZHYACAAAAAAlAAAADAAAAAMAAAAYAAAADAAAAAAAAAASAAAADAAAAAEAAAAWAAAADAAAAAgAAABUAAAAVAAAAAwAAAA3AAAAIAAAAFoAAAABAAAAVVWPQYX2jkEMAAAAWwAAAAEAAABMAAAABAAAAAsAAAA3AAAAIgAAAFsAAABQAAAAWADWW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BSAAAAVgAAADAAAAA7AAAAIwAAABwAAAAhAPAAAAAAAAAAAAAAAIA/AAAAAAAAAAAAAIA/AAAAAAAAAAAAAAAAAAAAAAAAAAAAAAAAAAAAAAAAAAAlAAAADAAAAAAAAIAoAAAADAAAAAQAAABSAAAAcAEAAAQAAADs////AAAAAAAAAAAAAAAAkAEAAAAAAAEAAAAAcwBlAGcAbwBlACAAdQBpAAAAAAAAAAAAAAAAAAAAAAAAAAAAAAAAAAAAAAAAAAAAAAAAAAAAAAAAAAAAAAAAAAAAAADA+aEgSgIAAGCAHSBKAgAAYIAdIEoCAACIPlIV+X8AAAAAAAAAAAAAoME3uPh/AAAI3hogSgIAAOdugbf4fwAAAAAAAAAAAAAAAAAAAAAAABaeDyCzLQAAOXKui2IAAACAcQ+4+H8AAOz///8AAAAAcBDdBUoCAAA4dK6LAAAAAAAAAAAAAAAACQAAAAAAAAAAAAAAAAAAAFxzrotiAAAAmXOui2IAAABxzSoV+X8AAAABAQD/////CAAAAAAAAACAcQ+4+H8AAMDMDbgAAAAAcBDdBUoCAACr3y4V+X8AAABzrotiAAAAmXOui2IAAACQQG0aSgIAAAAAAABkdgAIAAAAACUAAAAMAAAABAAAABgAAAAMAAAAAAAAABIAAAAMAAAAAQAAAB4AAAAYAAAAMAAAADsAAABTAAAAVwAAACUAAAAMAAAABAAAAFQAAABgAAAAMQAAADsAAABRAAAAVgAAAAEAAABVVY9BhfaOQTEAAAA7AAAAAwAAAEwAAAAAAAAAAAAAAAAAAAD//////////1QAAABTAFMAUAB35QsAAAALAAAACwAAAEsAAABAAAAAMAAAAAUAAAAgAAAAAQAAAAEAAAAQAAAAAAAAAAAAAABhAQAAoAAAAAAAAAAAAAAAYQEAAKAAAAAlAAAADAAAAAIAAAAnAAAAGAAAAAUAAAAAAAAA////AAAAAAAlAAAADAAAAAUAAABMAAAAZAAAAAAAAABhAAAAYAEAAJsAAAAAAAAAYQAAAGE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0AAAADwAAAGEAAABtAAAAcQAAAAEAAABVVY9BhfaOQQ8AAABhAAAAEQAAAEwAAAAAAAAAAAAAAAAAAAD//////////3AAAABMAGkAYwAuACAAUwBhAGQAeQAgAFAAZQByAGUAaQByAGEA/UsGAAAAAwAAAAYAAAADAAAABAAAAAcAAAAHAAAACAAAAAYAAAAEAAAABwAAAAcAAAAFAAAABwAAAAMAAAAFAAAABwAAAEsAAABAAAAAMAAAAAUAAAAgAAAAAQAAAAEAAAAQAAAAAAAAAAAAAABhAQAAoAAAAAAAAAAAAAAAY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GF9o5BDwAAAHYAAAAIAAAATAAAAAAAAAAAAAAAAAAAAP//////////XAAAAEMAbwBuAHQAYQBkAG8AcgAIAAAACAAAAAcAAAAEAAAABwAAAAgAAAAIAAAABQAAAEsAAABAAAAAMAAAAAUAAAAgAAAAAQAAAAEAAAAQAAAAAAAAAAAAAABhAQAAoAAAAAAAAAAAAAAAYQEAAKAAAAAlAAAADAAAAAIAAAAnAAAAGAAAAAUAAAAAAAAA////AAAAAAAlAAAADAAAAAUAAABMAAAAZAAAAA4AAACLAAAAUgEAAJsAAAAOAAAAiwAAAEUBAAARAAAAIQDwAAAAAAAAAAAAAACAPwAAAAAAAAAAAACAPwAAAAAAAAAAAAAAAAAAAAAAAAAAAAAAAAAAAAAAAAAAJQAAAAwAAAAAAACAKAAAAAwAAAAFAAAAJQAAAAwAAAABAAAAGAAAAAwAAAAAAAAAEgAAAAwAAAABAAAAFgAAAAwAAAAAAAAAVAAAAHQBAAAPAAAAiwAAAFEBAACbAAAAAQAAAFVVj0GF9o5BDwAAAIsAAAAxAAAATAAAAAQAAAAOAAAAiwAAAFMBAACcAAAAsAAAAEYAaQByAG0AYQBkAG8AIABwAG8AcgA6ACAAYQBjAGIAOAAzADUAMAAzAC0AMQAxADUAOAAtADQAYwA2ADYALQA4ADIAZQAwAC0AOQBiAGUANABhAGIAZgA2AGQAYQAzADIAHqgGAAAAAwAAAAUAAAALAAAABwAAAAgAAAAIAAAABAAAAAgAAAAIAAAABQAAAAMAAAAEAAAABwAAAAYAAAAIAAAABwAAAAcAAAAHAAAABwAAAAcAAAAFAAAABwAAAAcAAAAHAAAABwAAAAUAAAAHAAAABgAAAAcAAAAHAAAABQAAAAcAAAAHAAAABwAAAAcAAAAFAAAABwAAAAgAAAAHAAAABwAAAAcAAAAIAAAABAAAAAcAAAAIAAAABwAAAAcAAAAHAAAAFgAAAAwAAAAAAAAAJQAAAAwAAAACAAAADgAAABQAAAAAAAAAEAAAABQAAAA=</Object>
  <Object Id="idInvalidSigLnImg">AQAAAGwAAAAAAAAAAAAAAGABAACfAAAAAAAAAAAAAAC1GAAALAsAACBFTUYAAAEAFCIAALEAAAAGAAAAAAAAAAAAAAAAAAAAgAcAADgEAABYAQAAwQAAAAAAAAAAAAAAAAAAAMA/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AAAAAAAlAAAADAAAAAEAAABMAAAAZAAAAAAAAAAAAAAAYAEAAJ8AAAAAAAAAAAAAAGEBAACgAAAAIQDwAAAAAAAAAAAAAACAPwAAAAAAAAAAAACAPwAAAAAAAAAAAAAAAAAAAAAAAAAAAAAAAAAAAAAAAAAAJQAAAAwAAAAAAACAKAAAAAwAAAABAAAAJwAAABgAAAABAAAAAAAAAP///wAAAAAAJQAAAAwAAAABAAAATAAAAGQAAAAAAAAAAAAAAGABAACfAAAAAAAAAAAAAABh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w+L34fwAAADD4vfh/AABMn9q9+H8AAAAAghf5fwAAsQlLvfh/AAAwFoIX+X8AAEyf2r34fwAA2BYAAAAAAABAAADA+H8AAAAAghf5fwAAgQxLvfh/AAAEAAAAAAAAADAWghf5fwAAELivi2IAAABMn9q9AAAAAEgAAAAAAAAATJ/avfh/AACgM/i9+H8AAICj2r34fwAAAQAAAAAAAAAAydq9+H8AAAAAghf5fwAAAAAAAAAAAAAAAAAAAAAAANAu4BNKAgAAcBDdBUoCAACr3y4V+X8AAPC4r4tiAAAAibmvi2I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hAQAAoAAAAAAAAAAAAAAAYQEAAKAAAABSAAAAcAEAAAIAAAAUAAAACQAAAAAAAAAAAAAAvAIAAAAAAAABAgIiUwB5AHMAdABlAG0AAAAAAAAAAAAAAAAAAAAAAAAAAAAAAAAAAAAAAAAAAAAAAAAAAAAAAAAAAAAAAAAAAAAAAAAAAACACcEDSgIAAAAAAAAAAAAAAQAAAAAAAACIPlIV+X8AAAAAAAAAAAAAkD+CF/l/AAAJAAAAAQAAAAkAAAAAAAAAAAAAAAAAAAAAAAAAAAAAACY7DiCzLQAAsUeLF/l/AACQSpsSSgIAADgGigAAAAAAcBDdBUoCAAAQ2a+LAAAAAAAAAAAAAAAABwAAAAAAAAAAAAAAAAAAAEzYr4tiAAAAidivi2IAAABxzSoV+X8AALDtohJKAgAAAAAAAAAAAADQ16+LYgAAADAI+vv4fwAAcBDdBUoCAACr3y4V+X8AAPDXr4tiAAAAidivi2IAAABAkP8WS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MAAAAAAAAAAoAAAAAAAAAIg+UhX5fwAAAAAAAAAAAACpca6LYgAAAAMAAAAAAAAAx7OLF/l/AAAAAAAAAAAAAAAAAAAAAAAApoEPILMtAAAAAAAA+H8AAAAAAAD4fwAA4P///wAAAABwEN0FSgIAAKhzrosAAAAAAAAAAAAAAAAGAAAAAAAAAAAAAAAAAAAAzHKui2IAAAAJc66LYgAAAHHNKhX5fwAAAQAAAAAAAADwcR+4AAAAALC/N7j4fwAA8HEfuPh/AABwEN0FSgIAAKvfLhX5fwAAcHKui2IAAAAJc66LYgAAAOCe/xZKAg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gAAAFYAAAAwAAAAOwAAACMAAAAcAAAAIQDwAAAAAAAAAAAAAACAPwAAAAAAAAAAAACAPwAAAAAAAAAAAAAAAAAAAAAAAAAAAAAAAAAAAAAAAAAAJQAAAAwAAAAAAACAKAAAAAwAAAAEAAAAUgAAAHABAAAEAAAA7P///wAAAAAAAAAAAAAAAJABAAAAAAABAAAAAHMAZQBnAG8AZQAgAHUAaQAAAAAAAAAAAAAAAAAAAAAAAAAAAAAAAAAAAAAAAAAAAAAAAAAAAAAAAAAAAAAAAAAAAAAAwPmhIEoCAABggB0gSgIAAGCAHSBKAgAAiD5SFfl/AAAAAAAAAAAAAKDBN7j4fwAACN4aIEoCAADnboG3+H8AAAAAAAAAAAAAAAAAAAAAAAAWng8gsy0AADlyrotiAAAAgHEPuPh/AADs////AAAAAHAQ3QVKAgAAOHSuiwAAAAAAAAAAAAAAAAkAAAAAAAAAAAAAAAAAAABcc66LYgAAAJlzrotiAAAAcc0qFfl/AAAAAQEA/////wgAAAAAAAAAgHEPuPh/AADAzA24AAAAAHAQ3QVKAgAAq98uFfl/AAAAc66LYgAAAJlzrotiAAAAkEBtGkoCAAAAAAAAZHYACAAAAAAlAAAADAAAAAQAAAAYAAAADAAAAAAAAAASAAAADAAAAAEAAAAeAAAAGAAAADAAAAA7AAAAUwAAAFcAAAAlAAAADAAAAAQAAABUAAAAYAAAADEAAAA7AAAAUQAAAFYAAAABAAAAVVWPQYX2jkExAAAAOwAAAAMAAABMAAAAAAAAAAAAAAAAAAAA//////////9UAAAAUwBTAFAAAAALAAAACwAAAAsAAABLAAAAQAAAADAAAAAFAAAAIAAAAAEAAAABAAAAEAAAAAAAAAAAAAAAYQEAAKAAAAAAAAAAAAAAAGEBAACgAAAAJQAAAAwAAAACAAAAJwAAABgAAAAFAAAAAAAAAP///wAAAAAAJQAAAAwAAAAFAAAATAAAAGQAAAAAAAAAYQAAAGABAACbAAAAAAAAAGEAAABh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tAAAAA8AAABhAAAAbQAAAHEAAAABAAAAVVWPQYX2jkEPAAAAYQAAABEAAABMAAAAAAAAAAAAAAAAAAAA//////////9wAAAATABpAGMALgAgAFMAYQBkAHkAIABQAGUAcgBlAGkAcgBhAEAtBgAAAAMAAAAGAAAAAwAAAAQAAAAHAAAABwAAAAgAAAAGAAAABAAAAAcAAAAHAAAABQAAAAcAAAADAAAABQAAAAcAAABLAAAAQAAAADAAAAAFAAAAIAAAAAEAAAABAAAAEAAAAAAAAAAAAAAAYQEAAKAAAAAAAAAAAAAAAGE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hfaOQQ8AAAB2AAAACAAAAEwAAAAAAAAAAAAAAAAAAAD//////////1wAAABDAG8AbgB0AGEAZABvAHIACAAAAAgAAAAHAAAABAAAAAcAAAAIAAAACAAAAAUAAABLAAAAQAAAADAAAAAFAAAAIAAAAAEAAAABAAAAEAAAAAAAAAAAAAAAYQEAAKAAAAAAAAAAAAAAAGEBAACgAAAAJQAAAAwAAAACAAAAJwAAABgAAAAFAAAAAAAAAP///wAAAAAAJQAAAAwAAAAFAAAATAAAAGQAAAAOAAAAiwAAAFIBAACbAAAADgAAAIsAAABFAQAAEQAAACEA8AAAAAAAAAAAAAAAgD8AAAAAAAAAAAAAgD8AAAAAAAAAAAAAAAAAAAAAAAAAAAAAAAAAAAAAAAAAACUAAAAMAAAAAAAAgCgAAAAMAAAABQAAACUAAAAMAAAAAQAAABgAAAAMAAAAAAAAABIAAAAMAAAAAQAAABYAAAAMAAAAAAAAAFQAAAB0AQAADwAAAIsAAABRAQAAmwAAAAEAAABVVY9BhfaOQQ8AAACLAAAAMQAAAEwAAAAEAAAADgAAAIsAAABTAQAAnAAAALAAAABGAGkAcgBtAGEAZABvACAAcABvAHIAOgAgAGEAYwBiADgAMwA1ADAAMwAtADEAMQA1ADgALQA0AGMANgA2AC0AOAAyAGUAMAAtADkAYgBlADQAYQBiAGYANgBkAGEAMwAyAEUzBgAAAAMAAAAFAAAACwAAAAcAAAAIAAAACAAAAAQAAAAIAAAACAAAAAUAAAADAAAABAAAAAcAAAAGAAAACAAAAAcAAAAHAAAABwAAAAcAAAAHAAAABQAAAAcAAAAHAAAABwAAAAcAAAAFAAAABwAAAAYAAAAHAAAABwAAAAUAAAAHAAAABwAAAAcAAAAHAAAABQAAAAcAAAAIAAAABwAAAAcAAAAHAAAACAAAAAQAAAAHAAAACAAAAAc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XT5IpGWSInYcM4MvYUanPUrbb+NVyElPiwYOZ8K5JGs=</DigestValue>
    </Reference>
    <Reference Type="http://www.w3.org/2000/09/xmldsig#Object" URI="#idOfficeObject">
      <DigestMethod Algorithm="http://www.w3.org/2001/04/xmlenc#sha256"/>
      <DigestValue>9r2ANV2LnzKUhmSpxd1zinGB1uKX9kYud9bxu/tqSvc=</DigestValue>
    </Reference>
    <Reference Type="http://uri.etsi.org/01903#SignedProperties" URI="#idSignedProperties">
      <Transforms>
        <Transform Algorithm="http://www.w3.org/TR/2001/REC-xml-c14n-20010315"/>
      </Transforms>
      <DigestMethod Algorithm="http://www.w3.org/2001/04/xmlenc#sha256"/>
      <DigestValue>53pQiuwC/oGIiCPTgreNvS8EUHQ5znrlih5iGOywYl0=</DigestValue>
    </Reference>
    <Reference Type="http://www.w3.org/2000/09/xmldsig#Object" URI="#idValidSigLnImg">
      <DigestMethod Algorithm="http://www.w3.org/2001/04/xmlenc#sha256"/>
      <DigestValue>znW4R80de1PwTq5WakcB/avuvbBAj/wVRYy+fLxG/lM=</DigestValue>
    </Reference>
    <Reference Type="http://www.w3.org/2000/09/xmldsig#Object" URI="#idInvalidSigLnImg">
      <DigestMethod Algorithm="http://www.w3.org/2001/04/xmlenc#sha256"/>
      <DigestValue>yYwM+sBAhbfBq5k8Ylr4283fbnRLK1+lAq5gwxLMBbI=</DigestValue>
    </Reference>
  </SignedInfo>
  <SignatureValue>GHz40+Eu/lEE17+rQO5xeX8iTpl9lacXijwtiOS2T4lXGfcEZx+mV15DFQ+kqzmDEI0xwe5YqTOT
ZYzDwHflZLlsJ6oEza4rvQNJNAKNKqDT+/Rsg4T5jMEXwCrwhQzO1XPSMBY7Xhu+/+a1E0lnhL11
GyHIZ7eOJhhfoQJmqCM2lDZHlwJWTYsM6EEBPVNi7aYHeYGoQfrz3ij7L67JSybFZGc3SngIAuWu
5O+tPqcPG+cAso0v8CPj7K/IFNuhD+oQLEwi8QcMr5mP+hDERCjqZrAaB4b8cGu4Y2WnjfjzL4PV
q63d0ahjZBG7/4RXnprxL6qv1UhuWro8SujDqQ==</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gzA5ESp0SKLhMRlCQ1a65OZ/9+4nlrMntNNz4arEqPA=</DigestValue>
      </Reference>
      <Reference URI="/xl/calcChain.xml?ContentType=application/vnd.openxmlformats-officedocument.spreadsheetml.calcChain+xml">
        <DigestMethod Algorithm="http://www.w3.org/2001/04/xmlenc#sha256"/>
        <DigestValue>7pRszXO9UOXW2pyZ/cPK1oWp6QkJ9js2UK/jY5lNgU4=</DigestValue>
      </Reference>
      <Reference URI="/xl/comments1.xml?ContentType=application/vnd.openxmlformats-officedocument.spreadsheetml.comments+xml">
        <DigestMethod Algorithm="http://www.w3.org/2001/04/xmlenc#sha256"/>
        <DigestValue>C7edDS1WM2idlnBexEEntYTIZ/Ebe7MbZgtc7TTvlM4=</DigestValue>
      </Reference>
      <Reference URI="/xl/comments2.xml?ContentType=application/vnd.openxmlformats-officedocument.spreadsheetml.comments+xml">
        <DigestMethod Algorithm="http://www.w3.org/2001/04/xmlenc#sha256"/>
        <DigestValue>5k5xUZZ8Ea/DC6ODEq+6bcN9uKqWh4KCybNA5g7iVG4=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xjawFzGC2DUvnbrMwBnu71d8EF55aB1+RA1JIfEst7Y=</DigestValue>
      </Reference>
      <Reference URI="/xl/drawings/vmlDrawing1.vml?ContentType=application/vnd.openxmlformats-officedocument.vmlDrawing">
        <DigestMethod Algorithm="http://www.w3.org/2001/04/xmlenc#sha256"/>
        <DigestValue>+JRHHa8+WyfmKGHR2bZODbjY9vyLXWT2Alom9O0Ocl4=</DigestValue>
      </Reference>
      <Reference URI="/xl/drawings/vmlDrawing2.vml?ContentType=application/vnd.openxmlformats-officedocument.vmlDrawing">
        <DigestMethod Algorithm="http://www.w3.org/2001/04/xmlenc#sha256"/>
        <DigestValue>u/Z59otcJGTChPvhcnLm9KhH0ow9E9gT/PnpEfLGWNM=</DigestValue>
      </Reference>
      <Reference URI="/xl/drawings/vmlDrawing3.vml?ContentType=application/vnd.openxmlformats-officedocument.vmlDrawing">
        <DigestMethod Algorithm="http://www.w3.org/2001/04/xmlenc#sha256"/>
        <DigestValue>mRkPwbq3iWyT1JGTN1DI7JpGHShzDuPPiOINvcShCMs=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iaQSVcjqzrlLiNCEr1Ge0F4CzLWsFLvjbQJNn264qww=</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nd5nbSJ5OvfYUdJPvWp2/N1PfWwFYWtituouy/Uh2O8=</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KPvaf7CfFw9mOuwWSoBv6EJksvUsMaXwFB/cerx1YSM=</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7Wwi8q7i3/y9adBLZHN9t5fn3JOJ7PUgGh5dve9QewE=</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W6SpxOLZ8amKgYOTG1V6iK0k+c8Tx+dd+EI7BCw1cCA=</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1FGuYEmk+Q4YiShAGpJvTjCeLMGvqtHxgurLpByxRZI=</DigestValue>
      </Reference>
      <Reference URI="/xl/externalLinks/externalLink5.xml?ContentType=application/vnd.openxmlformats-officedocument.spreadsheetml.externalLink+xml">
        <DigestMethod Algorithm="http://www.w3.org/2001/04/xmlenc#sha256"/>
        <DigestValue>/Wju8BGoWEnJjDMM5qq8Xd6jmUnygL4T8M1ONtS7j7o=</DigestValue>
      </Reference>
      <Reference URI="/xl/externalLinks/externalLink6.xml?ContentType=application/vnd.openxmlformats-officedocument.spreadsheetml.externalLink+xml">
        <DigestMethod Algorithm="http://www.w3.org/2001/04/xmlenc#sha256"/>
        <DigestValue>ClXLdInWniPsDsgs1MVBFziSacQxWzFFepQV8aVDhK8=</DigestValue>
      </Reference>
      <Reference URI="/xl/externalLinks/externalLink7.xml?ContentType=application/vnd.openxmlformats-officedocument.spreadsheetml.externalLink+xml">
        <DigestMethod Algorithm="http://www.w3.org/2001/04/xmlenc#sha256"/>
        <DigestValue>ZY2iFpx2RJQJzTze+idcn9ikaV7Bc0Perr7wTO651rs=</DigestValue>
      </Reference>
      <Reference URI="/xl/externalLinks/externalLink8.xml?ContentType=application/vnd.openxmlformats-officedocument.spreadsheetml.externalLink+xml">
        <DigestMethod Algorithm="http://www.w3.org/2001/04/xmlenc#sha256"/>
        <DigestValue>1XOOZ9z9wAgYqwwFqL59N8yE9dJb63GrQV6KGdlLkRg=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rlQfL6b0EVXUvpdx2/hHWDDiBa3f0V4x9vKfnptsMrc=</DigestValue>
      </Reference>
      <Reference URI="/xl/media/image3.emf?ContentType=image/x-emf">
        <DigestMethod Algorithm="http://www.w3.org/2001/04/xmlenc#sha256"/>
        <DigestValue>XBG2UpkR6WeJKGlMAs0oNN+rFnPcotnDk+aVxdl41fU=</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10.bin?ContentType=application/vnd.openxmlformats-officedocument.spreadsheetml.printerSettings">
        <DigestMethod Algorithm="http://www.w3.org/2001/04/xmlenc#sha256"/>
        <DigestValue>7FK+7ND2wkX5JRID7I5pGN2xS08AkOKCreOpDVpwU38=</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DhLX4rjnwdbQPweXYyD7kdwa3XMRHLSS9YTCJAaRbUc=</DigestValue>
      </Reference>
      <Reference URI="/xl/printerSettings/printerSettings13.bin?ContentType=application/vnd.openxmlformats-officedocument.spreadsheetml.printerSettings">
        <DigestMethod Algorithm="http://www.w3.org/2001/04/xmlenc#sha256"/>
        <DigestValue>DhLX4rjnwdbQPweXYyD7kdwa3XMRHLSS9YTCJAaRbUc=</DigestValue>
      </Reference>
      <Reference URI="/xl/printerSettings/printerSettings14.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V2Rz2Zv19k4KjB/HhDxguzEQxoQHTONkLEIoZlIzxuE=</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V2Rz2Zv19k4KjB/HhDxguzEQxoQHTONkLEIoZlIzxuE=</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QKcX857Snptw1iVZ84fwGCOnwxn1tEYMjP81MrgsR+w=</DigestValue>
      </Reference>
      <Reference URI="/xl/styles.xml?ContentType=application/vnd.openxmlformats-officedocument.spreadsheetml.styles+xml">
        <DigestMethod Algorithm="http://www.w3.org/2001/04/xmlenc#sha256"/>
        <DigestValue>CMyqWpYbNju2M3dM2yFzk3rZ9TYjfKpWO1Oh6AfFCcU=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bejnhMPdf7/3ZBTTrn91k0k1ITxPpt8oUhQOAFN90gg=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nSs+hUDNPaLOTnYoFvMucNNdm/jSbslacidXyB6tM/0=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EVXMmtbrK05YSYRgw5FgQD3Dc1yMJuinCK6QQtulNOM=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zpMzLqxUn9psmfzkyPoYDy60yavFEnKbKv2tnpdR840=</DigestValue>
      </Reference>
      <Reference URI="/xl/worksheets/sheet10.xml?ContentType=application/vnd.openxmlformats-officedocument.spreadsheetml.worksheet+xml">
        <DigestMethod Algorithm="http://www.w3.org/2001/04/xmlenc#sha256"/>
        <DigestValue>YuwXOTu4ayreLgBJ4sZjVeEHcCC2Y/+qhyftiwQXlK0=</DigestValue>
      </Reference>
      <Reference URI="/xl/worksheets/sheet11.xml?ContentType=application/vnd.openxmlformats-officedocument.spreadsheetml.worksheet+xml">
        <DigestMethod Algorithm="http://www.w3.org/2001/04/xmlenc#sha256"/>
        <DigestValue>XEo1p4uGDR3vLQqmbwcqqx3Es1lOPgsU5ix66xieyeo=</DigestValue>
      </Reference>
      <Reference URI="/xl/worksheets/sheet12.xml?ContentType=application/vnd.openxmlformats-officedocument.spreadsheetml.worksheet+xml">
        <DigestMethod Algorithm="http://www.w3.org/2001/04/xmlenc#sha256"/>
        <DigestValue>ckXIuLTy2iH5tOCdCxZh1kE5dU43W5tyKm/mUx8WOi8=</DigestValue>
      </Reference>
      <Reference URI="/xl/worksheets/sheet13.xml?ContentType=application/vnd.openxmlformats-officedocument.spreadsheetml.worksheet+xml">
        <DigestMethod Algorithm="http://www.w3.org/2001/04/xmlenc#sha256"/>
        <DigestValue>1IykzV4mjmbEWFLSvmheb3E/qZqE+EWact/Af+iJdII=</DigestValue>
      </Reference>
      <Reference URI="/xl/worksheets/sheet14.xml?ContentType=application/vnd.openxmlformats-officedocument.spreadsheetml.worksheet+xml">
        <DigestMethod Algorithm="http://www.w3.org/2001/04/xmlenc#sha256"/>
        <DigestValue>Dh1n1x4FDxJpFqHZyWYqg8YDbTZo+60o++ccFJvAxNQ=</DigestValue>
      </Reference>
      <Reference URI="/xl/worksheets/sheet2.xml?ContentType=application/vnd.openxmlformats-officedocument.spreadsheetml.worksheet+xml">
        <DigestMethod Algorithm="http://www.w3.org/2001/04/xmlenc#sha256"/>
        <DigestValue>3wooj03mfdLuDElVnzVFkVNxOlARUOq5QrdtMjSYZt8=</DigestValue>
      </Reference>
      <Reference URI="/xl/worksheets/sheet3.xml?ContentType=application/vnd.openxmlformats-officedocument.spreadsheetml.worksheet+xml">
        <DigestMethod Algorithm="http://www.w3.org/2001/04/xmlenc#sha256"/>
        <DigestValue>fkRPAWtlLD6XVN0MCotmFCmDn3MeR7LIJ3pol9p/CXw=</DigestValue>
      </Reference>
      <Reference URI="/xl/worksheets/sheet4.xml?ContentType=application/vnd.openxmlformats-officedocument.spreadsheetml.worksheet+xml">
        <DigestMethod Algorithm="http://www.w3.org/2001/04/xmlenc#sha256"/>
        <DigestValue>yQPPxcYiGWN3zAEqvoTDHnw5qBpl65Xz+tRfkohsXlU=</DigestValue>
      </Reference>
      <Reference URI="/xl/worksheets/sheet5.xml?ContentType=application/vnd.openxmlformats-officedocument.spreadsheetml.worksheet+xml">
        <DigestMethod Algorithm="http://www.w3.org/2001/04/xmlenc#sha256"/>
        <DigestValue>ml3AfoDuh+l7uGYgDnuRhH2QmsNSogAnXR0faT5WsEg=</DigestValue>
      </Reference>
      <Reference URI="/xl/worksheets/sheet6.xml?ContentType=application/vnd.openxmlformats-officedocument.spreadsheetml.worksheet+xml">
        <DigestMethod Algorithm="http://www.w3.org/2001/04/xmlenc#sha256"/>
        <DigestValue>EI/hGUCu3ofouxnW8kZZp9ApXTVJkIqXmzYJd5CLRFY=</DigestValue>
      </Reference>
      <Reference URI="/xl/worksheets/sheet7.xml?ContentType=application/vnd.openxmlformats-officedocument.spreadsheetml.worksheet+xml">
        <DigestMethod Algorithm="http://www.w3.org/2001/04/xmlenc#sha256"/>
        <DigestValue>v05X/b9zPV9E/1Co4/M2u7bymMA/G/68NCFhH6+lZNk=</DigestValue>
      </Reference>
      <Reference URI="/xl/worksheets/sheet8.xml?ContentType=application/vnd.openxmlformats-officedocument.spreadsheetml.worksheet+xml">
        <DigestMethod Algorithm="http://www.w3.org/2001/04/xmlenc#sha256"/>
        <DigestValue>v1kCu1GJq8QY3BHNH4BAPgm6/Td3wHJ/xqII6KO75c0=</DigestValue>
      </Reference>
      <Reference URI="/xl/worksheets/sheet9.xml?ContentType=application/vnd.openxmlformats-officedocument.spreadsheetml.worksheet+xml">
        <DigestMethod Algorithm="http://www.w3.org/2001/04/xmlenc#sha256"/>
        <DigestValue>SOrYomvrsXI/wlVCSU0JVU2CDA6LjaL8ajJdKc8BLCY=</DigestValue>
      </Reference>
    </Manifest>
    <SignatureProperties>
      <SignatureProperty Id="idSignatureTime" Target="#idPackageSignature">
        <mdssi:SignatureTime xmlns:mdssi="http://schemas.openxmlformats.org/package/2006/digital-signature">
          <mdssi:Format>YYYY-MM-DDThh:mm:ssTZD</mdssi:Format>
          <mdssi:Value>2022-10-31T22:33:35Z</mdssi:Value>
        </mdssi:SignatureTime>
      </SignatureProperty>
    </SignatureProperties>
  </Object>
  <Object Id="idOfficeObject">
    <SignatureProperties>
      <SignatureProperty Id="idOfficeV1Details" Target="#idPackageSignature">
        <SignatureInfoV1 xmlns="http://schemas.microsoft.com/office/2006/digsig">
          <SetupID>{6D81DFB0-DD73-4593-B4E1-2220608FB06F}</SetupID>
          <SignatureText>Federico CALLIZO PECCI</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2022-10-31T22:33:35Z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QAw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t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Fs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Props1.xml><?xml version="1.0" encoding="utf-8"?>
<ds:datastoreItem xmlns:ds="http://schemas.openxmlformats.org/officeDocument/2006/customXml" ds:itemID="{D1398CF9-1FC6-4166-9A3E-3614DAFF8543}">
  <ds:schemaRefs>
    <ds:schemaRef ds:uri="http://schemas.microsoft.com/sharepoint/v3/contenttype/forms"/>
  </ds:schemaRefs>
</ds:datastoreItem>
</file>

<file path=customXml/itemProps2.xml><?xml version="1.0" encoding="utf-8"?>
<ds:datastoreItem xmlns:ds="http://schemas.openxmlformats.org/officeDocument/2006/customXml" ds:itemID="{CA99DA95-D927-4EA1-A5A3-BF27A3EADE9A}"/>
</file>

<file path=customXml/itemProps3.xml><?xml version="1.0" encoding="utf-8"?>
<ds:datastoreItem xmlns:ds="http://schemas.openxmlformats.org/officeDocument/2006/customXml" ds:itemID="{E7685493-620D-40F0-9091-33B8FE0A89D4}">
  <ds:schemaRefs>
    <ds:schemaRef ds:uri="http://schemas.microsoft.com/office/infopath/2007/PartnerControls"/>
    <ds:schemaRef ds:uri="4086da56-c9b3-4aff-b114-fa4216b20f9f"/>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a9c720a8-2322-4cca-a2f4-4f67aee0341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INDICE</vt:lpstr>
      <vt:lpstr>1.BG USD</vt:lpstr>
      <vt:lpstr>2.EERR USD</vt:lpstr>
      <vt:lpstr>3.VARIAC. PA USD</vt:lpstr>
      <vt:lpstr>Flujo de Fondos Calculo GS U$S</vt:lpstr>
      <vt:lpstr>4.FLUJO EFECTIVO USD</vt:lpstr>
      <vt:lpstr>5.BG G</vt:lpstr>
      <vt:lpstr>6.EERR G</vt:lpstr>
      <vt:lpstr>7.VARIAC. PN G</vt:lpstr>
      <vt:lpstr>Flujo de Fondos Calculo GS</vt:lpstr>
      <vt:lpstr>8.FLUJO EFECTIVO G</vt:lpstr>
      <vt:lpstr>9.INFORME DEL SINDICO</vt:lpstr>
      <vt:lpstr>9.Notas a EEFF</vt:lpstr>
      <vt:lpstr>10.Cuadro de Inversiones</vt:lpstr>
      <vt:lpstr>'9.Notas a EEFF'!_Hlk492023274</vt:lpstr>
      <vt:lpstr>'Flujo de Fondos Calculo GS'!Área_de_impresión</vt:lpstr>
      <vt:lpstr>'Flujo de Fondos Calculo GS U$S'!Área_de_impresión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Sady Pereira</cp:lastModifiedBy>
  <cp:lastPrinted>2021-11-12T21:20:39Z</cp:lastPrinted>
  <dcterms:created xsi:type="dcterms:W3CDTF">2015-06-05T18:19:34Z</dcterms:created>
  <dcterms:modified xsi:type="dcterms:W3CDTF">2022-10-31T22:18:58Z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0x01010001D915E5D2F9304CBE990991EC851EE6</vt:lpwstr>
  </property>
</Properties>
</file>