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605" windowHeight="6855" tabRatio="759" activeTab="0"/>
  </bookViews>
  <sheets>
    <sheet name="Caratula" sheetId="1" r:id="rId1"/>
    <sheet name="Indice" sheetId="2" r:id="rId2"/>
    <sheet name="BG" sheetId="3" r:id="rId3"/>
    <sheet name="ER" sheetId="4" r:id="rId4"/>
    <sheet name="EVPN" sheetId="5" r:id="rId5"/>
    <sheet name="EFE" sheetId="6" r:id="rId6"/>
    <sheet name="Nota1" sheetId="7" r:id="rId7"/>
    <sheet name="Nota 2" sheetId="8" r:id="rId8"/>
    <sheet name="Nota 3" sheetId="9" r:id="rId9"/>
    <sheet name="Nota 4" sheetId="10" r:id="rId10"/>
    <sheet name="Nota 5" sheetId="11" r:id="rId11"/>
    <sheet name="Nota 6" sheetId="12" r:id="rId12"/>
    <sheet name="Nota 7" sheetId="13" r:id="rId13"/>
    <sheet name="Nota 8" sheetId="14" r:id="rId14"/>
    <sheet name="Nota 9" sheetId="15" r:id="rId15"/>
    <sheet name="Nota 10" sheetId="16" r:id="rId16"/>
    <sheet name="Nota 11" sheetId="17" r:id="rId17"/>
    <sheet name="Nota 12" sheetId="18" r:id="rId18"/>
    <sheet name="Nota 13" sheetId="19" r:id="rId19"/>
    <sheet name="Nota 14" sheetId="20" r:id="rId20"/>
    <sheet name="Nota 15" sheetId="21" r:id="rId21"/>
    <sheet name="Nota 16" sheetId="22" r:id="rId22"/>
    <sheet name="Nota 17" sheetId="23" r:id="rId23"/>
    <sheet name="Nota 18" sheetId="24" r:id="rId24"/>
    <sheet name="Nota 19" sheetId="25" r:id="rId25"/>
    <sheet name="Nota 20" sheetId="26" r:id="rId26"/>
    <sheet name=" Nota 21" sheetId="27" r:id="rId27"/>
    <sheet name="Nota 22" sheetId="28" r:id="rId28"/>
    <sheet name="Nota 23" sheetId="29" r:id="rId29"/>
    <sheet name="Nota 24" sheetId="30" r:id="rId30"/>
    <sheet name="Nota 25" sheetId="31" r:id="rId31"/>
    <sheet name="Nota 26" sheetId="32" r:id="rId32"/>
    <sheet name="Nota 27" sheetId="33" r:id="rId33"/>
    <sheet name="Nota 28" sheetId="34" r:id="rId34"/>
    <sheet name="Nota 29" sheetId="35" r:id="rId35"/>
    <sheet name="Nota 30" sheetId="36" r:id="rId36"/>
    <sheet name="Nota 31" sheetId="37" r:id="rId37"/>
    <sheet name="Nota 32" sheetId="38" r:id="rId38"/>
    <sheet name="Nota 33" sheetId="39" r:id="rId39"/>
    <sheet name="Nota 34" sheetId="40" r:id="rId40"/>
    <sheet name="Nota 35" sheetId="41" r:id="rId41"/>
    <sheet name="Nota 36" sheetId="42" r:id="rId42"/>
    <sheet name="Nota 37" sheetId="43" r:id="rId43"/>
    <sheet name="Nota 38" sheetId="44" r:id="rId44"/>
    <sheet name="Nota 39" sheetId="45" r:id="rId45"/>
    <sheet name="Nota 40" sheetId="46" r:id="rId46"/>
    <sheet name="Base de Monedas" sheetId="47" r:id="rId47"/>
  </sheets>
  <externalReferences>
    <externalReference r:id="rId50"/>
  </externalReferences>
  <definedNames>
    <definedName name="_Hlk15378568" localSheetId="7">'Nota 2'!#REF!</definedName>
    <definedName name="_xlfn.IFERROR" hidden="1">#NAME?</definedName>
    <definedName name="_xlnm.Print_Area" localSheetId="3">'ER'!$A$1:$D$47</definedName>
  </definedNames>
  <calcPr fullCalcOnLoad="1"/>
</workbook>
</file>

<file path=xl/sharedStrings.xml><?xml version="1.0" encoding="utf-8"?>
<sst xmlns="http://schemas.openxmlformats.org/spreadsheetml/2006/main" count="1868" uniqueCount="1020">
  <si>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</si>
  <si>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</si>
  <si>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</si>
  <si>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</si>
  <si>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</si>
  <si>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</si>
  <si>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</si>
  <si>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</si>
  <si>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</si>
  <si>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</si>
  <si>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</si>
  <si>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</si>
  <si>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</si>
  <si>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</si>
  <si>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</si>
  <si>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</si>
  <si>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</si>
  <si>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</si>
  <si>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</si>
  <si>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</si>
  <si>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</si>
  <si>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</si>
  <si>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</si>
  <si>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</si>
  <si>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</si>
  <si>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</si>
  <si>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</si>
  <si>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</si>
  <si>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</si>
  <si>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</si>
  <si>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</si>
  <si>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</si>
  <si>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</si>
  <si>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</si>
  <si>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</si>
  <si>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</si>
  <si>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</si>
  <si>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</si>
  <si>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</si>
  <si>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</si>
  <si>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</si>
  <si>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</si>
  <si>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</si>
  <si>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</si>
  <si>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</si>
  <si>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</si>
  <si>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</si>
  <si>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</si>
  <si>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</si>
  <si>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</si>
  <si>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</si>
  <si>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</si>
  <si>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</si>
  <si>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</si>
  <si>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</si>
  <si>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</si>
  <si>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</si>
  <si>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</si>
  <si>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</si>
  <si>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</si>
  <si>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</si>
  <si>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</si>
  <si>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</si>
  <si>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</si>
  <si>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</si>
  <si>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</si>
  <si>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</si>
  <si>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</si>
  <si>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</si>
  <si>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</si>
  <si>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</si>
  <si>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</si>
  <si>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</si>
  <si>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</si>
  <si>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</si>
  <si>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</si>
  <si>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</si>
  <si>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</si>
  <si>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</si>
  <si>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</si>
  <si>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</si>
  <si>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</si>
  <si>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</si>
  <si>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</si>
  <si>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</si>
  <si>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</si>
  <si>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</si>
  <si>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</si>
  <si>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</si>
  <si>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</si>
  <si>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</si>
  <si>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</si>
  <si>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</si>
  <si>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</si>
  <si>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</si>
  <si>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</si>
  <si>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</si>
  <si>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</si>
  <si>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</si>
  <si>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</si>
  <si>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</si>
  <si>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</si>
  <si>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</si>
  <si>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</si>
  <si>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</si>
  <si>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</si>
  <si>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</si>
  <si>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</si>
  <si>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</si>
  <si>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</si>
  <si>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</si>
  <si>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</si>
  <si>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</si>
  <si>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</si>
  <si>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</si>
  <si>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</si>
  <si>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</si>
  <si>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</si>
  <si>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</si>
  <si>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</si>
  <si>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</si>
  <si>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</si>
  <si>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</si>
  <si>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</si>
  <si>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</si>
  <si>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</si>
  <si>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</si>
  <si>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</si>
  <si>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</si>
  <si>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</si>
  <si>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</si>
  <si>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</si>
  <si>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</si>
  <si>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</si>
  <si>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</si>
  <si>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</si>
  <si>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</si>
  <si>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</si>
  <si>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</si>
  <si>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</si>
  <si>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</si>
  <si>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</si>
  <si>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</si>
  <si>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</si>
  <si>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</si>
  <si>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</si>
  <si>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</si>
  <si>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</si>
  <si>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</si>
  <si>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</si>
  <si>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</si>
  <si>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</si>
  <si>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</si>
  <si>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</si>
  <si>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</si>
  <si>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</si>
  <si>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</si>
  <si>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</si>
  <si>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</si>
  <si>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</si>
  <si>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</si>
  <si>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</si>
  <si>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</si>
  <si>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</si>
  <si>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</si>
  <si>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</si>
  <si>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</si>
  <si>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</si>
  <si>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</si>
  <si>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</si>
  <si>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</si>
  <si>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</si>
  <si>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</si>
  <si>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</si>
  <si>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</si>
  <si>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</si>
  <si>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</si>
  <si>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</si>
  <si>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</si>
  <si>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</si>
  <si>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</si>
  <si>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</si>
  <si>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</si>
  <si>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</si>
  <si>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</si>
  <si>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</si>
  <si>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</si>
  <si>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</si>
  <si>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</si>
  <si>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</si>
  <si>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</si>
  <si>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</si>
  <si>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</si>
  <si>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</si>
  <si>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</si>
  <si>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</si>
  <si>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</si>
  <si>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</si>
  <si>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</si>
  <si>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</si>
  <si>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</si>
  <si>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</si>
  <si>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</si>
  <si>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</si>
  <si>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</si>
  <si>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</si>
  <si>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</si>
  <si>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</si>
  <si>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</si>
  <si>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</si>
  <si>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</si>
  <si>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</si>
  <si>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</si>
  <si>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</si>
  <si>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</si>
  <si>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</si>
  <si>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</si>
  <si>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</si>
  <si>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</si>
  <si>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</si>
  <si>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</si>
  <si>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</si>
  <si>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</si>
  <si>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</si>
  <si>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</si>
  <si>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</si>
  <si>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</si>
  <si>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</si>
  <si>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</si>
  <si>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</si>
  <si>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</si>
  <si>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</si>
  <si>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</si>
  <si>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</si>
  <si>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</si>
  <si>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</si>
  <si>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</si>
  <si>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</si>
  <si>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</si>
  <si>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</si>
  <si>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</si>
  <si>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</si>
  <si>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</si>
  <si>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</si>
  <si>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</si>
  <si>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</si>
  <si>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</si>
  <si>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</si>
  <si>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</si>
  <si>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</si>
  <si>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</si>
  <si>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</si>
  <si>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</si>
  <si>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</si>
  <si>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</si>
  <si>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</si>
  <si>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</si>
  <si>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</si>
  <si>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</si>
  <si>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</si>
  <si>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</si>
  <si>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</si>
  <si>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</si>
  <si>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</si>
  <si>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</si>
  <si>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</si>
  <si>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</si>
  <si>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</si>
  <si>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</si>
  <si>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</si>
  <si>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</si>
  <si>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</si>
  <si>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</si>
  <si>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</si>
  <si>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</si>
  <si>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</si>
  <si>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</si>
  <si>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</si>
  <si>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</si>
  <si>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</si>
  <si>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</si>
  <si>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</si>
  <si>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</si>
  <si>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</si>
  <si>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</si>
  <si>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</si>
  <si>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</si>
  <si>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</si>
  <si>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</si>
  <si>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</si>
  <si>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</si>
  <si>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</si>
  <si>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</si>
  <si>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</si>
  <si>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</si>
  <si>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</si>
  <si>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</si>
  <si>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</si>
  <si>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</si>
  <si>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</si>
  <si>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</si>
  <si>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</si>
  <si>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</si>
  <si>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</si>
  <si>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</si>
  <si>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</si>
  <si>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</si>
  <si>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</si>
  <si>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</si>
  <si>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</si>
  <si>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</si>
  <si>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</si>
  <si>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</si>
  <si>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</si>
  <si>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</si>
  <si>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</si>
  <si>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</si>
  <si>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</si>
  <si>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</si>
  <si>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</si>
  <si>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</si>
  <si>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</si>
  <si>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</si>
  <si>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</si>
  <si>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</si>
  <si>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</si>
  <si>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</si>
  <si>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</si>
  <si>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</si>
  <si>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</si>
  <si>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</si>
  <si>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</si>
  <si>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</si>
  <si>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</si>
  <si>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</si>
  <si>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</si>
  <si>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</si>
  <si>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</si>
  <si>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</si>
  <si>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</si>
  <si>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</si>
  <si>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</si>
  <si>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</si>
  <si>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</si>
  <si>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</si>
  <si>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</si>
  <si>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</si>
  <si>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</si>
  <si>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</si>
  <si>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</si>
  <si>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</si>
  <si>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</si>
  <si>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</si>
  <si>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</si>
  <si>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</si>
  <si>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</si>
  <si>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</si>
  <si>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</si>
  <si>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</si>
  <si>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</si>
  <si>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</si>
  <si>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</si>
  <si>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</si>
  <si>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</si>
  <si>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</si>
  <si>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</si>
  <si>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</si>
  <si>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</si>
  <si>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</si>
  <si>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</si>
  <si>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</si>
  <si>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</si>
  <si>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</si>
  <si>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</si>
  <si>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</si>
  <si>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</si>
  <si>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</si>
  <si>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</si>
  <si>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</si>
  <si>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</si>
  <si>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</si>
  <si>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</si>
  <si>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</si>
  <si>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</si>
  <si>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</si>
  <si>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</si>
  <si>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</si>
  <si>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</si>
  <si>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</si>
  <si>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</si>
  <si>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</si>
  <si>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</si>
  <si>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</si>
  <si>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</si>
  <si>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</si>
  <si>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</si>
  <si>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</si>
  <si>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</si>
  <si>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</si>
  <si>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</si>
  <si>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</si>
  <si>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</si>
  <si>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</si>
  <si>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</si>
  <si>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</si>
  <si>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</si>
  <si>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</si>
  <si>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</si>
  <si>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</si>
  <si>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</si>
  <si>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</si>
  <si>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</si>
  <si>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</si>
  <si>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</si>
  <si>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</si>
  <si>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</si>
  <si>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</si>
  <si>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</si>
  <si>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</si>
  <si>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</si>
  <si>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</si>
  <si>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</si>
  <si>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</si>
  <si>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</si>
  <si>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</si>
  <si>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</si>
  <si>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</si>
  <si>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</si>
  <si>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</si>
  <si>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</si>
  <si>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</si>
  <si>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</si>
  <si>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</si>
  <si>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</si>
  <si>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</si>
  <si>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</si>
  <si>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</si>
  <si>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</si>
  <si>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</si>
  <si>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</si>
  <si>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</si>
  <si>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</si>
  <si>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</si>
  <si>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</si>
  <si>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</si>
  <si>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</si>
  <si>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</si>
  <si>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</si>
  <si>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</si>
  <si>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</si>
  <si>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</si>
  <si>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</si>
  <si>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</si>
  <si>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</si>
  <si>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</si>
  <si>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</si>
  <si>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</si>
  <si>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</si>
  <si>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</si>
  <si>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</si>
  <si>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</si>
  <si>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</si>
  <si>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</si>
  <si>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</si>
  <si>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</si>
  <si>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</si>
  <si>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</si>
  <si>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</si>
  <si>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</si>
  <si>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</si>
  <si>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</si>
  <si>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</si>
  <si>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</si>
  <si>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</si>
  <si>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</si>
  <si>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</si>
  <si>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</si>
  <si>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</si>
  <si>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</si>
  <si>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</si>
  <si>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</si>
  <si>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</si>
  <si>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</si>
  <si>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</si>
  <si>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</si>
  <si>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</si>
  <si>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</si>
  <si>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</si>
  <si>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</si>
  <si>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</si>
  <si>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</si>
  <si>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</si>
  <si>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</si>
  <si>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</si>
  <si>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</si>
  <si>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</si>
  <si>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</si>
  <si>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</si>
  <si>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</si>
  <si>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</si>
  <si>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</si>
  <si>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</si>
  <si>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</si>
  <si>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</si>
  <si>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</si>
  <si>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</si>
  <si>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</si>
  <si>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</si>
  <si>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</si>
  <si>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</si>
  <si>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</si>
  <si>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</si>
  <si>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</si>
  <si>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</si>
  <si>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</si>
  <si>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</si>
  <si>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</si>
  <si>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</si>
  <si>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</si>
  <si>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</si>
  <si>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</si>
  <si>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</si>
  <si>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</si>
  <si>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</si>
  <si>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</si>
  <si>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</si>
  <si>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</si>
  <si>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</si>
  <si>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</si>
  <si>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</si>
  <si>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</si>
  <si>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</si>
  <si>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</si>
  <si>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</si>
  <si>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</si>
  <si>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</si>
  <si>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</si>
  <si>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</si>
  <si>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</si>
  <si>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</si>
  <si>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</si>
  <si>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</si>
  <si>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</si>
  <si>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</si>
  <si>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</si>
  <si>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</si>
  <si>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</si>
  <si>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</si>
  <si>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</si>
  <si>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</si>
  <si>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</si>
  <si>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</si>
  <si>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</si>
  <si>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</si>
  <si>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</si>
  <si>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</si>
  <si>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</si>
  <si>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</si>
  <si>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</si>
  <si>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</si>
  <si>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</si>
  <si>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</si>
  <si>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</si>
  <si>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</si>
  <si>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</si>
  <si>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</si>
  <si>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</si>
  <si>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</si>
  <si>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</si>
  <si>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</si>
  <si>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</si>
  <si>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</si>
  <si>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</si>
  <si>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</si>
  <si>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</si>
  <si>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</si>
  <si>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</si>
  <si>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</si>
  <si>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</si>
  <si>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</si>
  <si>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</si>
  <si>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</si>
  <si>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</si>
  <si>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</si>
  <si>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</si>
  <si>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</si>
  <si>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</si>
  <si>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</si>
  <si>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</si>
  <si>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</si>
  <si>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</si>
  <si>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</si>
  <si>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</si>
  <si>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</si>
  <si>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</si>
  <si>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</si>
  <si>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</si>
  <si>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</si>
  <si>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</si>
  <si>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</si>
  <si>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</si>
  <si>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</si>
  <si>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</si>
  <si>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</si>
  <si>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</si>
  <si>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</si>
  <si>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</si>
  <si>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</si>
  <si>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</si>
  <si>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</si>
  <si>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</si>
  <si>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</si>
  <si>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</si>
  <si>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</si>
  <si>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</si>
  <si>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</si>
  <si>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</si>
  <si>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</si>
  <si>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</si>
  <si>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</si>
  <si>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</si>
  <si>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</si>
  <si>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</si>
  <si>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</si>
  <si>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</si>
  <si>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</si>
  <si>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</si>
  <si>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</si>
  <si>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</si>
  <si>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</si>
  <si>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</si>
  <si>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</si>
  <si>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</si>
  <si>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</si>
  <si>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</si>
  <si>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</si>
  <si>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</si>
  <si>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</si>
  <si>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</si>
  <si>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</si>
  <si>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</si>
  <si>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</si>
  <si>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</si>
  <si>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</si>
  <si>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</si>
  <si>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</si>
  <si>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</si>
  <si>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</si>
  <si>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</si>
  <si>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</si>
  <si>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</si>
  <si>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</si>
  <si>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</si>
  <si>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</si>
  <si>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</si>
  <si>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</si>
  <si>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</si>
  <si>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</si>
  <si>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</si>
  <si>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</si>
  <si>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</si>
  <si>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</si>
  <si>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</si>
  <si>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</si>
  <si>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</si>
  <si>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</si>
  <si>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</si>
  <si>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</si>
  <si>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</si>
  <si>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</si>
  <si>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</si>
  <si>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</si>
  <si>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</si>
  <si>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</si>
  <si>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</si>
  <si>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</si>
  <si>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</si>
  <si>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</si>
  <si>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</si>
  <si>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</si>
  <si>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</si>
  <si>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</si>
  <si>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</si>
  <si>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</si>
  <si>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</si>
  <si>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</si>
  <si>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</si>
  <si>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</si>
  <si>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</si>
  <si>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</si>
  <si>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</si>
  <si>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</si>
  <si>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</si>
  <si>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</si>
  <si>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</si>
  <si>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</si>
  <si>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</si>
  <si>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</si>
  <si>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</si>
  <si>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</si>
  <si>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</si>
  <si>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</si>
  <si>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</si>
  <si>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</si>
  <si>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</si>
  <si>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</si>
  <si>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</si>
  <si>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</si>
  <si>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</si>
  <si>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</si>
  <si>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</si>
  <si>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</si>
  <si>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</si>
  <si>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</si>
  <si>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</si>
  <si>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</si>
  <si>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</si>
  <si>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</si>
  <si>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</si>
  <si>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</si>
  <si>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</si>
  <si>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</si>
  <si>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</si>
  <si>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</si>
  <si>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</si>
  <si>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</si>
  <si>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</si>
  <si>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</si>
  <si>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</si>
  <si>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</si>
  <si>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</si>
  <si>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</si>
  <si>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</si>
  <si>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</si>
  <si>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</si>
  <si>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</si>
  <si>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</si>
  <si>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</si>
  <si>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</si>
  <si>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</si>
  <si>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</si>
  <si>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</si>
  <si>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</si>
  <si>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</si>
  <si>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</si>
  <si>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</si>
  <si>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</si>
  <si>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</si>
  <si>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</si>
  <si>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</si>
  <si>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</si>
  <si>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</si>
  <si>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</si>
  <si>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</si>
  <si>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</si>
  <si>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</si>
  <si>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</si>
  <si>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</si>
  <si>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</si>
  <si>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</si>
  <si>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</si>
  <si>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</si>
  <si>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</si>
  <si>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</si>
  <si>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</si>
  <si>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</si>
  <si>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</si>
  <si>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</si>
  <si>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</si>
  <si>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</si>
  <si>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</si>
  <si>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</si>
  <si>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</si>
  <si>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</si>
  <si>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</si>
  <si>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</si>
  <si>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</si>
  <si>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</si>
  <si>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</si>
  <si>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</si>
  <si>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</si>
  <si>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</si>
  <si>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</si>
  <si>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</si>
  <si>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</si>
  <si>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</si>
  <si>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</si>
  <si>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</si>
  <si>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</si>
  <si>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</si>
  <si>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</si>
  <si>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</si>
  <si>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</si>
  <si>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</si>
  <si>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</si>
  <si>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</si>
  <si>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</si>
  <si>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</si>
  <si>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</si>
  <si>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</si>
  <si>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</si>
  <si>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</si>
  <si>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</si>
  <si>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</si>
  <si>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</si>
  <si>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</si>
  <si>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</si>
  <si>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</si>
  <si>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</si>
  <si>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</si>
  <si>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</si>
  <si>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</si>
  <si>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</si>
  <si>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</si>
  <si>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</si>
  <si>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</si>
  <si>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</si>
  <si>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</si>
  <si>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</si>
  <si>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</si>
  <si>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</si>
  <si>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</si>
  <si>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</si>
  <si>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</si>
  <si>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</si>
  <si>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</si>
  <si>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</si>
  <si>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</si>
  <si>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</si>
  <si>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</si>
  <si>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</si>
  <si>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</si>
  <si>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</si>
  <si>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</si>
  <si>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</si>
  <si>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</si>
  <si>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</si>
  <si>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</si>
  <si>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</si>
  <si>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</si>
  <si>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</si>
  <si>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</si>
  <si>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</si>
  <si>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</si>
  <si>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</si>
  <si>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</si>
  <si>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</si>
  <si>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</si>
  <si>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</si>
  <si>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</si>
  <si>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</si>
  <si>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</si>
  <si>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</si>
  <si>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</si>
  <si>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</si>
  <si>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</si>
  <si>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</si>
  <si>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</si>
  <si>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</si>
  <si>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</si>
  <si>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</si>
  <si>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</si>
  <si>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</si>
  <si>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</si>
  <si>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</si>
  <si>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</si>
  <si>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</si>
  <si>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</si>
  <si>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</si>
  <si>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</si>
  <si>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</si>
  <si>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</si>
  <si>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</si>
  <si>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</si>
  <si>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</si>
  <si>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</si>
  <si>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</si>
  <si>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</si>
  <si>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Índice</t>
  </si>
  <si>
    <r>
      <rPr>
        <b/>
        <sz val="11"/>
        <color indexed="8"/>
        <rFont val="Arial"/>
        <family val="2"/>
      </rPr>
      <t>"IMPORT CENTER S.A."</t>
    </r>
    <r>
      <rPr>
        <sz val="11"/>
        <color indexed="8"/>
        <rFont val="Arial"/>
        <family val="2"/>
      </rPr>
      <t>con RUC Nº 80021505-2 es una Entidad que fuera constituída  originalmente con la denomina-</t>
    </r>
  </si>
  <si>
    <r>
      <t xml:space="preserve">ción de </t>
    </r>
    <r>
      <rPr>
        <b/>
        <sz val="11"/>
        <color indexed="8"/>
        <rFont val="Arial"/>
        <family val="2"/>
      </rPr>
      <t xml:space="preserve">"CHE TAPYIRA S.R.L." </t>
    </r>
    <r>
      <rPr>
        <sz val="11"/>
        <color indexed="8"/>
        <rFont val="Arial"/>
        <family val="2"/>
      </rPr>
      <t xml:space="preserve">según consta en la Escriura Pública Nº 2 de fecha 10 de Enero de 1984, y de la cual se </t>
    </r>
  </si>
  <si>
    <t>Contratos el 24 de Enero de 1984.  Luego por Escritura Pública Nº 47 de fecha 11 de Mayo de 2000, los Estatutos Socia-</t>
  </si>
  <si>
    <t>dicas y Asociaciones, anotado bajo el Nº 352 Serie "B" al folio 3489, el 26 de Mayo de 2000.</t>
  </si>
  <si>
    <t>La Duración de la Sociedad será de 99 (noventa y nueve) años a contarse desde su inscripción en el Registro de Perso-</t>
  </si>
  <si>
    <t>Valores; y demás actividades detalladas en al Artículo 4ª de los Estatutos Sociales.</t>
  </si>
  <si>
    <r>
      <t xml:space="preserve">les fueron modificados por transformación de: </t>
    </r>
    <r>
      <rPr>
        <b/>
        <sz val="11"/>
        <color indexed="8"/>
        <rFont val="Arial"/>
        <family val="2"/>
      </rPr>
      <t>IMPORT CENTER S.R.L.</t>
    </r>
    <r>
      <rPr>
        <sz val="11"/>
        <color indexed="8"/>
        <rFont val="Arial"/>
        <family val="2"/>
      </rPr>
      <t xml:space="preserve"> a </t>
    </r>
    <r>
      <rPr>
        <b/>
        <sz val="11"/>
        <color indexed="8"/>
        <rFont val="Arial"/>
        <family val="2"/>
      </rPr>
      <t>IMPORT  CENTER S.A.</t>
    </r>
    <r>
      <rPr>
        <sz val="11"/>
        <color indexed="8"/>
        <rFont val="Arial"/>
        <family val="2"/>
      </rPr>
      <t xml:space="preserve">, de cuyo testimonio </t>
    </r>
  </si>
  <si>
    <t>se tomó razón en la Dirección General  de los Registros Públicos, Sección Registro Público de  Comercio,  anotado bajo</t>
  </si>
  <si>
    <t xml:space="preserve">tomó razón en la Dirección General de Registros Públicos de Comercio bajo el Nº 94, folio 22 y siguientes de la  Sección </t>
  </si>
  <si>
    <t>el Nº 491, Serie "A" al folio 3787 y siguientes, Sección Contratos, el 26 de Mayo  de 2000, y  en la Sección  Personas Juri-</t>
  </si>
  <si>
    <t>nas Jurídicas y Asociaciones y en el  Registro Público de  Comercio, de la Dirección  General de los Registros  Públicos.</t>
  </si>
  <si>
    <t>No obstante la Asamblea Extraordinaria de Accionistas puede prorrogar o reducir la duración, o disolver o liquidar  la So -</t>
  </si>
  <si>
    <t>ciedad cuando así lo resolviere de conformidad con las pertinentes  disposiciones de la Ley  y de los Estatutos  Sociales.</t>
  </si>
  <si>
    <t xml:space="preserve">La Empresa tiene como  objeto principal  la realización por  cuenta propia o  de terceros, o asociada con  terceros, en el </t>
  </si>
  <si>
    <t xml:space="preserve">país o en el extranjero, las siguientes  operaciones: a) COMERCIALES:  compra, venta al  por mayor y menor,  permuta, </t>
  </si>
  <si>
    <t>importación y representación de repuestos para motocicletas, bicicletas como así tambien repuestos  y  accesorios, cu -</t>
  </si>
  <si>
    <t xml:space="preserve">biertas para motos y  bicicletas y  equipos  de gimnasia;  b) INDUSTRIALES:  ensamble de bicicletas; c) MERCADO DE </t>
  </si>
  <si>
    <t xml:space="preserve">VALORES:  emitir títulos de deuda con o sin garantía para negociarlos en el mercado de valores a través de la  Bolsa de </t>
  </si>
  <si>
    <t>IMPORT CENTER S.A.</t>
  </si>
  <si>
    <t>ESTADOS CONTABLES</t>
  </si>
  <si>
    <t>Composición del Capital</t>
  </si>
  <si>
    <t>Acciones</t>
  </si>
  <si>
    <t>Suscripto</t>
  </si>
  <si>
    <t>Integrado</t>
  </si>
  <si>
    <t>Cantidad</t>
  </si>
  <si>
    <t>Votos</t>
  </si>
  <si>
    <t>Tipo</t>
  </si>
  <si>
    <t>G.</t>
  </si>
  <si>
    <t>Voto Múltiple</t>
  </si>
  <si>
    <t>Voto Simple</t>
  </si>
  <si>
    <t>Presidente</t>
  </si>
  <si>
    <t>Domicilio legal: Avda. Rca. Argentina 1851 c/Avda. Eusebio Ayala. Asunción</t>
  </si>
  <si>
    <t>Actividad principal: Importaciones y Representaciones, Industrial</t>
  </si>
  <si>
    <t>Inscripción en el Registro Público de Comercio Nº 47 de los Estatutos Sociales  y sus modificaciones Nº 7, 1, 38, 14, 126 y 101.</t>
  </si>
  <si>
    <t>Inscripción en la Comisión Nacional de Valores: Res. N° 78E/13</t>
  </si>
  <si>
    <t>Inscripción en la Bolsa de Valores y Productos de Asunción Sociedad Anónima:  Resolución Nº 1234/14</t>
  </si>
  <si>
    <t>Fecha de vencimiento del Estatuto o Contrato Social: Año 2099.</t>
  </si>
  <si>
    <t>Gabriel Cuttier C.</t>
  </si>
  <si>
    <t>Retenciones IVA a Aplicar</t>
  </si>
  <si>
    <t>Retenc. Imp.a la Renta a Aplicar</t>
  </si>
  <si>
    <t>Anticipos al Personal</t>
  </si>
  <si>
    <t>Importaciones en Curso</t>
  </si>
  <si>
    <t>Inmuebles</t>
  </si>
  <si>
    <t>Edificios</t>
  </si>
  <si>
    <t>Cheques Emitidos en Diferido Regional</t>
  </si>
  <si>
    <t>Tarjera de Credito - Regional</t>
  </si>
  <si>
    <t>usd</t>
  </si>
  <si>
    <t>pyg</t>
  </si>
  <si>
    <t>NINGUNA</t>
  </si>
  <si>
    <t>BANCO REGIONAL</t>
  </si>
  <si>
    <t>BANCOP</t>
  </si>
  <si>
    <t xml:space="preserve">GNB </t>
  </si>
  <si>
    <t>SUDAMERIS</t>
  </si>
  <si>
    <t>PRESTAMOS PERSONALES</t>
  </si>
  <si>
    <t>LEONCIO CUTTIER</t>
  </si>
  <si>
    <t>DEUDAS BURSATILES</t>
  </si>
  <si>
    <t>PEG 2</t>
  </si>
  <si>
    <t>PEG 3</t>
  </si>
  <si>
    <t>SERIE 3</t>
  </si>
  <si>
    <t>SERIES 1, 2 Y 3</t>
  </si>
  <si>
    <t>SERIES 3</t>
  </si>
  <si>
    <t>PGY</t>
  </si>
  <si>
    <t>Guarani</t>
  </si>
  <si>
    <t>ITAU</t>
  </si>
  <si>
    <t>REGIONAL</t>
  </si>
  <si>
    <t>Intereses a pagar Préstamos Personales</t>
  </si>
  <si>
    <t>Intereses a pagar Deudas Bursátiles</t>
  </si>
  <si>
    <t>(-) Intereses a Devengar Préstamos Personales</t>
  </si>
  <si>
    <t>Leoncio Cuttier</t>
  </si>
  <si>
    <t>(-) Intereses a Devengar Deudas Bursátiles</t>
  </si>
  <si>
    <t xml:space="preserve">Intereses a Pagar Préstamos Personales </t>
  </si>
  <si>
    <t>Intereses a Pagar Deudas Bursátiles</t>
  </si>
  <si>
    <t>(-) Intereses a Devengar Deudas Bancarias</t>
  </si>
  <si>
    <t>DEUDAS FINANCIERAS</t>
  </si>
  <si>
    <t>Intereses a pagar a Entidades Financieras</t>
  </si>
  <si>
    <t>Aguinaldos a Pagar</t>
  </si>
  <si>
    <t>IVA Débito Fiscal</t>
  </si>
  <si>
    <t>Diferencia de Cambio</t>
  </si>
  <si>
    <t>Intereses Cobrados</t>
  </si>
  <si>
    <t>Otros Ingresos</t>
  </si>
  <si>
    <t>Utilidad Vta.Bienes de Uso</t>
  </si>
  <si>
    <t>Intereses pagados a Bcos.</t>
  </si>
  <si>
    <t>Gastos Bancarios</t>
  </si>
  <si>
    <t>Intereses s/Bonos Emitidos</t>
  </si>
  <si>
    <t>Aumento de Capital Social</t>
  </si>
  <si>
    <t>Seguros a Vencer-CP</t>
  </si>
  <si>
    <t>Otros Gtos.a Vencer-CP</t>
  </si>
  <si>
    <t>Operaciones en Curso</t>
  </si>
  <si>
    <t>Obras en Curso</t>
  </si>
  <si>
    <t>Otros Gtos.a Vencer-LP</t>
  </si>
  <si>
    <t>TOTAL PRESTAMOS A CORTO PLAZO</t>
  </si>
  <si>
    <t>TOTAL PRESTAMOS A LARGO PLAZO</t>
  </si>
  <si>
    <t>- Devolución de Mercaderías</t>
  </si>
  <si>
    <t>Guaraníes</t>
  </si>
  <si>
    <t>Gs.</t>
  </si>
  <si>
    <r>
      <t xml:space="preserve">Denominación: </t>
    </r>
    <r>
      <rPr>
        <b/>
        <sz val="11"/>
        <rFont val="Arial"/>
        <family val="2"/>
      </rPr>
      <t>IMPORT CENTER S.A.</t>
    </r>
  </si>
  <si>
    <r>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t>
    </r>
    <r>
      <rPr>
        <sz val="9"/>
        <rFont val="Arial"/>
        <family val="2"/>
      </rPr>
      <t>puntos c  y k</t>
    </r>
    <r>
      <rPr>
        <sz val="9"/>
        <color indexed="10"/>
        <rFont val="Arial"/>
        <family val="2"/>
      </rPr>
      <t xml:space="preserve">   </t>
    </r>
    <r>
      <rPr>
        <sz val="9"/>
        <color indexed="8"/>
        <rFont val="Arial"/>
        <family val="2"/>
      </rPr>
      <t xml:space="preserve">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r>
  </si>
  <si>
    <t>Los activos y pasivos en moneda extranjera se valúan a los tipos de cambio vigentes a la fecha de cierre del ejercicio/período.</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</si>
  <si>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anualmente de acuerdo  política de constitución de previsiones.</t>
  </si>
  <si>
    <t xml:space="preserve">Las existencias se valúan a su costo de adquisición, sin exceder los valores netos de realización o reposición. </t>
  </si>
  <si>
    <t>El método de valuación para las salidas de mercaderías  es el precio promedio ponderado.</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</si>
  <si>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</si>
  <si>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</si>
  <si>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anualmente, conforme al valor residual y a los años de vida útil de cada bien. </t>
  </si>
  <si>
    <t>e. Previsión para cuentas de dudoso cobro/incobrables</t>
  </si>
  <si>
    <t>f. Inventarios</t>
  </si>
  <si>
    <t>g. Propiedades, planta y equipo</t>
  </si>
  <si>
    <t>h. Reconocimiento de ingresos y egresos</t>
  </si>
  <si>
    <t xml:space="preserve">El impuesto a la renta que se carga a los resultados del año/período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</si>
  <si>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i. Impuesto a la renta</t>
  </si>
  <si>
    <t>IVA Crédito Fiscal</t>
  </si>
  <si>
    <t>Proveedores del Exterior</t>
  </si>
  <si>
    <t>GNB</t>
  </si>
  <si>
    <t>SERIE 2</t>
  </si>
  <si>
    <t>Retención IVA a Pagar</t>
  </si>
  <si>
    <t>Regional - Tarjeta de Crédito</t>
  </si>
  <si>
    <t>Cheques Diferidos Gs. - Regional</t>
  </si>
  <si>
    <t>Cheques Diferidos U$S. - Regional</t>
  </si>
  <si>
    <t>Pérdidas Robo</t>
  </si>
  <si>
    <t>Otros - Documentos a Cobrar</t>
  </si>
  <si>
    <t>Al 30 de Setiembre de 2021</t>
  </si>
  <si>
    <t>(-) Total Previsiones del Ejercicio</t>
  </si>
  <si>
    <t>(-) Total Previsiones Acumuladas</t>
  </si>
  <si>
    <t>(43.233)</t>
  </si>
  <si>
    <t>PEG 3 SERIE 1</t>
  </si>
  <si>
    <t>SERIES  2 Y 3</t>
  </si>
  <si>
    <t>SERIES  3</t>
  </si>
  <si>
    <t>SERIES 1,2 y 3</t>
  </si>
  <si>
    <t>SERIES 2</t>
  </si>
  <si>
    <t xml:space="preserve">SERIES  2 </t>
  </si>
  <si>
    <t>Otros Gastos</t>
  </si>
  <si>
    <t>Con cifras comparativas al 31 de diciembre de 2021</t>
  </si>
  <si>
    <t>Dividendos a Pagar</t>
  </si>
  <si>
    <t>Entre la fecha de cierre del período y la fecha de preparación de estos estados financieros, no han ocurrido hechos significativos de carácter financiero o de otra índole que afecten la situación patrimonial o financiera o los resultados de la Sociedad al 30 de Setiembre de 2022.</t>
  </si>
  <si>
    <t>A la fecha de emisión de estos estados financieros, el tipo de cambio de la moneda extranjera es de 7.078,87 del Activo y 7.090,20 del Pasivo en U$S.</t>
  </si>
  <si>
    <t>PEG1  SERIE 3</t>
  </si>
  <si>
    <t>Distribución de dividendos s/Acta de Asamblea General Ordinaria N°29 de fecha 11/04/22.</t>
  </si>
  <si>
    <t>Distribución de dividendos s/Acta de Asamblea Ordinaria N° 28 de fecha 29/03/21</t>
  </si>
  <si>
    <t>Reducción del capital social s/Acta de Asamblea General Ordinaria N°... de fecha ….</t>
  </si>
  <si>
    <t>comparativa con el Ejercicio anterior.</t>
  </si>
  <si>
    <r>
      <t xml:space="preserve">Correspondiente  al  período  iniciado  el  </t>
    </r>
    <r>
      <rPr>
        <b/>
        <u val="single"/>
        <sz val="11"/>
        <color indexed="8"/>
        <rFont val="Calibri"/>
        <family val="2"/>
      </rPr>
      <t>1º de Enero del año 2022 al 30 de Setiembre de 2022</t>
    </r>
    <r>
      <rPr>
        <sz val="11"/>
        <color theme="1"/>
        <rFont val="Calibri"/>
        <family val="2"/>
      </rPr>
      <t xml:space="preserve">,   presentado  en  forma </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</si>
</sst>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 #,##0_ ;_ * \-#,##0_ ;_ * &quot;-&quot;??_ ;_ @_ "/>
    <numFmt numFmtId="174" formatCode="_-* #,##0_-;\-* #,##0_-;_-* &quot;-&quot;??_-;_-@_-"/>
    <numFmt numFmtId="175" formatCode="_(* #,##0_);_(* \(#,##0\);_(* &quot;-&quot;??_);_(@_)"/>
    <numFmt numFmtId="176" formatCode="dd/mm/yyyy;@"/>
    <numFmt numFmtId="177" formatCode="_ * #,##0.00_ ;_ * \-#,##0.00_ ;_ * &quot;-&quot;_ ;_ @_ "/>
    <numFmt numFmtId="178" formatCode="#,###,##0"/>
    <numFmt numFmtId="179" formatCode="_-* #,##0_-;\-* #,##0_-;_-* &quot;-&quot;_-;_-@_-"/>
    <numFmt numFmtId="180" formatCode="_-* #,##0.00_-;\-* #,##0.00_-;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 _P_t_s_-;\-* #,##0\ _P_t_s_-;_-* &quot;-&quot;\ _P_t_s_-;_-@_-"/>
    <numFmt numFmtId="186" formatCode="#,##0;\(#,##0\)"/>
    <numFmt numFmtId="187" formatCode="[$-C0A]dddd\,\ dd&quot; de &quot;mmmm&quot; de &quot;yyyy"/>
  </numFmts>
  <fonts count="156">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8"/>
      <name val="Arial"/>
      <family val="2"/>
    </font>
    <font>
      <i/>
      <sz val="9"/>
      <name val="Arial"/>
      <family val="2"/>
    </font>
    <font>
      <sz val="11"/>
      <name val="Calibri"/>
      <family val="2"/>
    </font>
    <font>
      <b/>
      <sz val="11"/>
      <name val="Calibri"/>
      <family val="2"/>
    </font>
    <font>
      <i/>
      <sz val="9"/>
      <name val="Calibri"/>
      <family val="2"/>
    </font>
    <font>
      <sz val="9"/>
      <color indexed="8"/>
      <name val="Arial"/>
      <family val="2"/>
    </font>
    <font>
      <sz val="11"/>
      <color indexed="8"/>
      <name val="Arial"/>
      <family val="2"/>
    </font>
    <font>
      <sz val="9"/>
      <color indexed="10"/>
      <name val="Arial"/>
      <family val="2"/>
    </font>
    <font>
      <b/>
      <sz val="11"/>
      <color indexed="8"/>
      <name val="Arial"/>
      <family val="2"/>
    </font>
    <font>
      <sz val="12"/>
      <name val="Arial"/>
      <family val="2"/>
    </font>
    <font>
      <b/>
      <sz val="14"/>
      <name val="Arial"/>
      <family val="2"/>
    </font>
    <font>
      <b/>
      <u val="double"/>
      <sz val="11"/>
      <name val="Arial"/>
      <family val="2"/>
    </font>
    <font>
      <sz val="10"/>
      <name val="Geneva"/>
      <family val="0"/>
    </font>
    <font>
      <b/>
      <i/>
      <sz val="10"/>
      <name val="Times New Roman"/>
      <family val="1"/>
    </font>
    <font>
      <sz val="10"/>
      <name val="Times New Roman"/>
      <family val="1"/>
    </font>
    <font>
      <sz val="9"/>
      <name val="Geneva"/>
      <family val="0"/>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0"/>
      <color indexed="9"/>
      <name val="Arial"/>
      <family val="2"/>
    </font>
    <font>
      <sz val="10"/>
      <color indexed="10"/>
      <name val="Arial"/>
      <family val="2"/>
    </font>
    <font>
      <sz val="12"/>
      <color indexed="8"/>
      <name val="Arial"/>
      <family val="2"/>
    </font>
    <font>
      <b/>
      <sz val="10"/>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sz val="9"/>
      <name val="Calibri"/>
      <family val="2"/>
    </font>
    <font>
      <b/>
      <sz val="10"/>
      <color indexed="9"/>
      <name val="Arial Black"/>
      <family val="2"/>
    </font>
    <font>
      <sz val="10"/>
      <color indexed="8"/>
      <name val="Arial Black"/>
      <family val="2"/>
    </font>
    <font>
      <b/>
      <u val="singleAccounting"/>
      <sz val="10"/>
      <color indexed="9"/>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9"/>
      <color indexed="8"/>
      <name val="Arial"/>
      <family val="2"/>
    </font>
    <font>
      <i/>
      <sz val="11"/>
      <color indexed="8"/>
      <name val="Arial"/>
      <family val="2"/>
    </font>
    <font>
      <b/>
      <sz val="9"/>
      <color indexed="9"/>
      <name val="Arial"/>
      <family val="2"/>
    </font>
    <font>
      <b/>
      <sz val="8"/>
      <color indexed="8"/>
      <name val="Calibri"/>
      <family val="2"/>
    </font>
    <font>
      <b/>
      <i/>
      <sz val="11"/>
      <color indexed="8"/>
      <name val="Arial"/>
      <family val="2"/>
    </font>
    <font>
      <sz val="11"/>
      <color indexed="9"/>
      <name val="Arial"/>
      <family val="2"/>
    </font>
    <font>
      <sz val="11"/>
      <color indexed="10"/>
      <name val="Arial"/>
      <family val="2"/>
    </font>
    <font>
      <sz val="10"/>
      <name val="Calibri"/>
      <family val="2"/>
    </font>
    <font>
      <b/>
      <sz val="10"/>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9"/>
      <color rgb="FFFF0000"/>
      <name val="Arial"/>
      <family val="2"/>
    </font>
    <font>
      <sz val="12"/>
      <color theme="1"/>
      <name val="Arial"/>
      <family val="2"/>
    </font>
    <font>
      <b/>
      <sz val="10"/>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theme="0"/>
      <name val="Arial Black"/>
      <family val="2"/>
    </font>
    <font>
      <sz val="10"/>
      <color theme="1"/>
      <name val="Arial Black"/>
      <family val="2"/>
    </font>
    <font>
      <b/>
      <u val="singleAccounting"/>
      <sz val="10"/>
      <color theme="0"/>
      <name val="Arial Black"/>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11"/>
      <color theme="4"/>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sz val="9"/>
      <color rgb="FF000000"/>
      <name val="Arial"/>
      <family val="2"/>
    </font>
    <font>
      <i/>
      <sz val="9"/>
      <color rgb="FF000000"/>
      <name val="Arial"/>
      <family val="2"/>
    </font>
    <font>
      <i/>
      <sz val="11"/>
      <color theme="1"/>
      <name val="Arial"/>
      <family val="2"/>
    </font>
    <font>
      <b/>
      <sz val="9"/>
      <color rgb="FFFFFFFF"/>
      <name val="Arial"/>
      <family val="2"/>
    </font>
    <font>
      <b/>
      <sz val="9"/>
      <color theme="0"/>
      <name val="Arial"/>
      <family val="2"/>
    </font>
    <font>
      <b/>
      <sz val="10"/>
      <color rgb="FFFFFFFF"/>
      <name val="Arial"/>
      <family val="2"/>
    </font>
    <font>
      <b/>
      <sz val="11"/>
      <color theme="1"/>
      <name val="Arial"/>
      <family val="2"/>
    </font>
    <font>
      <b/>
      <sz val="8"/>
      <color theme="1"/>
      <name val="Calibri"/>
      <family val="2"/>
    </font>
    <font>
      <b/>
      <sz val="11"/>
      <color rgb="FF000000"/>
      <name val="Calibri"/>
      <family val="2"/>
    </font>
    <font>
      <b/>
      <i/>
      <sz val="11"/>
      <color theme="1"/>
      <name val="Arial"/>
      <family val="2"/>
    </font>
    <font>
      <sz val="11"/>
      <color theme="0"/>
      <name val="Arial"/>
      <family val="2"/>
    </font>
    <font>
      <sz val="11"/>
      <color rgb="FFFF000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bottom style="double"/>
    </border>
    <border>
      <left/>
      <right/>
      <top style="thin"/>
      <bottom style="double"/>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
      <left style="thin"/>
      <right style="thin"/>
      <top/>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style="medium"/>
      <top style="thin"/>
      <bottom style="thin"/>
    </border>
    <border>
      <left/>
      <right style="medium"/>
      <top style="thin"/>
      <bottom/>
    </border>
    <border>
      <left/>
      <right style="medium"/>
      <top style="thin"/>
      <bottom style="medium"/>
    </border>
    <border>
      <left style="medium"/>
      <right/>
      <top style="thin"/>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172" fontId="2" fillId="0" borderId="0" applyFont="0" applyFill="0" applyBorder="0" applyAlignment="0" applyProtection="0"/>
    <xf numFmtId="0" fontId="93" fillId="0" borderId="4" applyNumberFormat="0" applyFill="0" applyAlignment="0" applyProtection="0"/>
    <xf numFmtId="0" fontId="94"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5" fillId="29" borderId="1"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2" fillId="0" borderId="0" applyFont="0" applyFill="0" applyBorder="0" applyAlignment="0" applyProtection="0"/>
    <xf numFmtId="172" fontId="0"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80" fontId="0" fillId="0" borderId="0" applyFont="0" applyFill="0" applyBorder="0" applyAlignment="0" applyProtection="0"/>
    <xf numFmtId="172" fontId="2"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0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101" fillId="21" borderId="6"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7" applyNumberFormat="0" applyFill="0" applyAlignment="0" applyProtection="0"/>
    <xf numFmtId="0" fontId="94" fillId="0" borderId="8" applyNumberFormat="0" applyFill="0" applyAlignment="0" applyProtection="0"/>
    <xf numFmtId="0" fontId="106" fillId="0" borderId="9" applyNumberFormat="0" applyFill="0" applyAlignment="0" applyProtection="0"/>
  </cellStyleXfs>
  <cellXfs count="777">
    <xf numFmtId="0" fontId="0" fillId="0" borderId="0" xfId="0" applyFont="1" applyAlignment="1">
      <alignment/>
    </xf>
    <xf numFmtId="0" fontId="107" fillId="0" borderId="0" xfId="0" applyFont="1" applyAlignment="1">
      <alignment vertical="center"/>
    </xf>
    <xf numFmtId="0" fontId="107" fillId="0" borderId="0" xfId="0" applyFont="1" applyAlignment="1">
      <alignment/>
    </xf>
    <xf numFmtId="0" fontId="108" fillId="0" borderId="0" xfId="0" applyFont="1" applyAlignment="1">
      <alignment vertical="center"/>
    </xf>
    <xf numFmtId="0" fontId="109" fillId="0" borderId="0" xfId="0" applyFont="1" applyAlignment="1">
      <alignment vertical="center"/>
    </xf>
    <xf numFmtId="0" fontId="110" fillId="33" borderId="0" xfId="0" applyFont="1" applyFill="1" applyAlignment="1">
      <alignment/>
    </xf>
    <xf numFmtId="0" fontId="108" fillId="33" borderId="10" xfId="0" applyFont="1" applyFill="1" applyBorder="1" applyAlignment="1">
      <alignment/>
    </xf>
    <xf numFmtId="174" fontId="107" fillId="33" borderId="10" xfId="50" applyNumberFormat="1" applyFont="1" applyFill="1" applyBorder="1" applyAlignment="1">
      <alignment/>
    </xf>
    <xf numFmtId="175" fontId="2" fillId="33" borderId="10" xfId="50" applyNumberFormat="1" applyFont="1" applyFill="1" applyBorder="1" applyAlignment="1">
      <alignment/>
    </xf>
    <xf numFmtId="175" fontId="2" fillId="33" borderId="0" xfId="50" applyNumberFormat="1" applyFont="1" applyFill="1" applyAlignment="1">
      <alignment/>
    </xf>
    <xf numFmtId="0" fontId="107" fillId="33" borderId="11" xfId="0" applyFont="1" applyFill="1" applyBorder="1" applyAlignment="1">
      <alignment/>
    </xf>
    <xf numFmtId="0" fontId="107" fillId="33" borderId="0" xfId="0" applyFont="1" applyFill="1" applyAlignment="1">
      <alignment/>
    </xf>
    <xf numFmtId="0" fontId="107" fillId="0" borderId="0" xfId="0" applyFont="1" applyAlignment="1">
      <alignment horizontal="left" vertical="top" wrapText="1"/>
    </xf>
    <xf numFmtId="0" fontId="108" fillId="33" borderId="0" xfId="0" applyFont="1" applyFill="1" applyAlignment="1">
      <alignment/>
    </xf>
    <xf numFmtId="0" fontId="4" fillId="33" borderId="12" xfId="77" applyFont="1" applyFill="1" applyBorder="1" applyAlignment="1">
      <alignment horizontal="left"/>
      <protection/>
    </xf>
    <xf numFmtId="0" fontId="4" fillId="33" borderId="0" xfId="77" applyFont="1" applyFill="1" applyAlignment="1">
      <alignment horizontal="center"/>
      <protection/>
    </xf>
    <xf numFmtId="0" fontId="107" fillId="33" borderId="0" xfId="0" applyFont="1" applyFill="1" applyBorder="1" applyAlignment="1">
      <alignment/>
    </xf>
    <xf numFmtId="175" fontId="4" fillId="33" borderId="13" xfId="50" applyNumberFormat="1" applyFont="1" applyFill="1" applyBorder="1" applyAlignment="1">
      <alignment/>
    </xf>
    <xf numFmtId="173" fontId="4" fillId="33" borderId="0" xfId="57" applyNumberFormat="1" applyFont="1" applyFill="1" applyBorder="1" applyAlignment="1">
      <alignment/>
    </xf>
    <xf numFmtId="173" fontId="107" fillId="33" borderId="0" xfId="0" applyNumberFormat="1" applyFont="1" applyFill="1" applyAlignment="1">
      <alignment/>
    </xf>
    <xf numFmtId="173" fontId="2" fillId="33" borderId="0" xfId="57" applyNumberFormat="1" applyFont="1" applyFill="1" applyAlignment="1">
      <alignment/>
    </xf>
    <xf numFmtId="0" fontId="108" fillId="0" borderId="0" xfId="0" applyFont="1" applyAlignment="1">
      <alignment/>
    </xf>
    <xf numFmtId="3" fontId="107" fillId="33" borderId="0" xfId="0" applyNumberFormat="1" applyFont="1" applyFill="1" applyAlignment="1">
      <alignment/>
    </xf>
    <xf numFmtId="173" fontId="4" fillId="33" borderId="14" xfId="57" applyNumberFormat="1" applyFont="1" applyFill="1" applyBorder="1" applyAlignment="1">
      <alignment/>
    </xf>
    <xf numFmtId="0" fontId="2" fillId="33" borderId="0" xfId="77" applyFont="1" applyFill="1" applyBorder="1" applyAlignment="1">
      <alignment horizontal="left"/>
      <protection/>
    </xf>
    <xf numFmtId="41" fontId="4" fillId="33" borderId="14" xfId="51" applyFont="1" applyFill="1" applyBorder="1" applyAlignment="1">
      <alignment/>
    </xf>
    <xf numFmtId="0" fontId="111" fillId="0" borderId="0" xfId="0" applyFont="1" applyAlignment="1">
      <alignment vertical="center"/>
    </xf>
    <xf numFmtId="41" fontId="107" fillId="33" borderId="0" xfId="51" applyFont="1" applyFill="1" applyAlignment="1">
      <alignment/>
    </xf>
    <xf numFmtId="14" fontId="4" fillId="33" borderId="0" xfId="77" applyNumberFormat="1" applyFont="1" applyFill="1" applyAlignment="1" quotePrefix="1">
      <alignment horizontal="center"/>
      <protection/>
    </xf>
    <xf numFmtId="175" fontId="2" fillId="33" borderId="0" xfId="53" applyNumberFormat="1" applyFont="1" applyFill="1" applyAlignment="1">
      <alignment/>
    </xf>
    <xf numFmtId="41" fontId="108" fillId="33" borderId="14" xfId="0" applyNumberFormat="1" applyFont="1" applyFill="1" applyBorder="1" applyAlignment="1">
      <alignment/>
    </xf>
    <xf numFmtId="0" fontId="4" fillId="33" borderId="12" xfId="78" applyFont="1" applyFill="1" applyBorder="1" applyAlignment="1">
      <alignment horizontal="left"/>
      <protection/>
    </xf>
    <xf numFmtId="0" fontId="2" fillId="33" borderId="0" xfId="0" applyFont="1" applyFill="1" applyAlignment="1">
      <alignment/>
    </xf>
    <xf numFmtId="0" fontId="4" fillId="33" borderId="0" xfId="78"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7" fillId="0" borderId="0" xfId="0" applyFont="1" applyBorder="1" applyAlignment="1">
      <alignment vertical="center"/>
    </xf>
    <xf numFmtId="0" fontId="112" fillId="0" borderId="0" xfId="0" applyFont="1"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12" fillId="0" borderId="17" xfId="0" applyFont="1" applyBorder="1" applyAlignment="1">
      <alignment/>
    </xf>
    <xf numFmtId="0" fontId="112" fillId="0" borderId="12" xfId="0" applyFont="1" applyBorder="1" applyAlignment="1">
      <alignment/>
    </xf>
    <xf numFmtId="0" fontId="112" fillId="0" borderId="18" xfId="0" applyFont="1" applyBorder="1" applyAlignment="1">
      <alignment/>
    </xf>
    <xf numFmtId="0" fontId="107" fillId="0" borderId="0" xfId="0" applyFont="1" applyBorder="1" applyAlignment="1">
      <alignment/>
    </xf>
    <xf numFmtId="0" fontId="107" fillId="34" borderId="0" xfId="0" applyFont="1" applyFill="1" applyAlignment="1">
      <alignment/>
    </xf>
    <xf numFmtId="0" fontId="108" fillId="0" borderId="0" xfId="0" applyFont="1" applyBorder="1" applyAlignment="1">
      <alignment horizontal="center"/>
    </xf>
    <xf numFmtId="0" fontId="107" fillId="0" borderId="0" xfId="0" applyFont="1" applyFill="1" applyAlignment="1">
      <alignment/>
    </xf>
    <xf numFmtId="0" fontId="4" fillId="33" borderId="12" xfId="82" applyFont="1" applyFill="1" applyBorder="1" applyAlignment="1">
      <alignment horizontal="left"/>
    </xf>
    <xf numFmtId="0" fontId="5" fillId="33" borderId="0" xfId="82" applyFont="1" applyFill="1" applyBorder="1" applyAlignment="1">
      <alignment horizontal="center"/>
    </xf>
    <xf numFmtId="0" fontId="5" fillId="33" borderId="0" xfId="82" applyFont="1" applyFill="1" applyAlignment="1">
      <alignment horizontal="center"/>
    </xf>
    <xf numFmtId="0" fontId="2" fillId="33" borderId="0" xfId="84" applyFont="1" applyFill="1" applyBorder="1">
      <alignment/>
      <protection/>
    </xf>
    <xf numFmtId="0" fontId="2" fillId="33" borderId="0" xfId="84" applyFont="1" applyFill="1">
      <alignment/>
      <protection/>
    </xf>
    <xf numFmtId="3" fontId="2" fillId="33" borderId="0" xfId="84" applyNumberFormat="1" applyFont="1" applyFill="1">
      <alignment/>
      <protection/>
    </xf>
    <xf numFmtId="0" fontId="4" fillId="33" borderId="0" xfId="84" applyFont="1" applyFill="1">
      <alignment/>
      <protection/>
    </xf>
    <xf numFmtId="0" fontId="4" fillId="33" borderId="0" xfId="84" applyFont="1" applyFill="1" applyBorder="1">
      <alignment/>
      <protection/>
    </xf>
    <xf numFmtId="173" fontId="4" fillId="33" borderId="14" xfId="55" applyNumberFormat="1" applyFont="1" applyFill="1" applyBorder="1" applyAlignment="1">
      <alignment/>
    </xf>
    <xf numFmtId="0" fontId="107" fillId="0" borderId="0" xfId="0" applyFont="1" applyAlignment="1">
      <alignment vertical="top" wrapText="1"/>
    </xf>
    <xf numFmtId="0" fontId="111" fillId="0" borderId="0" xfId="0" applyFont="1" applyFill="1" applyAlignment="1">
      <alignment/>
    </xf>
    <xf numFmtId="0" fontId="6" fillId="0" borderId="0" xfId="0" applyFont="1" applyFill="1" applyAlignment="1">
      <alignment/>
    </xf>
    <xf numFmtId="43" fontId="111" fillId="0" borderId="0" xfId="50" applyFont="1" applyFill="1" applyAlignment="1">
      <alignment/>
    </xf>
    <xf numFmtId="173" fontId="6" fillId="0" borderId="0" xfId="50" applyNumberFormat="1" applyFont="1" applyFill="1" applyAlignment="1">
      <alignment/>
    </xf>
    <xf numFmtId="173" fontId="111" fillId="0" borderId="0" xfId="50" applyNumberFormat="1" applyFont="1" applyFill="1" applyAlignment="1">
      <alignment/>
    </xf>
    <xf numFmtId="41" fontId="111" fillId="0" borderId="0" xfId="0" applyNumberFormat="1" applyFont="1" applyFill="1" applyAlignment="1">
      <alignment/>
    </xf>
    <xf numFmtId="173" fontId="107" fillId="0" borderId="0" xfId="0" applyNumberFormat="1" applyFont="1" applyAlignment="1">
      <alignment/>
    </xf>
    <xf numFmtId="175" fontId="107" fillId="0" borderId="0" xfId="0" applyNumberFormat="1" applyFont="1" applyAlignment="1">
      <alignment/>
    </xf>
    <xf numFmtId="0" fontId="0" fillId="0" borderId="0" xfId="0" applyFill="1" applyAlignment="1">
      <alignment/>
    </xf>
    <xf numFmtId="0" fontId="107" fillId="0" borderId="0" xfId="0" applyFont="1" applyFill="1" applyBorder="1" applyAlignment="1">
      <alignment/>
    </xf>
    <xf numFmtId="41" fontId="107" fillId="0" borderId="0" xfId="51" applyFont="1" applyFill="1" applyAlignment="1">
      <alignment/>
    </xf>
    <xf numFmtId="0" fontId="108" fillId="0" borderId="0" xfId="0" applyFont="1" applyFill="1" applyBorder="1" applyAlignment="1">
      <alignment/>
    </xf>
    <xf numFmtId="0" fontId="108" fillId="0" borderId="0" xfId="0" applyFont="1" applyFill="1" applyAlignment="1">
      <alignment vertical="center"/>
    </xf>
    <xf numFmtId="0" fontId="110" fillId="0" borderId="0" xfId="0" applyFont="1" applyFill="1" applyAlignment="1">
      <alignment/>
    </xf>
    <xf numFmtId="0" fontId="113" fillId="0" borderId="0" xfId="0" applyFont="1" applyAlignment="1">
      <alignment/>
    </xf>
    <xf numFmtId="173" fontId="113" fillId="0" borderId="0" xfId="50" applyNumberFormat="1" applyFont="1" applyAlignment="1">
      <alignment/>
    </xf>
    <xf numFmtId="173" fontId="4" fillId="0" borderId="14" xfId="50" applyNumberFormat="1" applyFont="1" applyBorder="1" applyAlignment="1">
      <alignment/>
    </xf>
    <xf numFmtId="173" fontId="113" fillId="0" borderId="0" xfId="0" applyNumberFormat="1" applyFont="1" applyAlignment="1">
      <alignment/>
    </xf>
    <xf numFmtId="175" fontId="2" fillId="0" borderId="0" xfId="50" applyNumberFormat="1" applyFont="1" applyAlignment="1">
      <alignment/>
    </xf>
    <xf numFmtId="173" fontId="114" fillId="0" borderId="0" xfId="50" applyNumberFormat="1" applyFont="1" applyAlignment="1">
      <alignment/>
    </xf>
    <xf numFmtId="173" fontId="114" fillId="0" borderId="0" xfId="0" applyNumberFormat="1" applyFont="1" applyAlignment="1">
      <alignment/>
    </xf>
    <xf numFmtId="178" fontId="107" fillId="0" borderId="0" xfId="0" applyNumberFormat="1" applyFont="1" applyAlignment="1">
      <alignment horizontal="right"/>
    </xf>
    <xf numFmtId="173" fontId="2" fillId="0" borderId="0" xfId="50" applyNumberFormat="1" applyFont="1" applyAlignment="1">
      <alignment/>
    </xf>
    <xf numFmtId="173" fontId="4" fillId="0" borderId="0" xfId="50" applyNumberFormat="1" applyFont="1" applyAlignment="1">
      <alignment/>
    </xf>
    <xf numFmtId="0" fontId="7" fillId="0" borderId="0" xfId="0" applyFont="1" applyAlignment="1">
      <alignment/>
    </xf>
    <xf numFmtId="173" fontId="7" fillId="0" borderId="0" xfId="50" applyNumberFormat="1" applyFont="1" applyAlignment="1">
      <alignment/>
    </xf>
    <xf numFmtId="0" fontId="2" fillId="0" borderId="0" xfId="80" applyFont="1" applyAlignment="1">
      <alignment/>
    </xf>
    <xf numFmtId="173" fontId="107" fillId="0" borderId="0" xfId="50" applyNumberFormat="1" applyFont="1" applyAlignment="1">
      <alignment/>
    </xf>
    <xf numFmtId="0" fontId="107" fillId="0" borderId="0" xfId="0" applyFont="1" applyAlignment="1">
      <alignment horizontal="left"/>
    </xf>
    <xf numFmtId="173" fontId="107" fillId="0" borderId="0" xfId="50" applyNumberFormat="1" applyFont="1" applyAlignment="1">
      <alignment horizontal="center"/>
    </xf>
    <xf numFmtId="0" fontId="3" fillId="0" borderId="0" xfId="0" applyFont="1" applyFill="1" applyAlignment="1">
      <alignment/>
    </xf>
    <xf numFmtId="173" fontId="110" fillId="0" borderId="0" xfId="0" applyNumberFormat="1" applyFont="1" applyFill="1" applyAlignment="1">
      <alignment/>
    </xf>
    <xf numFmtId="177" fontId="115" fillId="0" borderId="0" xfId="51" applyNumberFormat="1" applyFont="1" applyFill="1" applyAlignment="1">
      <alignment/>
    </xf>
    <xf numFmtId="0" fontId="113" fillId="0" borderId="0" xfId="0" applyFont="1" applyFill="1" applyAlignment="1">
      <alignment/>
    </xf>
    <xf numFmtId="0" fontId="4" fillId="0" borderId="0" xfId="0" applyFont="1" applyFill="1" applyAlignment="1">
      <alignment/>
    </xf>
    <xf numFmtId="173" fontId="107" fillId="0" borderId="0" xfId="50" applyNumberFormat="1" applyFont="1" applyFill="1" applyAlignment="1">
      <alignment/>
    </xf>
    <xf numFmtId="0" fontId="107" fillId="0" borderId="0" xfId="0" applyFont="1" applyFill="1" applyAlignment="1">
      <alignment horizontal="left"/>
    </xf>
    <xf numFmtId="173" fontId="112" fillId="0" borderId="0" xfId="50" applyNumberFormat="1" applyFont="1" applyAlignment="1">
      <alignment/>
    </xf>
    <xf numFmtId="173" fontId="4" fillId="33" borderId="14" xfId="78" applyNumberFormat="1" applyFont="1" applyFill="1" applyBorder="1">
      <alignment/>
      <protection/>
    </xf>
    <xf numFmtId="41" fontId="108" fillId="33" borderId="0" xfId="0" applyNumberFormat="1" applyFont="1" applyFill="1" applyBorder="1" applyAlignment="1">
      <alignment/>
    </xf>
    <xf numFmtId="173" fontId="4" fillId="33" borderId="0" xfId="78" applyNumberFormat="1" applyFont="1" applyFill="1" applyBorder="1">
      <alignment/>
      <protection/>
    </xf>
    <xf numFmtId="0" fontId="107" fillId="0" borderId="0" xfId="0" applyFont="1" applyAlignment="1">
      <alignment horizontal="left"/>
    </xf>
    <xf numFmtId="0" fontId="111"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6" fillId="0" borderId="0" xfId="0" applyFont="1" applyFill="1" applyAlignment="1">
      <alignment/>
    </xf>
    <xf numFmtId="173" fontId="4" fillId="0" borderId="19" xfId="50" applyNumberFormat="1" applyFont="1" applyFill="1" applyBorder="1" applyAlignment="1">
      <alignment/>
    </xf>
    <xf numFmtId="173" fontId="107" fillId="0" borderId="0" xfId="0" applyNumberFormat="1" applyFont="1" applyFill="1" applyAlignment="1">
      <alignment/>
    </xf>
    <xf numFmtId="173" fontId="2" fillId="0" borderId="0" xfId="50" applyNumberFormat="1" applyFont="1" applyFill="1" applyAlignment="1">
      <alignment/>
    </xf>
    <xf numFmtId="173" fontId="117" fillId="0" borderId="0" xfId="0" applyNumberFormat="1" applyFont="1" applyFill="1" applyAlignment="1">
      <alignment/>
    </xf>
    <xf numFmtId="0" fontId="7" fillId="0" borderId="0" xfId="0" applyFont="1" applyAlignment="1">
      <alignment horizontal="center"/>
    </xf>
    <xf numFmtId="173" fontId="112" fillId="0" borderId="0" xfId="50" applyNumberFormat="1" applyFont="1" applyAlignment="1">
      <alignment horizontal="center"/>
    </xf>
    <xf numFmtId="0" fontId="9" fillId="0" borderId="0" xfId="0" applyFont="1" applyAlignment="1">
      <alignment/>
    </xf>
    <xf numFmtId="173" fontId="107" fillId="0" borderId="0" xfId="50" applyNumberFormat="1" applyFont="1" applyBorder="1" applyAlignment="1">
      <alignment/>
    </xf>
    <xf numFmtId="0" fontId="107" fillId="0" borderId="0" xfId="0" applyFont="1" applyBorder="1" applyAlignment="1">
      <alignment horizontal="left"/>
    </xf>
    <xf numFmtId="173" fontId="107" fillId="0" borderId="0" xfId="50" applyNumberFormat="1" applyFont="1" applyBorder="1" applyAlignment="1">
      <alignment horizontal="center"/>
    </xf>
    <xf numFmtId="173" fontId="4" fillId="0" borderId="0" xfId="50" applyNumberFormat="1" applyFont="1" applyBorder="1" applyAlignment="1">
      <alignment/>
    </xf>
    <xf numFmtId="173" fontId="2" fillId="0" borderId="0" xfId="50" applyNumberFormat="1" applyFont="1" applyBorder="1" applyAlignment="1">
      <alignment/>
    </xf>
    <xf numFmtId="173" fontId="114" fillId="0" borderId="0" xfId="50" applyNumberFormat="1" applyFont="1" applyBorder="1" applyAlignment="1">
      <alignment/>
    </xf>
    <xf numFmtId="0" fontId="107" fillId="0" borderId="15" xfId="0" applyFont="1" applyFill="1" applyBorder="1" applyAlignment="1">
      <alignment/>
    </xf>
    <xf numFmtId="0" fontId="107" fillId="0" borderId="16" xfId="0" applyFont="1" applyFill="1" applyBorder="1" applyAlignment="1">
      <alignment/>
    </xf>
    <xf numFmtId="0" fontId="118" fillId="0" borderId="0" xfId="0" applyFont="1" applyFill="1" applyAlignment="1">
      <alignment/>
    </xf>
    <xf numFmtId="173" fontId="116" fillId="0" borderId="0" xfId="50" applyNumberFormat="1" applyFont="1" applyFill="1" applyAlignment="1">
      <alignment/>
    </xf>
    <xf numFmtId="173" fontId="8" fillId="0" borderId="0" xfId="50" applyNumberFormat="1" applyFont="1" applyFill="1" applyAlignment="1">
      <alignment/>
    </xf>
    <xf numFmtId="0" fontId="116" fillId="0" borderId="0" xfId="0" applyFont="1" applyFill="1" applyAlignment="1">
      <alignment/>
    </xf>
    <xf numFmtId="0" fontId="8" fillId="0" borderId="0" xfId="0" applyFont="1" applyFill="1" applyAlignment="1">
      <alignment/>
    </xf>
    <xf numFmtId="14" fontId="3" fillId="33" borderId="0" xfId="84" applyNumberFormat="1" applyFont="1" applyFill="1" applyBorder="1" applyAlignment="1">
      <alignment horizontal="center"/>
      <protection/>
    </xf>
    <xf numFmtId="175" fontId="2" fillId="33" borderId="12" xfId="53" applyNumberFormat="1" applyFont="1" applyFill="1" applyBorder="1" applyAlignment="1">
      <alignment/>
    </xf>
    <xf numFmtId="0" fontId="106" fillId="0" borderId="0" xfId="0" applyFont="1" applyAlignment="1">
      <alignment/>
    </xf>
    <xf numFmtId="43" fontId="107" fillId="0" borderId="0" xfId="50" applyFont="1" applyFill="1" applyAlignment="1">
      <alignment/>
    </xf>
    <xf numFmtId="173" fontId="4" fillId="0" borderId="0" xfId="50" applyNumberFormat="1" applyFont="1" applyFill="1" applyAlignment="1">
      <alignment/>
    </xf>
    <xf numFmtId="173" fontId="107" fillId="0" borderId="0" xfId="50" applyNumberFormat="1" applyFont="1" applyFill="1" applyAlignment="1">
      <alignment horizontal="center"/>
    </xf>
    <xf numFmtId="173" fontId="8" fillId="0" borderId="0" xfId="50" applyNumberFormat="1" applyFont="1" applyFill="1" applyAlignment="1">
      <alignment horizontal="left"/>
    </xf>
    <xf numFmtId="173" fontId="119" fillId="35" borderId="0" xfId="0" applyNumberFormat="1" applyFont="1" applyFill="1" applyAlignment="1">
      <alignment horizontal="center" vertical="center"/>
    </xf>
    <xf numFmtId="0" fontId="120" fillId="36" borderId="0" xfId="0" applyFont="1" applyFill="1" applyAlignment="1">
      <alignment vertical="center"/>
    </xf>
    <xf numFmtId="173" fontId="120" fillId="36" borderId="0" xfId="50" applyNumberFormat="1" applyFont="1" applyFill="1" applyBorder="1" applyAlignment="1">
      <alignment/>
    </xf>
    <xf numFmtId="173" fontId="120" fillId="36" borderId="0" xfId="50" applyNumberFormat="1" applyFont="1" applyFill="1" applyBorder="1" applyAlignment="1">
      <alignment vertical="center"/>
    </xf>
    <xf numFmtId="0" fontId="119" fillId="35" borderId="0" xfId="0" applyFont="1" applyFill="1" applyAlignment="1">
      <alignment horizontal="center" vertical="center"/>
    </xf>
    <xf numFmtId="0" fontId="121" fillId="35" borderId="0" xfId="0" applyFont="1" applyFill="1" applyAlignment="1">
      <alignment/>
    </xf>
    <xf numFmtId="0" fontId="108" fillId="33" borderId="10" xfId="0" applyFont="1" applyFill="1" applyBorder="1" applyAlignment="1">
      <alignment horizontal="center" vertical="center" wrapText="1"/>
    </xf>
    <xf numFmtId="9" fontId="107" fillId="33" borderId="18" xfId="141" applyFont="1" applyFill="1" applyBorder="1" applyAlignment="1">
      <alignment/>
    </xf>
    <xf numFmtId="0" fontId="3" fillId="37" borderId="10" xfId="65" applyFont="1" applyFill="1" applyBorder="1">
      <alignment/>
      <protection/>
    </xf>
    <xf numFmtId="175" fontId="3" fillId="37" borderId="10" xfId="58" applyNumberFormat="1" applyFont="1" applyFill="1" applyBorder="1" applyAlignment="1">
      <alignment/>
    </xf>
    <xf numFmtId="172" fontId="11" fillId="37" borderId="10" xfId="58" applyFont="1" applyFill="1" applyBorder="1" applyAlignment="1">
      <alignment/>
    </xf>
    <xf numFmtId="0" fontId="114" fillId="33" borderId="0" xfId="0" applyFont="1" applyFill="1" applyAlignment="1">
      <alignment/>
    </xf>
    <xf numFmtId="0" fontId="122" fillId="0" borderId="0" xfId="0" applyFont="1" applyFill="1" applyAlignment="1">
      <alignment/>
    </xf>
    <xf numFmtId="175" fontId="4" fillId="33" borderId="0" xfId="50" applyNumberFormat="1" applyFont="1" applyFill="1" applyBorder="1" applyAlignment="1">
      <alignment/>
    </xf>
    <xf numFmtId="0" fontId="108" fillId="0" borderId="0" xfId="0" applyFont="1" applyFill="1" applyAlignment="1">
      <alignment/>
    </xf>
    <xf numFmtId="0" fontId="4" fillId="0" borderId="0" xfId="0" applyFont="1" applyFill="1" applyAlignment="1">
      <alignment wrapText="1"/>
    </xf>
    <xf numFmtId="0" fontId="107" fillId="0" borderId="0" xfId="0" applyFont="1" applyAlignment="1">
      <alignment wrapText="1"/>
    </xf>
    <xf numFmtId="3" fontId="112" fillId="0" borderId="0" xfId="51" applyNumberFormat="1" applyFont="1" applyAlignment="1">
      <alignment/>
    </xf>
    <xf numFmtId="3" fontId="107" fillId="0" borderId="0" xfId="51" applyNumberFormat="1" applyFont="1" applyAlignment="1">
      <alignment/>
    </xf>
    <xf numFmtId="3" fontId="112" fillId="0" borderId="0" xfId="51" applyNumberFormat="1" applyFont="1" applyBorder="1" applyAlignment="1">
      <alignment/>
    </xf>
    <xf numFmtId="0" fontId="109" fillId="38" borderId="0" xfId="0" applyFont="1" applyFill="1" applyAlignment="1">
      <alignment vertical="center"/>
    </xf>
    <xf numFmtId="0" fontId="107" fillId="38" borderId="0" xfId="0" applyFont="1" applyFill="1" applyAlignment="1">
      <alignment/>
    </xf>
    <xf numFmtId="0" fontId="0" fillId="38" borderId="0" xfId="0" applyFill="1" applyAlignment="1">
      <alignment/>
    </xf>
    <xf numFmtId="174" fontId="107" fillId="33" borderId="19" xfId="50" applyNumberFormat="1" applyFont="1" applyFill="1" applyBorder="1" applyAlignment="1">
      <alignment/>
    </xf>
    <xf numFmtId="0" fontId="123" fillId="33" borderId="10" xfId="0" applyFont="1" applyFill="1" applyBorder="1" applyAlignment="1">
      <alignment/>
    </xf>
    <xf numFmtId="0" fontId="0" fillId="38" borderId="12" xfId="0" applyFill="1" applyBorder="1" applyAlignment="1">
      <alignment/>
    </xf>
    <xf numFmtId="0" fontId="106" fillId="38" borderId="12" xfId="0" applyFont="1" applyFill="1" applyBorder="1" applyAlignment="1">
      <alignment horizontal="center"/>
    </xf>
    <xf numFmtId="0" fontId="106" fillId="38" borderId="0" xfId="0" applyFont="1" applyFill="1" applyAlignment="1">
      <alignment/>
    </xf>
    <xf numFmtId="176" fontId="4" fillId="33" borderId="0" xfId="77" applyNumberFormat="1" applyFont="1" applyFill="1" applyBorder="1" applyAlignment="1" quotePrefix="1">
      <alignment horizontal="center"/>
      <protection/>
    </xf>
    <xf numFmtId="0" fontId="0" fillId="0" borderId="0" xfId="0" applyBorder="1" applyAlignment="1">
      <alignment/>
    </xf>
    <xf numFmtId="0" fontId="106" fillId="0" borderId="12" xfId="0" applyFont="1" applyBorder="1" applyAlignment="1">
      <alignment horizontal="center"/>
    </xf>
    <xf numFmtId="0" fontId="106" fillId="0" borderId="12" xfId="0" applyFont="1" applyBorder="1" applyAlignment="1">
      <alignment horizontal="center" vertical="center"/>
    </xf>
    <xf numFmtId="0" fontId="102" fillId="38" borderId="0" xfId="0" applyFont="1" applyFill="1" applyAlignment="1">
      <alignment/>
    </xf>
    <xf numFmtId="0" fontId="107" fillId="0" borderId="0" xfId="0" applyFont="1" applyAlignment="1">
      <alignment horizontal="left" vertical="top" wrapText="1"/>
    </xf>
    <xf numFmtId="0" fontId="107" fillId="0" borderId="0" xfId="0" applyFont="1" applyAlignment="1">
      <alignment vertical="justify" wrapText="1"/>
    </xf>
    <xf numFmtId="0" fontId="107" fillId="0" borderId="0" xfId="0" applyFont="1" applyFill="1" applyAlignment="1">
      <alignment vertical="justify" wrapText="1"/>
    </xf>
    <xf numFmtId="0" fontId="108" fillId="0" borderId="0" xfId="0" applyFont="1" applyAlignment="1">
      <alignment horizontal="left" vertical="top" wrapText="1"/>
    </xf>
    <xf numFmtId="0" fontId="108" fillId="0" borderId="0" xfId="0" applyFont="1" applyAlignment="1">
      <alignment vertical="top" wrapText="1"/>
    </xf>
    <xf numFmtId="0" fontId="107" fillId="38" borderId="0" xfId="0" applyFont="1" applyFill="1" applyAlignment="1">
      <alignment vertical="justify" wrapText="1"/>
    </xf>
    <xf numFmtId="0" fontId="107" fillId="38" borderId="0" xfId="0" applyFont="1" applyFill="1" applyAlignment="1">
      <alignment horizontal="left" vertical="top" wrapText="1"/>
    </xf>
    <xf numFmtId="0" fontId="107" fillId="38" borderId="0" xfId="0" applyFont="1" applyFill="1" applyAlignment="1">
      <alignment vertical="top" wrapText="1"/>
    </xf>
    <xf numFmtId="0" fontId="108" fillId="38" borderId="0" xfId="0" applyFont="1" applyFill="1" applyAlignment="1">
      <alignment vertical="top" wrapText="1"/>
    </xf>
    <xf numFmtId="0" fontId="108" fillId="38" borderId="0" xfId="0" applyFont="1" applyFill="1" applyAlignment="1">
      <alignment vertical="justify" wrapText="1"/>
    </xf>
    <xf numFmtId="0" fontId="108" fillId="38" borderId="0" xfId="0" applyFont="1" applyFill="1" applyAlignment="1">
      <alignment horizontal="center" vertical="center" wrapText="1"/>
    </xf>
    <xf numFmtId="0" fontId="96" fillId="0" borderId="0" xfId="47" applyAlignment="1">
      <alignment/>
    </xf>
    <xf numFmtId="0" fontId="96" fillId="38" borderId="0" xfId="47" applyFill="1" applyAlignment="1">
      <alignment/>
    </xf>
    <xf numFmtId="0" fontId="120" fillId="33" borderId="0" xfId="0" applyFont="1" applyFill="1" applyAlignment="1">
      <alignment horizontal="left" vertical="center"/>
    </xf>
    <xf numFmtId="0" fontId="102" fillId="0" borderId="0" xfId="0" applyFont="1" applyAlignment="1">
      <alignment/>
    </xf>
    <xf numFmtId="0" fontId="120" fillId="33" borderId="0" xfId="0" applyFont="1" applyFill="1" applyAlignment="1">
      <alignment vertical="center"/>
    </xf>
    <xf numFmtId="0" fontId="96" fillId="33" borderId="0" xfId="47" applyFill="1" applyAlignment="1">
      <alignment/>
    </xf>
    <xf numFmtId="0" fontId="106" fillId="33" borderId="0" xfId="0" applyFont="1" applyFill="1" applyAlignment="1">
      <alignment/>
    </xf>
    <xf numFmtId="0" fontId="109" fillId="38" borderId="0" xfId="0" applyFont="1" applyFill="1" applyBorder="1" applyAlignment="1">
      <alignment/>
    </xf>
    <xf numFmtId="175" fontId="109" fillId="38" borderId="0" xfId="54" applyNumberFormat="1" applyFont="1" applyFill="1" applyBorder="1" applyAlignment="1">
      <alignment/>
    </xf>
    <xf numFmtId="9" fontId="109" fillId="38" borderId="0" xfId="141" applyFont="1" applyFill="1" applyBorder="1" applyAlignment="1">
      <alignment/>
    </xf>
    <xf numFmtId="3" fontId="109" fillId="38" borderId="0" xfId="0" applyNumberFormat="1" applyFont="1" applyFill="1" applyBorder="1" applyAlignment="1">
      <alignment/>
    </xf>
    <xf numFmtId="0" fontId="124" fillId="38" borderId="0" xfId="0" applyFont="1" applyFill="1" applyBorder="1" applyAlignment="1">
      <alignment/>
    </xf>
    <xf numFmtId="41" fontId="109" fillId="38" borderId="20" xfId="51" applyFont="1" applyFill="1" applyBorder="1" applyAlignment="1">
      <alignment/>
    </xf>
    <xf numFmtId="0" fontId="0" fillId="33" borderId="0" xfId="0" applyFill="1" applyBorder="1" applyAlignment="1">
      <alignment/>
    </xf>
    <xf numFmtId="0" fontId="124" fillId="38" borderId="0" xfId="0" applyFont="1" applyFill="1" applyBorder="1" applyAlignment="1">
      <alignment vertical="center" wrapText="1"/>
    </xf>
    <xf numFmtId="0" fontId="0" fillId="36" borderId="0" xfId="0" applyFill="1" applyAlignment="1">
      <alignment/>
    </xf>
    <xf numFmtId="0" fontId="11" fillId="33" borderId="0" xfId="65" applyFont="1" applyFill="1" applyBorder="1">
      <alignment/>
      <protection/>
    </xf>
    <xf numFmtId="0" fontId="11" fillId="38" borderId="0" xfId="65" applyFont="1" applyFill="1" applyBorder="1">
      <alignment/>
      <protection/>
    </xf>
    <xf numFmtId="0" fontId="125" fillId="38" borderId="0" xfId="65" applyFont="1" applyFill="1" applyBorder="1">
      <alignment/>
      <protection/>
    </xf>
    <xf numFmtId="0" fontId="11" fillId="38" borderId="15" xfId="65" applyFont="1" applyFill="1" applyBorder="1">
      <alignment/>
      <protection/>
    </xf>
    <xf numFmtId="175" fontId="3" fillId="38" borderId="21" xfId="58" applyNumberFormat="1" applyFont="1" applyFill="1" applyBorder="1" applyAlignment="1">
      <alignment/>
    </xf>
    <xf numFmtId="175" fontId="3" fillId="38" borderId="15" xfId="58" applyNumberFormat="1" applyFont="1" applyFill="1" applyBorder="1" applyAlignment="1">
      <alignment/>
    </xf>
    <xf numFmtId="175" fontId="11" fillId="38" borderId="21" xfId="58" applyNumberFormat="1" applyFont="1" applyFill="1" applyBorder="1" applyAlignment="1">
      <alignment/>
    </xf>
    <xf numFmtId="175" fontId="11" fillId="38" borderId="16" xfId="58" applyNumberFormat="1" applyFont="1" applyFill="1" applyBorder="1" applyAlignment="1">
      <alignment/>
    </xf>
    <xf numFmtId="175" fontId="3" fillId="38" borderId="16" xfId="58" applyNumberFormat="1" applyFont="1" applyFill="1" applyBorder="1" applyAlignment="1">
      <alignment/>
    </xf>
    <xf numFmtId="172" fontId="11" fillId="38" borderId="21" xfId="58" applyFont="1" applyFill="1" applyBorder="1" applyAlignment="1">
      <alignment/>
    </xf>
    <xf numFmtId="175" fontId="11" fillId="38" borderId="0" xfId="65" applyNumberFormat="1" applyFont="1" applyFill="1" applyBorder="1">
      <alignment/>
      <protection/>
    </xf>
    <xf numFmtId="172" fontId="11" fillId="38" borderId="15" xfId="58" applyFont="1" applyFill="1" applyBorder="1" applyAlignment="1">
      <alignment horizontal="right"/>
    </xf>
    <xf numFmtId="175" fontId="11" fillId="38" borderId="21" xfId="58" applyNumberFormat="1" applyFont="1" applyFill="1" applyBorder="1" applyAlignment="1" quotePrefix="1">
      <alignment/>
    </xf>
    <xf numFmtId="0" fontId="107" fillId="0" borderId="0" xfId="0" applyFont="1" applyFill="1" applyAlignment="1">
      <alignment horizontal="left" vertical="justify" wrapText="1"/>
    </xf>
    <xf numFmtId="0" fontId="2" fillId="0" borderId="0" xfId="0" applyFont="1" applyFill="1" applyAlignment="1">
      <alignment horizontal="left" vertical="justify" wrapText="1"/>
    </xf>
    <xf numFmtId="0" fontId="0" fillId="38" borderId="0"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4" fillId="38" borderId="0" xfId="0" applyFont="1" applyFill="1" applyAlignment="1">
      <alignment/>
    </xf>
    <xf numFmtId="0" fontId="14" fillId="0" borderId="0" xfId="0" applyFont="1" applyAlignment="1">
      <alignmen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4" fillId="38" borderId="24" xfId="0" applyFont="1" applyFill="1" applyBorder="1" applyAlignment="1">
      <alignment vertical="top" wrapText="1"/>
    </xf>
    <xf numFmtId="0" fontId="14" fillId="38" borderId="25" xfId="0" applyFont="1" applyFill="1" applyBorder="1" applyAlignment="1">
      <alignment vertical="top"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8" xfId="0" applyFont="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1" xfId="0" applyFont="1" applyBorder="1" applyAlignment="1">
      <alignment vertical="center" wrapText="1"/>
    </xf>
    <xf numFmtId="0" fontId="61" fillId="0" borderId="32" xfId="0" applyFont="1" applyBorder="1" applyAlignment="1">
      <alignment vertical="center" wrapText="1"/>
    </xf>
    <xf numFmtId="0" fontId="61" fillId="38" borderId="0" xfId="0" applyFont="1" applyFill="1" applyAlignment="1">
      <alignment/>
    </xf>
    <xf numFmtId="0" fontId="61" fillId="0" borderId="0" xfId="0" applyFont="1" applyAlignment="1">
      <alignment/>
    </xf>
    <xf numFmtId="0" fontId="107" fillId="0" borderId="0" xfId="0" applyFont="1" applyFill="1" applyAlignment="1">
      <alignment horizontal="left" vertical="justify" wrapText="1"/>
    </xf>
    <xf numFmtId="0" fontId="110" fillId="0" borderId="0" xfId="0" applyFont="1" applyFill="1" applyAlignment="1">
      <alignment horizontal="left" vertical="justify" wrapText="1"/>
    </xf>
    <xf numFmtId="0" fontId="15" fillId="0" borderId="12" xfId="0" applyFont="1" applyFill="1" applyBorder="1" applyAlignment="1">
      <alignment horizontal="center" wrapText="1"/>
    </xf>
    <xf numFmtId="0" fontId="0" fillId="38" borderId="10" xfId="0" applyFill="1" applyBorder="1" applyAlignment="1">
      <alignment/>
    </xf>
    <xf numFmtId="0" fontId="110" fillId="35" borderId="0" xfId="0" applyFont="1" applyFill="1" applyAlignment="1">
      <alignment/>
    </xf>
    <xf numFmtId="0" fontId="107" fillId="33" borderId="0" xfId="0" applyFont="1" applyFill="1" applyAlignment="1">
      <alignment horizontal="center" vertical="center"/>
    </xf>
    <xf numFmtId="0" fontId="96" fillId="33" borderId="0" xfId="47" applyFill="1" applyAlignment="1">
      <alignment horizontal="center" vertical="center"/>
    </xf>
    <xf numFmtId="0" fontId="0" fillId="0" borderId="0" xfId="0" applyAlignment="1">
      <alignment/>
    </xf>
    <xf numFmtId="176" fontId="126" fillId="35" borderId="0" xfId="50" applyNumberFormat="1" applyFont="1" applyFill="1" applyAlignment="1">
      <alignment horizontal="center" vertical="center"/>
    </xf>
    <xf numFmtId="0" fontId="126" fillId="33" borderId="0" xfId="0" applyFont="1" applyFill="1" applyBorder="1" applyAlignment="1">
      <alignment horizontal="center" vertical="center"/>
    </xf>
    <xf numFmtId="0" fontId="127" fillId="33" borderId="0" xfId="0" applyFont="1" applyFill="1" applyAlignment="1">
      <alignment horizontal="center" vertical="center"/>
    </xf>
    <xf numFmtId="173" fontId="107" fillId="33" borderId="0" xfId="0" applyNumberFormat="1" applyFont="1" applyFill="1" applyAlignment="1">
      <alignment horizontal="center" vertical="center"/>
    </xf>
    <xf numFmtId="0" fontId="126"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10" fillId="33" borderId="0" xfId="0" applyFont="1" applyFill="1" applyAlignment="1">
      <alignment horizontal="center" vertical="center"/>
    </xf>
    <xf numFmtId="173" fontId="116" fillId="33" borderId="0" xfId="50" applyNumberFormat="1" applyFont="1" applyFill="1" applyAlignment="1">
      <alignment horizontal="center" vertical="center"/>
    </xf>
    <xf numFmtId="173" fontId="8" fillId="0" borderId="0" xfId="50" applyNumberFormat="1" applyFont="1" applyFill="1" applyAlignment="1">
      <alignment horizontal="center" vertical="center"/>
    </xf>
    <xf numFmtId="0" fontId="8" fillId="33" borderId="0" xfId="0" applyFont="1" applyFill="1" applyAlignment="1">
      <alignment horizontal="center" vertical="center"/>
    </xf>
    <xf numFmtId="0" fontId="116" fillId="33" borderId="0" xfId="0" applyFont="1" applyFill="1" applyAlignment="1">
      <alignment horizontal="center" vertical="center"/>
    </xf>
    <xf numFmtId="0" fontId="6" fillId="33" borderId="0" xfId="0" applyFont="1" applyFill="1" applyAlignment="1">
      <alignment horizontal="center" vertical="center"/>
    </xf>
    <xf numFmtId="43" fontId="111" fillId="33" borderId="0" xfId="50" applyFont="1" applyFill="1" applyAlignment="1">
      <alignment horizontal="center" vertical="center"/>
    </xf>
    <xf numFmtId="0" fontId="111" fillId="33" borderId="0" xfId="0" applyFont="1" applyFill="1" applyAlignment="1">
      <alignment horizontal="center" vertical="center"/>
    </xf>
    <xf numFmtId="176" fontId="128" fillId="33" borderId="0" xfId="50" applyNumberFormat="1" applyFont="1" applyFill="1" applyAlignment="1">
      <alignment horizontal="center"/>
    </xf>
    <xf numFmtId="176" fontId="128" fillId="33" borderId="0" xfId="50" applyNumberFormat="1" applyFont="1" applyFill="1" applyBorder="1" applyAlignment="1">
      <alignment horizontal="center"/>
    </xf>
    <xf numFmtId="0" fontId="96" fillId="0" borderId="0" xfId="47" applyAlignment="1">
      <alignment horizontal="center"/>
    </xf>
    <xf numFmtId="43" fontId="107" fillId="33" borderId="0" xfId="50" applyFont="1" applyFill="1" applyAlignment="1">
      <alignment horizontal="center" vertical="center"/>
    </xf>
    <xf numFmtId="173" fontId="107" fillId="33" borderId="0" xfId="50" applyNumberFormat="1" applyFont="1" applyFill="1" applyAlignment="1">
      <alignment horizontal="center" vertical="center"/>
    </xf>
    <xf numFmtId="173" fontId="4" fillId="33" borderId="0" xfId="50" applyNumberFormat="1" applyFont="1" applyFill="1" applyAlignment="1">
      <alignment horizontal="center" vertical="center"/>
    </xf>
    <xf numFmtId="0" fontId="112" fillId="0" borderId="0" xfId="0" applyFont="1" applyAlignment="1">
      <alignment horizontal="center"/>
    </xf>
    <xf numFmtId="0" fontId="11" fillId="0" borderId="33" xfId="0" applyFont="1" applyBorder="1" applyAlignment="1">
      <alignment vertical="center" wrapText="1"/>
    </xf>
    <xf numFmtId="0" fontId="11" fillId="0" borderId="34" xfId="0" applyFont="1" applyBorder="1" applyAlignment="1">
      <alignment vertical="center" wrapText="1"/>
    </xf>
    <xf numFmtId="0" fontId="3" fillId="0" borderId="35" xfId="0" applyFont="1" applyBorder="1" applyAlignment="1">
      <alignment vertical="center" wrapText="1"/>
    </xf>
    <xf numFmtId="0" fontId="0" fillId="33" borderId="0" xfId="0" applyFill="1" applyAlignment="1" quotePrefix="1">
      <alignment/>
    </xf>
    <xf numFmtId="0" fontId="120" fillId="33" borderId="0" xfId="0" applyFont="1" applyFill="1" applyBorder="1" applyAlignment="1">
      <alignment horizontal="left"/>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0" fillId="0" borderId="0" xfId="0" applyAlignment="1">
      <alignment/>
    </xf>
    <xf numFmtId="174" fontId="107" fillId="0" borderId="10" xfId="50" applyNumberFormat="1" applyFont="1" applyFill="1" applyBorder="1" applyAlignment="1">
      <alignment/>
    </xf>
    <xf numFmtId="0" fontId="2" fillId="38" borderId="0" xfId="0" applyFont="1" applyFill="1" applyAlignment="1">
      <alignment/>
    </xf>
    <xf numFmtId="0" fontId="107" fillId="33" borderId="10" xfId="0" applyFont="1" applyFill="1" applyBorder="1" applyAlignment="1">
      <alignment/>
    </xf>
    <xf numFmtId="0" fontId="107" fillId="33" borderId="10" xfId="0" applyFont="1" applyFill="1" applyBorder="1" applyAlignment="1">
      <alignment horizontal="center"/>
    </xf>
    <xf numFmtId="0" fontId="107" fillId="33" borderId="36" xfId="0" applyFont="1" applyFill="1" applyBorder="1" applyAlignment="1">
      <alignment/>
    </xf>
    <xf numFmtId="0" fontId="107" fillId="0" borderId="0" xfId="0" applyFont="1" applyAlignment="1">
      <alignment horizontal="left"/>
    </xf>
    <xf numFmtId="0" fontId="2" fillId="33" borderId="0" xfId="77" applyFont="1" applyFill="1" applyBorder="1" applyAlignment="1" quotePrefix="1">
      <alignment/>
      <protection/>
    </xf>
    <xf numFmtId="0" fontId="129" fillId="0" borderId="10" xfId="0" applyFont="1" applyBorder="1" applyAlignment="1">
      <alignment horizontal="center" vertical="center" wrapText="1"/>
    </xf>
    <xf numFmtId="0" fontId="120" fillId="0" borderId="0" xfId="0" applyFont="1" applyFill="1" applyAlignment="1">
      <alignment vertical="center"/>
    </xf>
    <xf numFmtId="0" fontId="120" fillId="38" borderId="0" xfId="0" applyFont="1" applyFill="1" applyBorder="1" applyAlignment="1">
      <alignment vertical="center"/>
    </xf>
    <xf numFmtId="41" fontId="0" fillId="33" borderId="20" xfId="51" applyFont="1" applyFill="1" applyBorder="1" applyAlignment="1">
      <alignment/>
    </xf>
    <xf numFmtId="41" fontId="0" fillId="38" borderId="20" xfId="51" applyFont="1" applyFill="1" applyBorder="1" applyAlignment="1">
      <alignment/>
    </xf>
    <xf numFmtId="0" fontId="130" fillId="33" borderId="0" xfId="0" applyFont="1" applyFill="1" applyAlignment="1">
      <alignment/>
    </xf>
    <xf numFmtId="41" fontId="107" fillId="0" borderId="20" xfId="51" applyFont="1" applyBorder="1" applyAlignment="1">
      <alignment vertical="top" wrapText="1"/>
    </xf>
    <xf numFmtId="41" fontId="0" fillId="0" borderId="20" xfId="51" applyFont="1" applyBorder="1" applyAlignment="1">
      <alignment/>
    </xf>
    <xf numFmtId="0" fontId="109" fillId="38" borderId="0" xfId="0" applyFont="1" applyFill="1" applyBorder="1" applyAlignment="1" quotePrefix="1">
      <alignment/>
    </xf>
    <xf numFmtId="0" fontId="91" fillId="0" borderId="0" xfId="0" applyFont="1" applyFill="1" applyAlignment="1">
      <alignment horizontal="center" vertical="center"/>
    </xf>
    <xf numFmtId="0" fontId="0" fillId="0" borderId="0" xfId="0" applyAlignment="1">
      <alignment/>
    </xf>
    <xf numFmtId="0" fontId="107" fillId="0" borderId="0" xfId="0" applyFont="1" applyFill="1" applyAlignment="1">
      <alignment horizontal="left" vertical="justify" wrapText="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07" fillId="34" borderId="0" xfId="0" applyFont="1" applyFill="1" applyAlignment="1">
      <alignment horizontal="left"/>
    </xf>
    <xf numFmtId="0" fontId="131" fillId="0" borderId="0" xfId="47"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6" xfId="0" applyFill="1" applyBorder="1" applyAlignment="1">
      <alignment/>
    </xf>
    <xf numFmtId="0" fontId="106" fillId="38" borderId="0" xfId="0" applyFont="1" applyFill="1" applyBorder="1" applyAlignment="1">
      <alignment/>
    </xf>
    <xf numFmtId="0" fontId="132" fillId="38" borderId="0" xfId="0" applyFont="1" applyFill="1" applyBorder="1" applyAlignment="1">
      <alignment/>
    </xf>
    <xf numFmtId="0" fontId="133" fillId="38" borderId="15" xfId="0" applyFont="1" applyFill="1" applyBorder="1" applyAlignment="1">
      <alignment/>
    </xf>
    <xf numFmtId="0" fontId="132" fillId="38" borderId="16" xfId="0" applyFont="1" applyFill="1" applyBorder="1" applyAlignment="1">
      <alignment/>
    </xf>
    <xf numFmtId="0" fontId="133" fillId="38" borderId="0" xfId="0" applyFont="1" applyFill="1" applyAlignment="1">
      <alignment/>
    </xf>
    <xf numFmtId="0" fontId="134" fillId="0" borderId="0" xfId="0" applyFont="1" applyAlignment="1">
      <alignment horizontal="justify" vertical="center"/>
    </xf>
    <xf numFmtId="0" fontId="120" fillId="35" borderId="0" xfId="0" applyFont="1" applyFill="1" applyAlignment="1">
      <alignment/>
    </xf>
    <xf numFmtId="0" fontId="120" fillId="0" borderId="0" xfId="0" applyFont="1" applyFill="1" applyAlignment="1">
      <alignment/>
    </xf>
    <xf numFmtId="0" fontId="134" fillId="0" borderId="0" xfId="0" applyFont="1" applyAlignment="1">
      <alignment vertical="center"/>
    </xf>
    <xf numFmtId="0" fontId="135" fillId="0" borderId="10" xfId="0" applyFont="1" applyBorder="1" applyAlignment="1">
      <alignment horizontal="justify" vertical="center" wrapText="1"/>
    </xf>
    <xf numFmtId="0" fontId="135" fillId="0" borderId="10" xfId="0" applyFont="1" applyBorder="1" applyAlignment="1">
      <alignment horizontal="center" vertical="center" wrapText="1"/>
    </xf>
    <xf numFmtId="0" fontId="135" fillId="0" borderId="10" xfId="0" applyFont="1" applyBorder="1" applyAlignment="1">
      <alignment horizontal="right" vertical="center" wrapText="1"/>
    </xf>
    <xf numFmtId="0" fontId="136" fillId="35" borderId="10" xfId="0" applyFont="1" applyFill="1" applyBorder="1" applyAlignment="1">
      <alignment horizontal="justify" vertical="center" wrapText="1"/>
    </xf>
    <xf numFmtId="0" fontId="137" fillId="35" borderId="10" xfId="0" applyFont="1" applyFill="1" applyBorder="1" applyAlignment="1">
      <alignment horizontal="right" vertical="center" wrapText="1"/>
    </xf>
    <xf numFmtId="0" fontId="137" fillId="35" borderId="10" xfId="0" applyFont="1" applyFill="1" applyBorder="1" applyAlignment="1">
      <alignment horizontal="center" vertical="center" wrapText="1"/>
    </xf>
    <xf numFmtId="0" fontId="135" fillId="38" borderId="0" xfId="0" applyFont="1" applyFill="1" applyAlignment="1">
      <alignment vertical="center" wrapText="1"/>
    </xf>
    <xf numFmtId="0" fontId="135" fillId="38" borderId="0" xfId="0" applyFont="1" applyFill="1" applyAlignment="1">
      <alignment vertical="center"/>
    </xf>
    <xf numFmtId="0" fontId="14" fillId="38" borderId="0" xfId="0" applyFont="1" applyFill="1" applyAlignment="1">
      <alignment vertical="center" wrapText="1"/>
    </xf>
    <xf numFmtId="0" fontId="61" fillId="33" borderId="0" xfId="0" applyFont="1" applyFill="1" applyAlignment="1">
      <alignment vertical="center" wrapText="1"/>
    </xf>
    <xf numFmtId="0" fontId="0" fillId="0" borderId="0" xfId="0" applyAlignment="1">
      <alignment/>
    </xf>
    <xf numFmtId="0" fontId="130" fillId="33" borderId="0" xfId="0" applyFont="1" applyFill="1" applyAlignment="1">
      <alignment horizontal="center"/>
    </xf>
    <xf numFmtId="0" fontId="0" fillId="38" borderId="36" xfId="0" applyFill="1" applyBorder="1" applyAlignment="1">
      <alignment horizontal="center" vertical="center" wrapText="1"/>
    </xf>
    <xf numFmtId="0" fontId="0" fillId="0" borderId="0" xfId="0" applyAlignment="1">
      <alignment/>
    </xf>
    <xf numFmtId="0" fontId="130" fillId="33" borderId="0" xfId="0" applyFont="1" applyFill="1" applyAlignment="1">
      <alignment horizontal="center"/>
    </xf>
    <xf numFmtId="0" fontId="120" fillId="36" borderId="0" xfId="0" applyFont="1" applyFill="1" applyAlignment="1">
      <alignment horizontal="center" vertical="center" wrapText="1"/>
    </xf>
    <xf numFmtId="0" fontId="108" fillId="38" borderId="0" xfId="0" applyFont="1" applyFill="1" applyAlignment="1">
      <alignment horizontal="center" vertical="center" wrapText="1"/>
    </xf>
    <xf numFmtId="0" fontId="106" fillId="38" borderId="0" xfId="0" applyFont="1" applyFill="1" applyAlignment="1">
      <alignment horizontal="center" vertical="center"/>
    </xf>
    <xf numFmtId="0" fontId="4" fillId="33" borderId="0" xfId="0" applyFont="1" applyFill="1" applyBorder="1" applyAlignment="1">
      <alignment vertical="center"/>
    </xf>
    <xf numFmtId="0" fontId="107" fillId="0" borderId="0" xfId="0" applyFont="1" applyBorder="1" applyAlignment="1">
      <alignment/>
    </xf>
    <xf numFmtId="175" fontId="2" fillId="33" borderId="0" xfId="50" applyNumberFormat="1" applyFont="1" applyFill="1" applyBorder="1" applyAlignment="1">
      <alignment/>
    </xf>
    <xf numFmtId="0" fontId="126" fillId="35" borderId="0" xfId="50" applyNumberFormat="1" applyFont="1" applyFill="1" applyAlignment="1">
      <alignment horizontal="center"/>
    </xf>
    <xf numFmtId="0" fontId="0" fillId="38" borderId="36" xfId="0" applyFill="1" applyBorder="1" applyAlignment="1">
      <alignment vertical="center" wrapText="1"/>
    </xf>
    <xf numFmtId="0" fontId="0" fillId="38" borderId="10" xfId="0" applyFill="1" applyBorder="1" applyAlignment="1">
      <alignment vertical="center" wrapText="1"/>
    </xf>
    <xf numFmtId="0" fontId="14" fillId="38" borderId="0" xfId="0" applyFont="1" applyFill="1" applyAlignment="1">
      <alignment horizontal="center"/>
    </xf>
    <xf numFmtId="0" fontId="138" fillId="38" borderId="0" xfId="0" applyFont="1" applyFill="1" applyAlignment="1">
      <alignment horizontal="center"/>
    </xf>
    <xf numFmtId="0" fontId="139" fillId="0" borderId="10" xfId="0" applyFont="1" applyBorder="1" applyAlignment="1">
      <alignment horizontal="center" vertical="center" wrapText="1"/>
    </xf>
    <xf numFmtId="0" fontId="0" fillId="0" borderId="0" xfId="0" applyAlignment="1">
      <alignment horizontal="center"/>
    </xf>
    <xf numFmtId="0" fontId="120" fillId="35" borderId="0" xfId="0" applyFont="1" applyFill="1" applyAlignment="1">
      <alignment vertical="center"/>
    </xf>
    <xf numFmtId="0" fontId="107" fillId="0" borderId="0" xfId="0" applyFont="1" applyAlignment="1">
      <alignment/>
    </xf>
    <xf numFmtId="0" fontId="4" fillId="33" borderId="12" xfId="77" applyFont="1" applyFill="1" applyBorder="1" applyAlignment="1">
      <alignment horizontal="center"/>
      <protection/>
    </xf>
    <xf numFmtId="0" fontId="140" fillId="33" borderId="0" xfId="0" applyFont="1" applyFill="1" applyAlignment="1">
      <alignment/>
    </xf>
    <xf numFmtId="0" fontId="2" fillId="33" borderId="0" xfId="77" applyFont="1" applyFill="1" applyAlignment="1">
      <alignment horizontal="center"/>
      <protection/>
    </xf>
    <xf numFmtId="0" fontId="111" fillId="0" borderId="0" xfId="0" applyFont="1" applyAlignment="1">
      <alignment horizontal="center" vertical="center"/>
    </xf>
    <xf numFmtId="0" fontId="107" fillId="0" borderId="37" xfId="0" applyFont="1" applyBorder="1" applyAlignment="1">
      <alignment/>
    </xf>
    <xf numFmtId="0" fontId="4" fillId="33" borderId="20" xfId="0" applyFont="1" applyFill="1" applyBorder="1" applyAlignment="1">
      <alignment horizontal="center" vertical="center"/>
    </xf>
    <xf numFmtId="0" fontId="4" fillId="33" borderId="15" xfId="0" applyFont="1" applyFill="1" applyBorder="1" applyAlignment="1">
      <alignment vertical="center"/>
    </xf>
    <xf numFmtId="0" fontId="107" fillId="0" borderId="15" xfId="0" applyFont="1" applyBorder="1" applyAlignment="1">
      <alignment/>
    </xf>
    <xf numFmtId="0" fontId="107" fillId="0" borderId="17" xfId="0" applyFont="1" applyBorder="1" applyAlignment="1">
      <alignment/>
    </xf>
    <xf numFmtId="0" fontId="108" fillId="0" borderId="36" xfId="0" applyFont="1" applyBorder="1" applyAlignment="1">
      <alignment horizontal="center" vertical="center"/>
    </xf>
    <xf numFmtId="0" fontId="108" fillId="0" borderId="21" xfId="0" applyFont="1" applyBorder="1" applyAlignment="1">
      <alignment horizontal="center" vertical="center"/>
    </xf>
    <xf numFmtId="0" fontId="96" fillId="0" borderId="21" xfId="47" applyBorder="1" applyAlignment="1">
      <alignment horizontal="center"/>
    </xf>
    <xf numFmtId="0" fontId="96" fillId="0" borderId="21" xfId="47" applyBorder="1" applyAlignment="1" quotePrefix="1">
      <alignment horizontal="center"/>
    </xf>
    <xf numFmtId="0" fontId="131" fillId="0" borderId="21" xfId="47" applyFont="1" applyBorder="1" applyAlignment="1" quotePrefix="1">
      <alignment horizontal="center"/>
    </xf>
    <xf numFmtId="1" fontId="126" fillId="35" borderId="0" xfId="50" applyNumberFormat="1" applyFont="1" applyFill="1" applyAlignment="1">
      <alignment horizontal="center"/>
    </xf>
    <xf numFmtId="173" fontId="96" fillId="0" borderId="0" xfId="47" applyNumberFormat="1" applyAlignment="1">
      <alignment horizontal="center" vertical="center"/>
    </xf>
    <xf numFmtId="0" fontId="141" fillId="35" borderId="0" xfId="0" applyFont="1" applyFill="1" applyAlignment="1">
      <alignment vertical="center"/>
    </xf>
    <xf numFmtId="0" fontId="91" fillId="36" borderId="0" xfId="0" applyFont="1" applyFill="1" applyAlignment="1">
      <alignment/>
    </xf>
    <xf numFmtId="0" fontId="142" fillId="0" borderId="0" xfId="0" applyFont="1" applyAlignment="1">
      <alignment/>
    </xf>
    <xf numFmtId="0" fontId="140"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6" fillId="38" borderId="12" xfId="0" applyFont="1" applyFill="1" applyBorder="1" applyAlignment="1">
      <alignment/>
    </xf>
    <xf numFmtId="0" fontId="0" fillId="0" borderId="0" xfId="0" applyAlignment="1">
      <alignment/>
    </xf>
    <xf numFmtId="0" fontId="132" fillId="38" borderId="0" xfId="0" applyFont="1" applyFill="1" applyAlignment="1">
      <alignment horizontal="center"/>
    </xf>
    <xf numFmtId="0" fontId="120" fillId="35" borderId="37" xfId="0" applyFont="1" applyFill="1" applyBorder="1" applyAlignment="1">
      <alignment vertical="center"/>
    </xf>
    <xf numFmtId="0" fontId="120" fillId="35" borderId="20" xfId="0" applyFont="1" applyFill="1" applyBorder="1" applyAlignment="1">
      <alignment vertical="center"/>
    </xf>
    <xf numFmtId="0" fontId="120" fillId="35" borderId="38" xfId="0" applyFont="1" applyFill="1" applyBorder="1" applyAlignment="1">
      <alignment vertical="center"/>
    </xf>
    <xf numFmtId="0" fontId="120" fillId="35" borderId="0" xfId="0" applyFont="1" applyFill="1" applyBorder="1" applyAlignment="1">
      <alignment vertical="center"/>
    </xf>
    <xf numFmtId="0" fontId="108" fillId="0" borderId="0" xfId="0" applyFont="1" applyBorder="1" applyAlignment="1">
      <alignment vertical="center"/>
    </xf>
    <xf numFmtId="0" fontId="0" fillId="0" borderId="0" xfId="0" applyAlignment="1">
      <alignment/>
    </xf>
    <xf numFmtId="0" fontId="120" fillId="35" borderId="0" xfId="0" applyFont="1" applyFill="1" applyAlignment="1">
      <alignment horizontal="center" vertical="center" wrapText="1"/>
    </xf>
    <xf numFmtId="0" fontId="120" fillId="35" borderId="0" xfId="0" applyFont="1" applyFill="1" applyBorder="1" applyAlignment="1">
      <alignment horizontal="left" vertical="center"/>
    </xf>
    <xf numFmtId="0" fontId="135" fillId="0" borderId="10" xfId="0" applyFont="1" applyBorder="1" applyAlignment="1">
      <alignment horizontal="justify" vertical="center" wrapText="1"/>
    </xf>
    <xf numFmtId="0" fontId="142" fillId="33" borderId="0" xfId="0" applyFont="1" applyFill="1" applyAlignment="1">
      <alignment/>
    </xf>
    <xf numFmtId="0" fontId="142" fillId="0" borderId="0" xfId="0" applyFont="1" applyBorder="1" applyAlignment="1">
      <alignment/>
    </xf>
    <xf numFmtId="3" fontId="107" fillId="0" borderId="0" xfId="51" applyNumberFormat="1" applyFont="1" applyFill="1" applyAlignment="1">
      <alignment horizontal="center"/>
    </xf>
    <xf numFmtId="3" fontId="107" fillId="0" borderId="0" xfId="50" applyNumberFormat="1" applyFont="1" applyFill="1" applyAlignment="1">
      <alignment horizontal="center"/>
    </xf>
    <xf numFmtId="3" fontId="107" fillId="0" borderId="0" xfId="0" applyNumberFormat="1" applyFont="1" applyFill="1" applyAlignment="1">
      <alignment horizontal="center"/>
    </xf>
    <xf numFmtId="3" fontId="4" fillId="0" borderId="0" xfId="0" applyNumberFormat="1" applyFont="1" applyFill="1" applyAlignment="1">
      <alignment horizontal="center"/>
    </xf>
    <xf numFmtId="3" fontId="108" fillId="0" borderId="0" xfId="50" applyNumberFormat="1" applyFont="1" applyFill="1" applyAlignment="1">
      <alignment horizontal="center"/>
    </xf>
    <xf numFmtId="3" fontId="4" fillId="0" borderId="0" xfId="50" applyNumberFormat="1" applyFont="1" applyFill="1" applyBorder="1" applyAlignment="1">
      <alignment horizontal="center"/>
    </xf>
    <xf numFmtId="3" fontId="4" fillId="0" borderId="0" xfId="50" applyNumberFormat="1" applyFont="1" applyFill="1" applyAlignment="1">
      <alignment horizontal="center"/>
    </xf>
    <xf numFmtId="0" fontId="14"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3" fillId="0" borderId="39" xfId="0" applyFont="1" applyBorder="1" applyAlignment="1">
      <alignment vertical="center" wrapText="1"/>
    </xf>
    <xf numFmtId="9" fontId="143" fillId="38" borderId="0" xfId="141" applyFont="1" applyFill="1" applyBorder="1" applyAlignment="1">
      <alignment/>
    </xf>
    <xf numFmtId="41" fontId="109" fillId="38" borderId="20" xfId="51" applyFont="1" applyFill="1" applyBorder="1" applyAlignment="1">
      <alignment horizontal="center"/>
    </xf>
    <xf numFmtId="175" fontId="109" fillId="38" borderId="0" xfId="54" applyNumberFormat="1" applyFont="1" applyFill="1" applyBorder="1" applyAlignment="1">
      <alignment horizontal="center"/>
    </xf>
    <xf numFmtId="0" fontId="143" fillId="38" borderId="0" xfId="0" applyFont="1" applyFill="1" applyBorder="1" applyAlignment="1">
      <alignment/>
    </xf>
    <xf numFmtId="0" fontId="144" fillId="38" borderId="0" xfId="0" applyFont="1" applyFill="1" applyBorder="1" applyAlignment="1">
      <alignment/>
    </xf>
    <xf numFmtId="0" fontId="102" fillId="38" borderId="0" xfId="0" applyFont="1" applyFill="1" applyAlignment="1">
      <alignment wrapText="1"/>
    </xf>
    <xf numFmtId="0" fontId="61" fillId="38" borderId="0" xfId="0" applyFont="1" applyFill="1" applyAlignment="1">
      <alignment wrapText="1"/>
    </xf>
    <xf numFmtId="0" fontId="14" fillId="38" borderId="0" xfId="0" applyFont="1" applyFill="1" applyAlignment="1">
      <alignment horizontal="center" wrapText="1"/>
    </xf>
    <xf numFmtId="3" fontId="14" fillId="38" borderId="0" xfId="0" applyNumberFormat="1" applyFont="1" applyFill="1" applyAlignment="1">
      <alignment horizontal="center"/>
    </xf>
    <xf numFmtId="0" fontId="15" fillId="38" borderId="0" xfId="0" applyFont="1" applyFill="1" applyAlignment="1">
      <alignment wrapText="1"/>
    </xf>
    <xf numFmtId="0" fontId="15" fillId="38" borderId="0" xfId="0" applyFont="1" applyFill="1" applyAlignment="1">
      <alignment horizontal="center" wrapText="1"/>
    </xf>
    <xf numFmtId="0" fontId="9" fillId="0" borderId="0" xfId="0" applyFont="1" applyAlignment="1">
      <alignment/>
    </xf>
    <xf numFmtId="0" fontId="141" fillId="0" borderId="0" xfId="0" applyFont="1" applyFill="1" applyAlignment="1">
      <alignment/>
    </xf>
    <xf numFmtId="0" fontId="145" fillId="0" borderId="0" xfId="0" applyFont="1" applyAlignment="1">
      <alignment/>
    </xf>
    <xf numFmtId="0" fontId="107" fillId="33" borderId="40" xfId="0" applyFont="1" applyFill="1" applyBorder="1" applyAlignment="1">
      <alignment/>
    </xf>
    <xf numFmtId="0" fontId="108" fillId="33" borderId="37" xfId="0" applyFont="1" applyFill="1" applyBorder="1" applyAlignment="1">
      <alignment vertical="center"/>
    </xf>
    <xf numFmtId="0" fontId="108" fillId="33" borderId="11" xfId="0" applyFont="1" applyFill="1" applyBorder="1" applyAlignment="1">
      <alignment vertical="center"/>
    </xf>
    <xf numFmtId="14" fontId="108" fillId="33" borderId="40" xfId="0" applyNumberFormat="1" applyFont="1" applyFill="1" applyBorder="1" applyAlignment="1">
      <alignment vertical="center"/>
    </xf>
    <xf numFmtId="0" fontId="107" fillId="33" borderId="20" xfId="0" applyFont="1" applyFill="1" applyBorder="1" applyAlignment="1">
      <alignment/>
    </xf>
    <xf numFmtId="0" fontId="107" fillId="0" borderId="0" xfId="0" applyFont="1" applyFill="1" applyBorder="1" applyAlignment="1">
      <alignment/>
    </xf>
    <xf numFmtId="0" fontId="107" fillId="0" borderId="10" xfId="0" applyFont="1" applyFill="1" applyBorder="1" applyAlignment="1">
      <alignment horizontal="center"/>
    </xf>
    <xf numFmtId="174" fontId="107" fillId="0" borderId="41" xfId="50" applyNumberFormat="1" applyFont="1" applyFill="1" applyBorder="1" applyAlignment="1">
      <alignment/>
    </xf>
    <xf numFmtId="174" fontId="107" fillId="33" borderId="40" xfId="50" applyNumberFormat="1" applyFont="1" applyFill="1" applyBorder="1" applyAlignment="1">
      <alignment/>
    </xf>
    <xf numFmtId="0" fontId="107" fillId="33" borderId="10" xfId="0" applyFont="1" applyFill="1" applyBorder="1" applyAlignment="1">
      <alignment wrapText="1"/>
    </xf>
    <xf numFmtId="174" fontId="107" fillId="33" borderId="18" xfId="5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74" fontId="107" fillId="33" borderId="11" xfId="50" applyNumberFormat="1" applyFont="1" applyFill="1" applyBorder="1" applyAlignment="1">
      <alignment vertical="center"/>
    </xf>
    <xf numFmtId="9" fontId="107" fillId="0" borderId="18" xfId="141" applyFont="1" applyFill="1" applyBorder="1" applyAlignment="1">
      <alignment horizontal="center"/>
    </xf>
    <xf numFmtId="9" fontId="107" fillId="0" borderId="40" xfId="141" applyFont="1" applyFill="1" applyBorder="1" applyAlignment="1">
      <alignment horizontal="center"/>
    </xf>
    <xf numFmtId="0" fontId="140" fillId="33" borderId="11" xfId="0" applyFont="1" applyFill="1" applyBorder="1" applyAlignment="1">
      <alignment/>
    </xf>
    <xf numFmtId="0" fontId="108" fillId="33" borderId="0" xfId="0" applyFont="1" applyFill="1" applyBorder="1" applyAlignment="1">
      <alignment vertical="center"/>
    </xf>
    <xf numFmtId="0" fontId="120" fillId="0" borderId="0" xfId="0" applyFont="1" applyFill="1" applyBorder="1" applyAlignment="1">
      <alignment vertical="center"/>
    </xf>
    <xf numFmtId="0" fontId="120" fillId="35" borderId="10" xfId="0" applyFont="1" applyFill="1" applyBorder="1" applyAlignment="1">
      <alignment horizontal="center" vertical="center"/>
    </xf>
    <xf numFmtId="0" fontId="0" fillId="0" borderId="0" xfId="0" applyAlignment="1">
      <alignment/>
    </xf>
    <xf numFmtId="0" fontId="120" fillId="35" borderId="12" xfId="77" applyNumberFormat="1" applyFont="1" applyFill="1" applyBorder="1" applyAlignment="1" quotePrefix="1">
      <alignment horizontal="center"/>
      <protection/>
    </xf>
    <xf numFmtId="0" fontId="120" fillId="35" borderId="0" xfId="0" applyFont="1" applyFill="1" applyBorder="1" applyAlignment="1">
      <alignment horizontal="center" vertical="center"/>
    </xf>
    <xf numFmtId="0" fontId="132" fillId="33" borderId="0" xfId="0" applyFont="1" applyFill="1" applyAlignment="1">
      <alignment/>
    </xf>
    <xf numFmtId="0" fontId="91" fillId="35" borderId="0" xfId="0" applyFont="1" applyFill="1" applyAlignment="1">
      <alignment horizontal="center"/>
    </xf>
    <xf numFmtId="0" fontId="91" fillId="35" borderId="0" xfId="0" applyFont="1" applyFill="1" applyAlignment="1">
      <alignment horizontal="center" vertical="center"/>
    </xf>
    <xf numFmtId="0" fontId="91" fillId="35" borderId="0" xfId="0" applyFont="1" applyFill="1" applyAlignment="1">
      <alignment vertical="center"/>
    </xf>
    <xf numFmtId="0" fontId="132" fillId="38" borderId="11" xfId="0" applyFont="1" applyFill="1" applyBorder="1" applyAlignment="1">
      <alignment/>
    </xf>
    <xf numFmtId="0" fontId="132" fillId="38" borderId="40" xfId="0" applyFont="1" applyFill="1" applyBorder="1" applyAlignment="1">
      <alignment/>
    </xf>
    <xf numFmtId="0" fontId="120" fillId="35" borderId="12" xfId="77" applyNumberFormat="1" applyFont="1" applyFill="1" applyBorder="1" applyAlignment="1" quotePrefix="1">
      <alignment horizontal="right"/>
      <protection/>
    </xf>
    <xf numFmtId="0" fontId="146" fillId="39" borderId="42" xfId="65" applyFont="1" applyFill="1" applyBorder="1" applyAlignment="1">
      <alignment vertical="center"/>
      <protection/>
    </xf>
    <xf numFmtId="0" fontId="11" fillId="39" borderId="42" xfId="65" applyFont="1" applyFill="1" applyBorder="1" applyAlignment="1">
      <alignment vertical="center"/>
      <protection/>
    </xf>
    <xf numFmtId="0" fontId="146" fillId="40" borderId="43" xfId="65" applyFont="1" applyFill="1" applyBorder="1" applyAlignment="1">
      <alignment horizontal="center" vertical="center" wrapText="1"/>
      <protection/>
    </xf>
    <xf numFmtId="0" fontId="146" fillId="40" borderId="44" xfId="65" applyFont="1" applyFill="1" applyBorder="1" applyAlignment="1">
      <alignment horizontal="center" vertical="center" wrapText="1"/>
      <protection/>
    </xf>
    <xf numFmtId="0" fontId="146" fillId="40" borderId="45" xfId="65" applyFont="1" applyFill="1" applyBorder="1" applyAlignment="1">
      <alignment horizontal="center" vertical="center"/>
      <protection/>
    </xf>
    <xf numFmtId="0" fontId="146" fillId="40" borderId="46" xfId="65" applyFont="1" applyFill="1" applyBorder="1" applyAlignment="1">
      <alignment vertical="center"/>
      <protection/>
    </xf>
    <xf numFmtId="0" fontId="146" fillId="40" borderId="46" xfId="65" applyFont="1" applyFill="1" applyBorder="1" applyAlignment="1">
      <alignment vertical="center" wrapText="1"/>
      <protection/>
    </xf>
    <xf numFmtId="0" fontId="146" fillId="40" borderId="47" xfId="65" applyFont="1" applyFill="1" applyBorder="1" applyAlignment="1">
      <alignment horizontal="center" vertical="center" wrapText="1"/>
      <protection/>
    </xf>
    <xf numFmtId="0" fontId="120" fillId="35" borderId="48" xfId="77" applyNumberFormat="1" applyFont="1" applyFill="1" applyBorder="1" applyAlignment="1" quotePrefix="1">
      <alignment horizontal="center"/>
      <protection/>
    </xf>
    <xf numFmtId="0" fontId="120" fillId="35" borderId="49" xfId="77" applyNumberFormat="1" applyFont="1" applyFill="1" applyBorder="1" applyAlignment="1" quotePrefix="1">
      <alignment horizontal="center"/>
      <protection/>
    </xf>
    <xf numFmtId="0" fontId="120" fillId="35" borderId="12" xfId="77" applyFont="1" applyFill="1" applyBorder="1" applyAlignment="1">
      <alignment horizontal="center"/>
      <protection/>
    </xf>
    <xf numFmtId="0" fontId="91" fillId="35" borderId="12" xfId="0" applyFont="1" applyFill="1" applyBorder="1" applyAlignment="1">
      <alignment horizontal="center" vertical="center"/>
    </xf>
    <xf numFmtId="0" fontId="91" fillId="35" borderId="0" xfId="0" applyFont="1" applyFill="1" applyAlignment="1">
      <alignment/>
    </xf>
    <xf numFmtId="0" fontId="120" fillId="0" borderId="0" xfId="0" applyFont="1" applyFill="1" applyAlignment="1">
      <alignment vertical="center" wrapText="1"/>
    </xf>
    <xf numFmtId="0" fontId="147" fillId="35" borderId="50" xfId="0" applyFont="1" applyFill="1" applyBorder="1" applyAlignment="1">
      <alignment horizontal="center" vertical="center" wrapText="1"/>
    </xf>
    <xf numFmtId="0" fontId="91" fillId="35" borderId="51" xfId="0" applyFont="1" applyFill="1" applyBorder="1" applyAlignment="1">
      <alignment/>
    </xf>
    <xf numFmtId="0" fontId="147" fillId="35" borderId="52" xfId="0" applyFont="1" applyFill="1" applyBorder="1" applyAlignment="1">
      <alignment horizontal="center" vertical="center" wrapText="1"/>
    </xf>
    <xf numFmtId="0" fontId="147" fillId="35" borderId="53" xfId="0" applyFont="1" applyFill="1" applyBorder="1" applyAlignment="1">
      <alignment vertical="center" wrapText="1"/>
    </xf>
    <xf numFmtId="0" fontId="147" fillId="35" borderId="52" xfId="0" applyFont="1" applyFill="1" applyBorder="1" applyAlignment="1">
      <alignment vertical="center" wrapText="1"/>
    </xf>
    <xf numFmtId="0" fontId="91" fillId="35" borderId="54" xfId="0" applyFont="1" applyFill="1" applyBorder="1" applyAlignment="1">
      <alignment/>
    </xf>
    <xf numFmtId="0" fontId="124" fillId="38" borderId="0" xfId="0" applyFont="1" applyFill="1" applyBorder="1" applyAlignment="1">
      <alignment horizontal="center"/>
    </xf>
    <xf numFmtId="0" fontId="120" fillId="35" borderId="0" xfId="0" applyFont="1" applyFill="1" applyBorder="1" applyAlignment="1">
      <alignment/>
    </xf>
    <xf numFmtId="9" fontId="144" fillId="38" borderId="0" xfId="141" applyFont="1" applyFill="1" applyBorder="1" applyAlignment="1">
      <alignment/>
    </xf>
    <xf numFmtId="0" fontId="14" fillId="38" borderId="55" xfId="0" applyFont="1" applyFill="1" applyBorder="1" applyAlignment="1">
      <alignment/>
    </xf>
    <xf numFmtId="0" fontId="4" fillId="0" borderId="0" xfId="0" applyFont="1" applyFill="1" applyAlignment="1">
      <alignment/>
    </xf>
    <xf numFmtId="173" fontId="126" fillId="35" borderId="0" xfId="50" applyNumberFormat="1" applyFont="1" applyFill="1" applyBorder="1" applyAlignment="1">
      <alignment/>
    </xf>
    <xf numFmtId="173" fontId="126" fillId="35" borderId="20" xfId="50" applyNumberFormat="1" applyFont="1" applyFill="1" applyBorder="1" applyAlignment="1">
      <alignment/>
    </xf>
    <xf numFmtId="173" fontId="120" fillId="35" borderId="0" xfId="50" applyNumberFormat="1" applyFont="1" applyFill="1" applyBorder="1" applyAlignment="1">
      <alignment/>
    </xf>
    <xf numFmtId="0" fontId="141" fillId="35" borderId="0" xfId="0" applyFont="1" applyFill="1" applyAlignment="1">
      <alignment/>
    </xf>
    <xf numFmtId="0" fontId="107" fillId="0" borderId="0" xfId="0" applyFont="1" applyFill="1" applyAlignment="1">
      <alignment horizontal="center"/>
    </xf>
    <xf numFmtId="0" fontId="96" fillId="0" borderId="0" xfId="47" applyAlignment="1">
      <alignment horizontal="right"/>
    </xf>
    <xf numFmtId="0" fontId="0" fillId="41" borderId="0" xfId="0" applyFont="1" applyFill="1" applyBorder="1" applyAlignment="1">
      <alignment/>
    </xf>
    <xf numFmtId="0" fontId="0" fillId="41" borderId="21" xfId="0" applyFont="1" applyFill="1" applyBorder="1" applyAlignment="1">
      <alignment/>
    </xf>
    <xf numFmtId="0" fontId="14" fillId="41" borderId="0" xfId="0" applyFont="1" applyFill="1" applyBorder="1" applyAlignment="1">
      <alignment/>
    </xf>
    <xf numFmtId="0" fontId="130" fillId="41" borderId="0" xfId="0" applyFont="1" applyFill="1" applyBorder="1" applyAlignment="1">
      <alignment/>
    </xf>
    <xf numFmtId="0" fontId="148" fillId="42" borderId="0" xfId="0" applyFont="1" applyFill="1" applyBorder="1" applyAlignment="1">
      <alignment/>
    </xf>
    <xf numFmtId="0" fontId="148" fillId="39" borderId="0" xfId="0" applyFont="1" applyFill="1" applyBorder="1" applyAlignment="1">
      <alignment/>
    </xf>
    <xf numFmtId="0" fontId="96" fillId="0" borderId="0" xfId="47" applyAlignment="1">
      <alignment horizontal="center" vertical="center"/>
    </xf>
    <xf numFmtId="0" fontId="96" fillId="0" borderId="41" xfId="47" applyBorder="1" applyAlignment="1">
      <alignment horizontal="center" vertical="center"/>
    </xf>
    <xf numFmtId="14" fontId="113" fillId="36" borderId="0" xfId="0" applyNumberFormat="1" applyFont="1" applyFill="1" applyAlignment="1">
      <alignment/>
    </xf>
    <xf numFmtId="0" fontId="113" fillId="36" borderId="0" xfId="0" applyFont="1" applyFill="1" applyAlignment="1">
      <alignment/>
    </xf>
    <xf numFmtId="0" fontId="108" fillId="0" borderId="0" xfId="0" applyFont="1" applyAlignment="1">
      <alignment horizontal="right"/>
    </xf>
    <xf numFmtId="0" fontId="107" fillId="0" borderId="12" xfId="0" applyFont="1" applyBorder="1" applyAlignment="1">
      <alignment/>
    </xf>
    <xf numFmtId="0" fontId="0" fillId="0" borderId="0" xfId="0" applyAlignment="1">
      <alignment/>
    </xf>
    <xf numFmtId="0" fontId="0" fillId="0" borderId="0" xfId="0"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49" fillId="0" borderId="0" xfId="0" applyFont="1" applyAlignment="1">
      <alignment/>
    </xf>
    <xf numFmtId="0" fontId="21" fillId="0" borderId="56" xfId="0" applyFont="1" applyBorder="1" applyAlignment="1">
      <alignment horizontal="centerContinuous"/>
    </xf>
    <xf numFmtId="0" fontId="21" fillId="0" borderId="57" xfId="0" applyFont="1" applyBorder="1" applyAlignment="1">
      <alignment horizontal="centerContinuous"/>
    </xf>
    <xf numFmtId="0" fontId="2" fillId="0" borderId="57" xfId="0" applyFont="1" applyBorder="1" applyAlignment="1">
      <alignment horizontal="centerContinuous"/>
    </xf>
    <xf numFmtId="0" fontId="2" fillId="0" borderId="58" xfId="0" applyFont="1" applyBorder="1" applyAlignment="1">
      <alignment horizontal="centerContinuous"/>
    </xf>
    <xf numFmtId="3" fontId="0" fillId="0" borderId="0" xfId="0" applyNumberFormat="1" applyAlignment="1">
      <alignment/>
    </xf>
    <xf numFmtId="0" fontId="21" fillId="0" borderId="59" xfId="0" applyFont="1" applyBorder="1" applyAlignment="1">
      <alignment horizontal="centerContinuous"/>
    </xf>
    <xf numFmtId="0" fontId="21" fillId="0" borderId="0" xfId="0" applyFont="1" applyBorder="1" applyAlignment="1">
      <alignment horizontal="centerContinuous"/>
    </xf>
    <xf numFmtId="0" fontId="2" fillId="0" borderId="0" xfId="0" applyFont="1" applyBorder="1" applyAlignment="1">
      <alignment horizontal="centerContinuous"/>
    </xf>
    <xf numFmtId="0" fontId="2" fillId="0" borderId="60" xfId="0" applyFont="1" applyBorder="1" applyAlignment="1">
      <alignment horizontal="centerContinuous"/>
    </xf>
    <xf numFmtId="0" fontId="8" fillId="0" borderId="59" xfId="0" applyFont="1" applyFill="1" applyBorder="1" applyAlignment="1">
      <alignment horizontal="centerContinuous"/>
    </xf>
    <xf numFmtId="0" fontId="21" fillId="0" borderId="0" xfId="0" applyFont="1" applyFill="1" applyBorder="1" applyAlignment="1">
      <alignment horizontal="centerContinuous"/>
    </xf>
    <xf numFmtId="0" fontId="22" fillId="0" borderId="0" xfId="0" applyFont="1" applyFill="1" applyBorder="1" applyAlignment="1">
      <alignment horizontal="centerContinuous"/>
    </xf>
    <xf numFmtId="0" fontId="2" fillId="0" borderId="60" xfId="0" applyFont="1" applyFill="1" applyBorder="1" applyAlignment="1">
      <alignment horizontal="centerContinuous"/>
    </xf>
    <xf numFmtId="0" fontId="2" fillId="0" borderId="59" xfId="0" applyFont="1" applyFill="1" applyBorder="1" applyAlignment="1">
      <alignment/>
    </xf>
    <xf numFmtId="0" fontId="2" fillId="0" borderId="0" xfId="0" applyFont="1" applyFill="1" applyBorder="1" applyAlignment="1">
      <alignment/>
    </xf>
    <xf numFmtId="0" fontId="2" fillId="0" borderId="60" xfId="0" applyFont="1" applyFill="1" applyBorder="1" applyAlignment="1">
      <alignment/>
    </xf>
    <xf numFmtId="3" fontId="7" fillId="0" borderId="0" xfId="0" applyNumberFormat="1" applyFont="1" applyAlignment="1">
      <alignment/>
    </xf>
    <xf numFmtId="0" fontId="7" fillId="0" borderId="59" xfId="0" applyFont="1" applyFill="1" applyBorder="1" applyAlignment="1">
      <alignment/>
    </xf>
    <xf numFmtId="0" fontId="7" fillId="0" borderId="0" xfId="0" applyFont="1" applyFill="1" applyBorder="1" applyAlignment="1">
      <alignment/>
    </xf>
    <xf numFmtId="0" fontId="7" fillId="0" borderId="60" xfId="0" applyFont="1" applyFill="1" applyBorder="1" applyAlignment="1">
      <alignment/>
    </xf>
    <xf numFmtId="0" fontId="7" fillId="0" borderId="61" xfId="0" applyFont="1" applyFill="1" applyBorder="1" applyAlignment="1">
      <alignment/>
    </xf>
    <xf numFmtId="0" fontId="7" fillId="0" borderId="12" xfId="0" applyFont="1" applyFill="1" applyBorder="1" applyAlignment="1">
      <alignment/>
    </xf>
    <xf numFmtId="0" fontId="7" fillId="0" borderId="62" xfId="0" applyFont="1" applyFill="1" applyBorder="1" applyAlignment="1">
      <alignment/>
    </xf>
    <xf numFmtId="0" fontId="7" fillId="0" borderId="59" xfId="0" applyFont="1" applyFill="1" applyBorder="1" applyAlignment="1">
      <alignment horizontal="justify" vertical="top"/>
    </xf>
    <xf numFmtId="0" fontId="7" fillId="0" borderId="0" xfId="0" applyFont="1" applyFill="1" applyBorder="1" applyAlignment="1">
      <alignment horizontal="justify" vertical="top"/>
    </xf>
    <xf numFmtId="0" fontId="7" fillId="0" borderId="60" xfId="0" applyFont="1" applyFill="1" applyBorder="1" applyAlignment="1">
      <alignment horizontal="justify" vertical="top"/>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center"/>
    </xf>
    <xf numFmtId="0" fontId="7" fillId="0" borderId="62" xfId="0" applyFont="1" applyFill="1" applyBorder="1" applyAlignment="1">
      <alignment horizontal="center"/>
    </xf>
    <xf numFmtId="3" fontId="7" fillId="0" borderId="59" xfId="0" applyNumberFormat="1" applyFont="1" applyFill="1" applyBorder="1" applyAlignment="1">
      <alignment horizontal="center"/>
    </xf>
    <xf numFmtId="185" fontId="7" fillId="0" borderId="0" xfId="51" applyNumberFormat="1" applyFont="1" applyBorder="1" applyAlignment="1">
      <alignment horizontal="center"/>
    </xf>
    <xf numFmtId="3" fontId="7" fillId="0" borderId="0" xfId="0" applyNumberFormat="1" applyFont="1" applyFill="1" applyBorder="1" applyAlignment="1">
      <alignment/>
    </xf>
    <xf numFmtId="3" fontId="7" fillId="0" borderId="60" xfId="0" applyNumberFormat="1" applyFont="1" applyFill="1" applyBorder="1" applyAlignment="1">
      <alignment horizontal="center"/>
    </xf>
    <xf numFmtId="3" fontId="9" fillId="0" borderId="59" xfId="0" applyNumberFormat="1" applyFont="1" applyFill="1" applyBorder="1" applyAlignment="1">
      <alignment horizontal="center"/>
    </xf>
    <xf numFmtId="185" fontId="9" fillId="0" borderId="0" xfId="51" applyNumberFormat="1" applyFont="1" applyBorder="1" applyAlignment="1">
      <alignment horizontal="center"/>
    </xf>
    <xf numFmtId="3" fontId="23" fillId="0" borderId="0" xfId="0" applyNumberFormat="1" applyFont="1" applyFill="1" applyBorder="1" applyAlignment="1">
      <alignment/>
    </xf>
    <xf numFmtId="3" fontId="23" fillId="0" borderId="60" xfId="0" applyNumberFormat="1" applyFont="1" applyFill="1" applyBorder="1" applyAlignment="1">
      <alignment horizontal="center"/>
    </xf>
    <xf numFmtId="0" fontId="7" fillId="0" borderId="63" xfId="0" applyFont="1" applyBorder="1" applyAlignment="1">
      <alignment/>
    </xf>
    <xf numFmtId="0" fontId="7" fillId="0" borderId="55" xfId="0" applyFont="1" applyBorder="1" applyAlignment="1">
      <alignment/>
    </xf>
    <xf numFmtId="3" fontId="7" fillId="0" borderId="55" xfId="0" applyNumberFormat="1" applyFont="1" applyBorder="1" applyAlignment="1">
      <alignment/>
    </xf>
    <xf numFmtId="3" fontId="7" fillId="0" borderId="64" xfId="0" applyNumberFormat="1" applyFont="1" applyBorder="1" applyAlignment="1">
      <alignment/>
    </xf>
    <xf numFmtId="0" fontId="25" fillId="0" borderId="0" xfId="0" applyFont="1" applyBorder="1" applyAlignment="1">
      <alignment/>
    </xf>
    <xf numFmtId="186" fontId="26" fillId="0" borderId="0" xfId="0" applyNumberFormat="1" applyFont="1" applyBorder="1" applyAlignment="1">
      <alignment/>
    </xf>
    <xf numFmtId="0" fontId="150" fillId="0" borderId="0" xfId="0" applyFont="1" applyFill="1" applyBorder="1" applyAlignment="1" applyProtection="1">
      <alignment/>
      <protection locked="0"/>
    </xf>
    <xf numFmtId="186" fontId="27" fillId="0" borderId="0" xfId="139" applyNumberFormat="1" applyFont="1" applyFill="1" applyBorder="1" applyAlignment="1">
      <alignment horizontal="left"/>
      <protection/>
    </xf>
    <xf numFmtId="0" fontId="0" fillId="0" borderId="15" xfId="0" applyBorder="1" applyAlignment="1">
      <alignment/>
    </xf>
    <xf numFmtId="0" fontId="0" fillId="0" borderId="0" xfId="0"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0" fillId="38" borderId="0" xfId="0" applyFill="1" applyBorder="1" applyAlignment="1">
      <alignment horizontal="center"/>
    </xf>
    <xf numFmtId="3" fontId="107" fillId="33" borderId="10" xfId="0" applyNumberFormat="1" applyFont="1" applyFill="1" applyBorder="1" applyAlignment="1">
      <alignment/>
    </xf>
    <xf numFmtId="3" fontId="11" fillId="38" borderId="21" xfId="58" applyNumberFormat="1" applyFont="1" applyFill="1" applyBorder="1" applyAlignment="1">
      <alignment/>
    </xf>
    <xf numFmtId="3" fontId="2" fillId="33" borderId="0" xfId="50" applyNumberFormat="1" applyFont="1" applyFill="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2" fillId="33" borderId="14" xfId="50" applyNumberFormat="1" applyFont="1"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xf>
    <xf numFmtId="3" fontId="0" fillId="0" borderId="12" xfId="0" applyNumberFormat="1" applyBorder="1" applyAlignment="1">
      <alignment/>
    </xf>
    <xf numFmtId="0" fontId="106" fillId="0" borderId="0" xfId="0" applyFont="1" applyBorder="1" applyAlignment="1">
      <alignment horizontal="center"/>
    </xf>
    <xf numFmtId="0" fontId="106" fillId="0" borderId="0" xfId="0" applyFont="1" applyBorder="1" applyAlignment="1">
      <alignment horizontal="center" vertical="center"/>
    </xf>
    <xf numFmtId="0" fontId="4" fillId="33" borderId="0" xfId="77" applyFont="1" applyFill="1" applyBorder="1" applyAlignment="1">
      <alignment horizontal="center"/>
      <protection/>
    </xf>
    <xf numFmtId="0" fontId="106" fillId="0" borderId="0" xfId="0" applyFont="1" applyAlignment="1">
      <alignment horizontal="left"/>
    </xf>
    <xf numFmtId="0" fontId="0" fillId="0" borderId="0" xfId="0" applyFont="1" applyAlignment="1">
      <alignment horizontal="left"/>
    </xf>
    <xf numFmtId="14" fontId="0" fillId="0" borderId="12" xfId="0" applyNumberFormat="1" applyBorder="1" applyAlignment="1">
      <alignment/>
    </xf>
    <xf numFmtId="0" fontId="0" fillId="0" borderId="0" xfId="0" applyAlignment="1">
      <alignment/>
    </xf>
    <xf numFmtId="0" fontId="0" fillId="0" borderId="0" xfId="0" applyAlignment="1">
      <alignment horizontal="left"/>
    </xf>
    <xf numFmtId="0" fontId="106" fillId="0" borderId="0" xfId="0" applyFont="1" applyBorder="1" applyAlignment="1">
      <alignment horizontal="left"/>
    </xf>
    <xf numFmtId="0" fontId="0" fillId="0" borderId="0" xfId="0" applyBorder="1" applyAlignment="1">
      <alignment horizontal="center"/>
    </xf>
    <xf numFmtId="0" fontId="106" fillId="0" borderId="12" xfId="0" applyFont="1" applyBorder="1" applyAlignment="1">
      <alignmen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142" fillId="0" borderId="12" xfId="0" applyFont="1" applyBorder="1" applyAlignment="1">
      <alignment/>
    </xf>
    <xf numFmtId="3" fontId="106" fillId="0" borderId="0" xfId="0" applyNumberFormat="1" applyFont="1" applyAlignment="1">
      <alignment/>
    </xf>
    <xf numFmtId="14" fontId="0" fillId="0" borderId="0" xfId="0" applyNumberFormat="1" applyBorder="1" applyAlignment="1">
      <alignment/>
    </xf>
    <xf numFmtId="0" fontId="0" fillId="0" borderId="12" xfId="0" applyFont="1" applyBorder="1" applyAlignment="1">
      <alignment/>
    </xf>
    <xf numFmtId="3" fontId="106" fillId="0" borderId="0" xfId="0" applyNumberFormat="1" applyFont="1" applyBorder="1" applyAlignment="1">
      <alignment/>
    </xf>
    <xf numFmtId="3" fontId="14" fillId="0" borderId="0" xfId="0" applyNumberFormat="1" applyFont="1" applyAlignment="1">
      <alignment/>
    </xf>
    <xf numFmtId="0" fontId="106" fillId="0" borderId="0" xfId="0" applyFont="1" applyBorder="1" applyAlignment="1">
      <alignment/>
    </xf>
    <xf numFmtId="3" fontId="0" fillId="38" borderId="0" xfId="0" applyNumberFormat="1" applyFill="1" applyAlignment="1">
      <alignment/>
    </xf>
    <xf numFmtId="3" fontId="0" fillId="38" borderId="20" xfId="51" applyNumberFormat="1" applyFont="1" applyFill="1" applyBorder="1" applyAlignment="1">
      <alignment/>
    </xf>
    <xf numFmtId="3" fontId="2" fillId="33" borderId="0" xfId="50" applyNumberFormat="1" applyFont="1" applyFill="1" applyAlignment="1">
      <alignment/>
    </xf>
    <xf numFmtId="3" fontId="107" fillId="33" borderId="0" xfId="51" applyNumberFormat="1" applyFont="1" applyFill="1" applyAlignment="1">
      <alignment/>
    </xf>
    <xf numFmtId="3" fontId="108" fillId="33" borderId="14" xfId="0" applyNumberFormat="1" applyFont="1" applyFill="1" applyBorder="1" applyAlignment="1">
      <alignment/>
    </xf>
    <xf numFmtId="3" fontId="0" fillId="38" borderId="12" xfId="0" applyNumberFormat="1" applyFont="1" applyFill="1" applyBorder="1" applyAlignment="1">
      <alignment/>
    </xf>
    <xf numFmtId="3" fontId="0" fillId="38" borderId="12" xfId="0" applyNumberFormat="1" applyFill="1" applyBorder="1" applyAlignment="1">
      <alignment/>
    </xf>
    <xf numFmtId="3" fontId="0" fillId="33" borderId="0" xfId="0" applyNumberFormat="1" applyFill="1" applyAlignment="1">
      <alignment/>
    </xf>
    <xf numFmtId="3" fontId="91" fillId="0" borderId="0" xfId="0" applyNumberFormat="1" applyFont="1" applyFill="1" applyAlignment="1">
      <alignment horizontal="center" vertical="center"/>
    </xf>
    <xf numFmtId="3" fontId="0" fillId="33" borderId="20" xfId="0" applyNumberFormat="1" applyFill="1" applyBorder="1" applyAlignment="1">
      <alignment/>
    </xf>
    <xf numFmtId="3" fontId="109" fillId="38" borderId="0" xfId="141" applyNumberFormat="1" applyFont="1" applyFill="1" applyBorder="1" applyAlignment="1">
      <alignment/>
    </xf>
    <xf numFmtId="3" fontId="109" fillId="38" borderId="20" xfId="51" applyNumberFormat="1" applyFont="1" applyFill="1" applyBorder="1" applyAlignment="1">
      <alignment/>
    </xf>
    <xf numFmtId="3" fontId="151" fillId="41" borderId="10" xfId="0" applyNumberFormat="1" applyFont="1" applyFill="1" applyBorder="1" applyAlignment="1">
      <alignment/>
    </xf>
    <xf numFmtId="3" fontId="0" fillId="41" borderId="10" xfId="0" applyNumberFormat="1" applyFont="1" applyFill="1" applyBorder="1" applyAlignment="1">
      <alignment/>
    </xf>
    <xf numFmtId="3" fontId="0" fillId="41" borderId="0" xfId="0" applyNumberFormat="1" applyFont="1" applyFill="1" applyBorder="1" applyAlignment="1">
      <alignment/>
    </xf>
    <xf numFmtId="3" fontId="0" fillId="41" borderId="10" xfId="0" applyNumberFormat="1" applyFont="1" applyFill="1" applyBorder="1" applyAlignment="1">
      <alignment horizontal="center"/>
    </xf>
    <xf numFmtId="3" fontId="14" fillId="41" borderId="0" xfId="0" applyNumberFormat="1" applyFont="1" applyFill="1" applyBorder="1" applyAlignment="1">
      <alignment/>
    </xf>
    <xf numFmtId="3" fontId="15" fillId="41" borderId="41" xfId="0" applyNumberFormat="1" applyFont="1" applyFill="1" applyBorder="1" applyAlignment="1">
      <alignment/>
    </xf>
    <xf numFmtId="3" fontId="91" fillId="35" borderId="0" xfId="0" applyNumberFormat="1" applyFont="1" applyFill="1" applyAlignment="1">
      <alignment horizontal="center" vertical="center"/>
    </xf>
    <xf numFmtId="3" fontId="15" fillId="41" borderId="10" xfId="0" applyNumberFormat="1" applyFont="1" applyFill="1" applyBorder="1" applyAlignment="1">
      <alignment/>
    </xf>
    <xf numFmtId="3" fontId="14" fillId="41" borderId="10" xfId="0" applyNumberFormat="1" applyFont="1" applyFill="1" applyBorder="1" applyAlignment="1">
      <alignment/>
    </xf>
    <xf numFmtId="3" fontId="106" fillId="41" borderId="10" xfId="0" applyNumberFormat="1" applyFont="1" applyFill="1" applyBorder="1" applyAlignment="1">
      <alignment/>
    </xf>
    <xf numFmtId="0" fontId="4" fillId="0" borderId="0" xfId="0" applyFont="1" applyFill="1" applyAlignment="1">
      <alignment vertical="center"/>
    </xf>
    <xf numFmtId="173" fontId="4" fillId="0" borderId="0" xfId="50" applyNumberFormat="1" applyFont="1" applyFill="1" applyBorder="1" applyAlignment="1">
      <alignment/>
    </xf>
    <xf numFmtId="173" fontId="2" fillId="0" borderId="0" xfId="50" applyNumberFormat="1" applyFont="1" applyFill="1" applyBorder="1" applyAlignment="1">
      <alignment/>
    </xf>
    <xf numFmtId="175" fontId="4" fillId="0" borderId="0" xfId="50" applyNumberFormat="1" applyFont="1" applyFill="1" applyBorder="1" applyAlignment="1">
      <alignment/>
    </xf>
    <xf numFmtId="175" fontId="2" fillId="33" borderId="0" xfId="53" applyNumberFormat="1" applyFont="1" applyFill="1" applyBorder="1" applyAlignment="1">
      <alignment/>
    </xf>
    <xf numFmtId="3" fontId="11" fillId="0" borderId="62" xfId="0" applyNumberFormat="1" applyFont="1" applyBorder="1" applyAlignment="1">
      <alignment horizontal="right" vertical="center" wrapText="1"/>
    </xf>
    <xf numFmtId="3" fontId="11" fillId="0" borderId="65" xfId="0" applyNumberFormat="1" applyFont="1" applyBorder="1" applyAlignment="1">
      <alignment horizontal="right" vertical="center" wrapText="1"/>
    </xf>
    <xf numFmtId="3" fontId="11" fillId="0" borderId="66" xfId="0" applyNumberFormat="1" applyFont="1" applyBorder="1" applyAlignment="1">
      <alignment horizontal="right" vertical="center" wrapText="1"/>
    </xf>
    <xf numFmtId="0" fontId="11" fillId="0" borderId="39" xfId="0" applyFont="1" applyBorder="1" applyAlignment="1">
      <alignment vertical="center" wrapText="1"/>
    </xf>
    <xf numFmtId="0" fontId="106" fillId="0" borderId="0" xfId="0" applyFont="1" applyFill="1" applyBorder="1" applyAlignment="1">
      <alignment horizontal="left"/>
    </xf>
    <xf numFmtId="3" fontId="107" fillId="0" borderId="0" xfId="0" applyNumberFormat="1" applyFont="1" applyFill="1" applyAlignment="1">
      <alignment/>
    </xf>
    <xf numFmtId="49" fontId="0" fillId="0" borderId="0" xfId="0" applyNumberFormat="1" applyAlignment="1">
      <alignment/>
    </xf>
    <xf numFmtId="0" fontId="152" fillId="0" borderId="0" xfId="0" applyFont="1" applyFill="1" applyAlignment="1">
      <alignment/>
    </xf>
    <xf numFmtId="3" fontId="107" fillId="0" borderId="0" xfId="0" applyNumberFormat="1" applyFont="1" applyAlignment="1">
      <alignment/>
    </xf>
    <xf numFmtId="3" fontId="112" fillId="0" borderId="0" xfId="50" applyNumberFormat="1" applyFont="1" applyBorder="1" applyAlignment="1">
      <alignment/>
    </xf>
    <xf numFmtId="3" fontId="141" fillId="35" borderId="0" xfId="50" applyNumberFormat="1" applyFont="1" applyFill="1" applyBorder="1" applyAlignment="1">
      <alignment/>
    </xf>
    <xf numFmtId="3" fontId="112" fillId="0" borderId="0" xfId="50" applyNumberFormat="1" applyFont="1" applyAlignment="1">
      <alignment/>
    </xf>
    <xf numFmtId="3" fontId="141" fillId="0" borderId="0" xfId="50" applyNumberFormat="1" applyFont="1" applyFill="1" applyBorder="1" applyAlignment="1">
      <alignment/>
    </xf>
    <xf numFmtId="3" fontId="121" fillId="35" borderId="0" xfId="50" applyNumberFormat="1" applyFont="1" applyFill="1" applyBorder="1" applyAlignment="1">
      <alignment/>
    </xf>
    <xf numFmtId="3" fontId="153" fillId="0" borderId="0" xfId="50" applyNumberFormat="1" applyFont="1" applyAlignment="1">
      <alignment/>
    </xf>
    <xf numFmtId="3" fontId="154" fillId="0" borderId="0" xfId="50" applyNumberFormat="1" applyFont="1" applyAlignment="1">
      <alignment/>
    </xf>
    <xf numFmtId="3" fontId="114" fillId="0" borderId="0" xfId="50" applyNumberFormat="1" applyFont="1" applyAlignment="1">
      <alignment/>
    </xf>
    <xf numFmtId="3" fontId="0" fillId="38" borderId="0" xfId="0" applyNumberFormat="1" applyFill="1" applyBorder="1" applyAlignment="1">
      <alignment/>
    </xf>
    <xf numFmtId="3" fontId="102" fillId="38" borderId="12" xfId="0" applyNumberFormat="1" applyFont="1" applyFill="1" applyBorder="1" applyAlignment="1">
      <alignment/>
    </xf>
    <xf numFmtId="3" fontId="15" fillId="38" borderId="0" xfId="51" applyNumberFormat="1" applyFont="1" applyFill="1" applyBorder="1" applyAlignment="1">
      <alignment/>
    </xf>
    <xf numFmtId="0" fontId="0" fillId="0" borderId="0" xfId="0" applyAlignment="1">
      <alignment/>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0" xfId="0" applyFont="1" applyFill="1" applyAlignment="1">
      <alignment horizontal="left" vertical="justify" wrapText="1"/>
    </xf>
    <xf numFmtId="0" fontId="0" fillId="0" borderId="0" xfId="0" applyAlignment="1">
      <alignment/>
    </xf>
    <xf numFmtId="0" fontId="14" fillId="38" borderId="15" xfId="0" applyFont="1" applyFill="1" applyBorder="1" applyAlignment="1">
      <alignment/>
    </xf>
    <xf numFmtId="0" fontId="15" fillId="38" borderId="15" xfId="0" applyFont="1" applyFill="1" applyBorder="1" applyAlignment="1">
      <alignment/>
    </xf>
    <xf numFmtId="0" fontId="0" fillId="0" borderId="0" xfId="0" applyAlignment="1">
      <alignment horizontal="left"/>
    </xf>
    <xf numFmtId="0" fontId="106" fillId="0" borderId="0" xfId="0" applyFont="1" applyAlignment="1">
      <alignment horizontal="center"/>
    </xf>
    <xf numFmtId="0" fontId="0" fillId="0" borderId="0" xfId="0" applyAlignment="1">
      <alignment/>
    </xf>
    <xf numFmtId="14" fontId="0" fillId="0" borderId="0" xfId="0" applyNumberFormat="1" applyAlignment="1">
      <alignment horizontal="left"/>
    </xf>
    <xf numFmtId="0" fontId="142" fillId="0" borderId="20" xfId="0" applyFont="1" applyBorder="1" applyAlignment="1">
      <alignment/>
    </xf>
    <xf numFmtId="0" fontId="0" fillId="0" borderId="20" xfId="0" applyBorder="1" applyAlignment="1">
      <alignment/>
    </xf>
    <xf numFmtId="0" fontId="0" fillId="0" borderId="20" xfId="0" applyBorder="1" applyAlignment="1">
      <alignment horizontal="center"/>
    </xf>
    <xf numFmtId="3" fontId="106" fillId="0" borderId="20" xfId="0" applyNumberFormat="1" applyFont="1" applyBorder="1" applyAlignment="1">
      <alignment/>
    </xf>
    <xf numFmtId="14" fontId="0" fillId="0" borderId="20" xfId="0" applyNumberFormat="1" applyBorder="1" applyAlignment="1">
      <alignment/>
    </xf>
    <xf numFmtId="3" fontId="14" fillId="38" borderId="0" xfId="0" applyNumberFormat="1" applyFont="1" applyFill="1" applyAlignment="1">
      <alignment/>
    </xf>
    <xf numFmtId="3" fontId="109" fillId="38" borderId="20" xfId="51" applyNumberFormat="1" applyFont="1" applyFill="1" applyBorder="1" applyAlignment="1">
      <alignment horizontal="right"/>
    </xf>
    <xf numFmtId="0" fontId="0" fillId="0" borderId="60" xfId="0" applyBorder="1" applyAlignment="1">
      <alignment/>
    </xf>
    <xf numFmtId="3" fontId="7" fillId="0" borderId="59" xfId="0" applyNumberFormat="1" applyFont="1" applyBorder="1" applyAlignment="1">
      <alignment/>
    </xf>
    <xf numFmtId="0" fontId="7" fillId="0" borderId="0" xfId="0" applyFont="1" applyBorder="1" applyAlignment="1">
      <alignment/>
    </xf>
    <xf numFmtId="0" fontId="0" fillId="0" borderId="0" xfId="0" applyAlignment="1">
      <alignment/>
    </xf>
    <xf numFmtId="3" fontId="106" fillId="0" borderId="0" xfId="0" applyNumberFormat="1" applyFont="1" applyFill="1" applyAlignment="1">
      <alignment/>
    </xf>
    <xf numFmtId="3" fontId="11" fillId="0" borderId="62" xfId="0" applyNumberFormat="1" applyFont="1" applyBorder="1" applyAlignment="1">
      <alignment vertical="center" wrapText="1"/>
    </xf>
    <xf numFmtId="3" fontId="11" fillId="0" borderId="65" xfId="0" applyNumberFormat="1" applyFont="1" applyBorder="1" applyAlignment="1">
      <alignment vertical="center" wrapText="1"/>
    </xf>
    <xf numFmtId="3" fontId="11" fillId="0" borderId="66" xfId="0" applyNumberFormat="1" applyFont="1" applyBorder="1" applyAlignment="1">
      <alignment vertical="center" wrapText="1"/>
    </xf>
    <xf numFmtId="3" fontId="11" fillId="0" borderId="67" xfId="0" applyNumberFormat="1" applyFont="1" applyBorder="1" applyAlignment="1">
      <alignment vertical="center" wrapText="1"/>
    </xf>
    <xf numFmtId="0" fontId="0" fillId="0" borderId="0" xfId="0" applyAlignment="1">
      <alignment/>
    </xf>
    <xf numFmtId="0" fontId="0" fillId="0" borderId="0" xfId="0" applyAlignment="1">
      <alignment horizontal="left"/>
    </xf>
    <xf numFmtId="49" fontId="2" fillId="33" borderId="10" xfId="50" applyNumberFormat="1" applyFont="1" applyFill="1" applyBorder="1" applyAlignment="1">
      <alignment horizontal="right"/>
    </xf>
    <xf numFmtId="41" fontId="0" fillId="33" borderId="0" xfId="51" applyFont="1" applyFill="1" applyBorder="1" applyAlignment="1">
      <alignment/>
    </xf>
    <xf numFmtId="41" fontId="0" fillId="33" borderId="12" xfId="51" applyFont="1" applyFill="1" applyBorder="1" applyAlignment="1">
      <alignment/>
    </xf>
    <xf numFmtId="0" fontId="0" fillId="0" borderId="0" xfId="0" applyAlignment="1">
      <alignment/>
    </xf>
    <xf numFmtId="0" fontId="0" fillId="0" borderId="0" xfId="0" applyAlignment="1">
      <alignment horizontal="left"/>
    </xf>
    <xf numFmtId="0" fontId="0" fillId="0" borderId="0" xfId="0" applyAlignment="1">
      <alignment/>
    </xf>
    <xf numFmtId="175" fontId="3" fillId="0" borderId="21" xfId="58" applyNumberFormat="1" applyFont="1" applyFill="1" applyBorder="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3" fontId="11" fillId="0" borderId="65" xfId="0" applyNumberFormat="1" applyFont="1" applyBorder="1" applyAlignment="1">
      <alignment horizontal="center" vertical="center" wrapText="1"/>
    </xf>
    <xf numFmtId="3" fontId="11" fillId="0" borderId="66" xfId="0" applyNumberFormat="1" applyFont="1" applyBorder="1" applyAlignment="1">
      <alignment horizontal="center" vertical="center" wrapText="1"/>
    </xf>
    <xf numFmtId="0" fontId="0" fillId="0" borderId="0" xfId="0" applyAlignment="1">
      <alignment/>
    </xf>
    <xf numFmtId="3" fontId="11" fillId="38" borderId="15" xfId="58" applyNumberFormat="1" applyFont="1" applyFill="1" applyBorder="1" applyAlignment="1">
      <alignment horizontal="right"/>
    </xf>
    <xf numFmtId="3" fontId="14" fillId="0" borderId="0" xfId="0" applyNumberFormat="1" applyFont="1" applyFill="1" applyAlignment="1">
      <alignment/>
    </xf>
    <xf numFmtId="3" fontId="0" fillId="0" borderId="0" xfId="0" applyNumberFormat="1" applyFill="1" applyAlignment="1">
      <alignment/>
    </xf>
    <xf numFmtId="0" fontId="0" fillId="0" borderId="0" xfId="0" applyBorder="1" applyAlignment="1">
      <alignment horizontal="left"/>
    </xf>
    <xf numFmtId="0" fontId="7" fillId="0" borderId="68" xfId="0" applyFont="1" applyFill="1" applyBorder="1" applyAlignment="1">
      <alignment horizontal="justify" vertical="center"/>
    </xf>
    <xf numFmtId="0" fontId="7" fillId="0" borderId="20" xfId="0" applyFont="1" applyFill="1" applyBorder="1" applyAlignment="1">
      <alignment horizontal="justify" vertical="center"/>
    </xf>
    <xf numFmtId="0" fontId="7" fillId="0" borderId="66" xfId="0" applyFont="1" applyFill="1" applyBorder="1" applyAlignment="1">
      <alignment horizontal="justify" vertical="center"/>
    </xf>
    <xf numFmtId="0" fontId="7" fillId="0" borderId="68" xfId="0" applyFont="1" applyFill="1" applyBorder="1" applyAlignment="1">
      <alignment wrapText="1"/>
    </xf>
    <xf numFmtId="0" fontId="7" fillId="0" borderId="20" xfId="0" applyFont="1" applyFill="1" applyBorder="1" applyAlignment="1">
      <alignment wrapText="1"/>
    </xf>
    <xf numFmtId="0" fontId="7" fillId="0" borderId="66" xfId="0" applyFont="1" applyFill="1" applyBorder="1" applyAlignment="1">
      <alignment wrapText="1"/>
    </xf>
    <xf numFmtId="186" fontId="85" fillId="0" borderId="0" xfId="139" applyNumberFormat="1" applyFont="1" applyBorder="1" applyAlignment="1">
      <alignment horizontal="center"/>
      <protection/>
    </xf>
    <xf numFmtId="186" fontId="85" fillId="0" borderId="0" xfId="139" applyNumberFormat="1" applyFont="1" applyFill="1" applyBorder="1" applyAlignment="1">
      <alignment horizontal="center" wrapText="1"/>
      <protection/>
    </xf>
    <xf numFmtId="186" fontId="86" fillId="0" borderId="0" xfId="0" applyNumberFormat="1" applyFont="1" applyFill="1" applyBorder="1" applyAlignment="1">
      <alignment horizontal="center" vertical="top" wrapText="1"/>
    </xf>
    <xf numFmtId="0" fontId="106" fillId="0" borderId="0" xfId="0" applyFont="1" applyAlignment="1">
      <alignment horizontal="center"/>
    </xf>
    <xf numFmtId="0" fontId="0" fillId="0" borderId="0" xfId="0" applyAlignment="1">
      <alignment/>
    </xf>
    <xf numFmtId="173" fontId="155" fillId="0" borderId="0" xfId="50" applyNumberFormat="1" applyFont="1" applyFill="1" applyAlignment="1">
      <alignment horizontal="center"/>
    </xf>
    <xf numFmtId="0" fontId="4" fillId="0" borderId="0" xfId="0" applyFont="1" applyFill="1" applyAlignment="1">
      <alignment horizontal="center"/>
    </xf>
    <xf numFmtId="173" fontId="116" fillId="0" borderId="0" xfId="50" applyNumberFormat="1" applyFont="1" applyFill="1" applyAlignment="1">
      <alignment horizontal="center"/>
    </xf>
    <xf numFmtId="0" fontId="107" fillId="0" borderId="0" xfId="0" applyFont="1" applyFill="1" applyAlignment="1">
      <alignment horizontal="left"/>
    </xf>
    <xf numFmtId="0" fontId="4" fillId="0" borderId="0" xfId="0" applyFont="1" applyFill="1" applyAlignment="1">
      <alignment horizontal="left"/>
    </xf>
    <xf numFmtId="0" fontId="8" fillId="0" borderId="0" xfId="0" applyFont="1" applyFill="1" applyAlignment="1">
      <alignment horizontal="left" vertical="center"/>
    </xf>
    <xf numFmtId="0" fontId="4" fillId="0" borderId="0" xfId="0" applyFont="1" applyFill="1" applyAlignment="1">
      <alignment horizontal="left" vertical="center"/>
    </xf>
    <xf numFmtId="0" fontId="126" fillId="35" borderId="0" xfId="0" applyFont="1" applyFill="1" applyAlignment="1">
      <alignment horizontal="left" vertical="center"/>
    </xf>
    <xf numFmtId="0" fontId="0" fillId="0" borderId="0" xfId="0" applyAlignment="1">
      <alignment horizontal="left"/>
    </xf>
    <xf numFmtId="0" fontId="2" fillId="0" borderId="0" xfId="0" applyFont="1" applyFill="1" applyAlignment="1">
      <alignment horizontal="center"/>
    </xf>
    <xf numFmtId="0" fontId="126" fillId="35" borderId="0" xfId="0" applyFont="1" applyFill="1" applyAlignment="1">
      <alignment horizontal="left"/>
    </xf>
    <xf numFmtId="3" fontId="107" fillId="0" borderId="0" xfId="0" applyNumberFormat="1" applyFont="1" applyFill="1" applyAlignment="1">
      <alignment horizontal="center"/>
    </xf>
    <xf numFmtId="0" fontId="107" fillId="0" borderId="0" xfId="0" applyFont="1" applyFill="1" applyAlignment="1">
      <alignment horizontal="center"/>
    </xf>
    <xf numFmtId="173" fontId="120" fillId="35" borderId="0" xfId="50" applyNumberFormat="1" applyFont="1" applyFill="1" applyAlignment="1">
      <alignment horizontal="center" vertical="center" wrapText="1"/>
    </xf>
    <xf numFmtId="173" fontId="120" fillId="35" borderId="12" xfId="50" applyNumberFormat="1" applyFont="1" applyFill="1" applyBorder="1" applyAlignment="1">
      <alignment horizontal="center" vertical="center" wrapText="1"/>
    </xf>
    <xf numFmtId="0" fontId="120" fillId="0" borderId="0" xfId="0" applyFont="1" applyFill="1" applyAlignment="1">
      <alignment horizontal="center" vertical="center" wrapText="1"/>
    </xf>
    <xf numFmtId="0" fontId="120" fillId="35" borderId="0" xfId="0" applyFont="1" applyFill="1" applyAlignment="1">
      <alignment horizontal="center" vertical="center" wrapText="1"/>
    </xf>
    <xf numFmtId="0" fontId="112" fillId="0" borderId="0" xfId="0" applyFont="1" applyAlignment="1">
      <alignment horizontal="center"/>
    </xf>
    <xf numFmtId="0" fontId="112"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07" fillId="0" borderId="0" xfId="0" applyFont="1" applyBorder="1" applyAlignment="1">
      <alignment horizontal="center" vertical="center"/>
    </xf>
    <xf numFmtId="0" fontId="112" fillId="0" borderId="15" xfId="0" applyFont="1" applyBorder="1" applyAlignment="1">
      <alignment horizontal="justify" vertical="justify" wrapText="1"/>
    </xf>
    <xf numFmtId="0" fontId="112" fillId="0" borderId="0" xfId="0" applyFont="1" applyBorder="1" applyAlignment="1">
      <alignment horizontal="justify" vertical="justify" wrapText="1"/>
    </xf>
    <xf numFmtId="0" fontId="112" fillId="0" borderId="16" xfId="0" applyFont="1" applyBorder="1" applyAlignment="1">
      <alignment horizontal="justify" vertical="justify" wrapText="1"/>
    </xf>
    <xf numFmtId="0" fontId="108" fillId="0" borderId="0" xfId="0" applyFont="1" applyAlignment="1">
      <alignment horizontal="left" vertical="center"/>
    </xf>
    <xf numFmtId="0" fontId="12" fillId="0" borderId="15"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16" xfId="0" applyFont="1" applyBorder="1" applyAlignment="1">
      <alignment horizontal="justify" vertical="justify" wrapText="1"/>
    </xf>
    <xf numFmtId="0" fontId="107" fillId="0" borderId="0" xfId="0" applyFont="1" applyFill="1" applyAlignment="1">
      <alignment horizontal="left" vertical="justify" wrapText="1"/>
    </xf>
    <xf numFmtId="0" fontId="107" fillId="0" borderId="0" xfId="0" applyFont="1" applyAlignment="1">
      <alignment horizontal="left" vertical="top" wrapText="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8" fillId="0" borderId="15" xfId="0" applyFont="1" applyFill="1" applyBorder="1" applyAlignment="1">
      <alignment horizontal="left"/>
    </xf>
    <xf numFmtId="0" fontId="108" fillId="0" borderId="0" xfId="0" applyFont="1" applyFill="1" applyBorder="1" applyAlignment="1">
      <alignment horizontal="left"/>
    </xf>
    <xf numFmtId="0" fontId="108" fillId="0" borderId="16" xfId="0" applyFont="1" applyFill="1" applyBorder="1" applyAlignment="1">
      <alignment horizontal="left"/>
    </xf>
    <xf numFmtId="0" fontId="2" fillId="0" borderId="17"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8" xfId="0" applyFont="1" applyFill="1" applyBorder="1" applyAlignment="1">
      <alignment horizontal="left" vertical="justify" wrapText="1"/>
    </xf>
    <xf numFmtId="0" fontId="108" fillId="0" borderId="15" xfId="0" applyFont="1" applyFill="1" applyBorder="1" applyAlignment="1">
      <alignment horizontal="left" vertical="justify" wrapText="1"/>
    </xf>
    <xf numFmtId="0" fontId="108" fillId="0" borderId="0" xfId="0" applyFont="1" applyFill="1" applyBorder="1" applyAlignment="1">
      <alignment horizontal="left" vertical="justify" wrapText="1"/>
    </xf>
    <xf numFmtId="0" fontId="108" fillId="0" borderId="16" xfId="0" applyFont="1" applyFill="1" applyBorder="1" applyAlignment="1">
      <alignment horizontal="left" vertical="justify" wrapText="1"/>
    </xf>
    <xf numFmtId="0" fontId="16" fillId="14" borderId="0" xfId="0" applyFont="1" applyFill="1" applyAlignment="1">
      <alignment horizontal="left" vertical="center" wrapText="1"/>
    </xf>
    <xf numFmtId="0" fontId="16" fillId="14" borderId="16" xfId="0" applyFont="1" applyFill="1" applyBorder="1" applyAlignment="1">
      <alignment horizontal="left" vertical="center" wrapText="1"/>
    </xf>
    <xf numFmtId="0" fontId="120" fillId="35" borderId="15" xfId="0" applyFont="1" applyFill="1" applyBorder="1" applyAlignment="1">
      <alignment horizontal="left" vertical="center"/>
    </xf>
    <xf numFmtId="0" fontId="120" fillId="35" borderId="0" xfId="0" applyFont="1" applyFill="1" applyBorder="1" applyAlignment="1">
      <alignment horizontal="left" vertical="center"/>
    </xf>
    <xf numFmtId="0" fontId="120" fillId="35" borderId="16" xfId="0" applyFont="1" applyFill="1" applyBorder="1" applyAlignment="1">
      <alignment horizontal="left" vertical="center"/>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43" fillId="0" borderId="15" xfId="0" applyFont="1" applyBorder="1" applyAlignment="1">
      <alignment horizontal="left" vertical="top" wrapText="1"/>
    </xf>
    <xf numFmtId="0" fontId="143" fillId="0" borderId="0" xfId="0" applyFont="1" applyBorder="1" applyAlignment="1">
      <alignment horizontal="left" vertical="top" wrapText="1"/>
    </xf>
    <xf numFmtId="0" fontId="143" fillId="0" borderId="16" xfId="0" applyFont="1" applyBorder="1" applyAlignment="1">
      <alignment horizontal="left" vertical="top" wrapText="1"/>
    </xf>
    <xf numFmtId="0" fontId="11" fillId="0" borderId="37" xfId="0" applyFont="1" applyFill="1" applyBorder="1" applyAlignment="1">
      <alignment horizontal="justify" vertical="justify" wrapText="1"/>
    </xf>
    <xf numFmtId="0" fontId="11" fillId="0" borderId="20" xfId="0" applyFont="1" applyFill="1" applyBorder="1" applyAlignment="1">
      <alignment horizontal="justify" vertical="justify" wrapText="1"/>
    </xf>
    <xf numFmtId="0" fontId="11" fillId="0" borderId="38" xfId="0" applyFont="1" applyFill="1" applyBorder="1" applyAlignment="1">
      <alignment horizontal="justify" vertical="justify" wrapText="1"/>
    </xf>
    <xf numFmtId="0" fontId="107" fillId="0" borderId="15" xfId="0" applyFont="1" applyFill="1" applyBorder="1" applyAlignment="1">
      <alignment horizontal="left" vertical="justify" wrapText="1"/>
    </xf>
    <xf numFmtId="0" fontId="107" fillId="0" borderId="0" xfId="0" applyFont="1" applyFill="1" applyBorder="1" applyAlignment="1">
      <alignment horizontal="left" vertical="justify" wrapText="1"/>
    </xf>
    <xf numFmtId="0" fontId="107" fillId="0" borderId="16" xfId="0" applyFont="1" applyFill="1" applyBorder="1" applyAlignment="1">
      <alignment horizontal="left" vertical="justify" wrapText="1"/>
    </xf>
    <xf numFmtId="0" fontId="110" fillId="0" borderId="15" xfId="0" applyFont="1" applyFill="1" applyBorder="1" applyAlignment="1">
      <alignment horizontal="left" vertical="justify" wrapText="1"/>
    </xf>
    <xf numFmtId="0" fontId="110" fillId="0" borderId="0" xfId="0" applyFont="1" applyFill="1" applyBorder="1" applyAlignment="1">
      <alignment horizontal="left" vertical="justify" wrapText="1"/>
    </xf>
    <xf numFmtId="0" fontId="110" fillId="0" borderId="16" xfId="0" applyFont="1" applyFill="1" applyBorder="1" applyAlignment="1">
      <alignment horizontal="left" vertical="justify" wrapText="1"/>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0" fillId="0" borderId="15" xfId="0" applyFill="1" applyBorder="1" applyAlignment="1">
      <alignment horizontal="left" vertical="justify" wrapText="1"/>
    </xf>
    <xf numFmtId="0" fontId="0" fillId="0" borderId="0" xfId="0" applyFill="1" applyBorder="1" applyAlignment="1">
      <alignment horizontal="left" vertical="justify" wrapText="1"/>
    </xf>
    <xf numFmtId="0" fontId="0" fillId="0" borderId="16" xfId="0" applyFill="1" applyBorder="1" applyAlignment="1">
      <alignment horizontal="left" vertical="justify" wrapText="1"/>
    </xf>
    <xf numFmtId="0" fontId="110" fillId="0" borderId="15" xfId="0" applyFont="1" applyBorder="1" applyAlignment="1">
      <alignment horizontal="left" vertical="center" wrapText="1" readingOrder="1"/>
    </xf>
    <xf numFmtId="0" fontId="110" fillId="0" borderId="0" xfId="0" applyFont="1" applyBorder="1" applyAlignment="1">
      <alignment horizontal="left" vertical="center" wrapText="1" readingOrder="1"/>
    </xf>
    <xf numFmtId="0" fontId="110" fillId="0" borderId="16" xfId="0" applyFont="1" applyBorder="1" applyAlignment="1">
      <alignment horizontal="left" vertical="center" wrapText="1" readingOrder="1"/>
    </xf>
    <xf numFmtId="0" fontId="120" fillId="35" borderId="0" xfId="0" applyFont="1" applyFill="1" applyAlignment="1">
      <alignment horizontal="left"/>
    </xf>
    <xf numFmtId="0" fontId="130" fillId="33" borderId="0" xfId="0" applyFont="1" applyFill="1" applyAlignment="1">
      <alignment horizontal="center"/>
    </xf>
    <xf numFmtId="0" fontId="110" fillId="33" borderId="11" xfId="0" applyFont="1" applyFill="1" applyBorder="1" applyAlignment="1">
      <alignment horizontal="center"/>
    </xf>
    <xf numFmtId="0" fontId="110" fillId="33" borderId="40" xfId="0" applyFont="1" applyFill="1" applyBorder="1" applyAlignment="1">
      <alignment horizontal="center"/>
    </xf>
    <xf numFmtId="0" fontId="107" fillId="0" borderId="0" xfId="0" applyFont="1" applyAlignment="1">
      <alignment horizontal="left" vertical="center"/>
    </xf>
    <xf numFmtId="0" fontId="120" fillId="35" borderId="0" xfId="0" applyFont="1" applyFill="1" applyAlignment="1">
      <alignment horizontal="left" vertical="center"/>
    </xf>
    <xf numFmtId="0" fontId="146" fillId="40" borderId="11" xfId="65" applyFont="1" applyFill="1" applyBorder="1" applyAlignment="1">
      <alignment horizontal="left" vertical="center"/>
      <protection/>
    </xf>
    <xf numFmtId="0" fontId="146" fillId="40" borderId="19" xfId="65" applyFont="1" applyFill="1" applyBorder="1" applyAlignment="1">
      <alignment horizontal="left" vertical="center"/>
      <protection/>
    </xf>
    <xf numFmtId="0" fontId="146" fillId="40" borderId="40" xfId="65" applyFont="1" applyFill="1" applyBorder="1" applyAlignment="1">
      <alignment horizontal="left" vertical="center"/>
      <protection/>
    </xf>
    <xf numFmtId="0" fontId="108" fillId="0" borderId="0" xfId="0" applyFont="1" applyAlignment="1">
      <alignment horizontal="left"/>
    </xf>
    <xf numFmtId="0" fontId="106" fillId="38" borderId="0" xfId="0" applyFont="1" applyFill="1" applyAlignment="1">
      <alignment horizontal="center" vertical="center"/>
    </xf>
    <xf numFmtId="0" fontId="133" fillId="33" borderId="0" xfId="0" applyFont="1" applyFill="1" applyAlignment="1">
      <alignment horizontal="left"/>
    </xf>
    <xf numFmtId="0" fontId="120" fillId="35" borderId="0" xfId="0" applyFont="1" applyFill="1" applyAlignment="1">
      <alignment horizontal="center" vertical="center"/>
    </xf>
    <xf numFmtId="0" fontId="0" fillId="38" borderId="0" xfId="0" applyFill="1" applyAlignment="1">
      <alignment horizontal="center"/>
    </xf>
    <xf numFmtId="0" fontId="132" fillId="38" borderId="0" xfId="0" applyFont="1" applyFill="1" applyAlignment="1">
      <alignment horizontal="center"/>
    </xf>
    <xf numFmtId="0" fontId="16" fillId="38" borderId="0" xfId="0" applyFont="1" applyFill="1" applyAlignment="1">
      <alignment horizontal="left" wrapText="1"/>
    </xf>
    <xf numFmtId="0" fontId="11" fillId="0" borderId="56" xfId="0" applyFont="1" applyBorder="1" applyAlignment="1">
      <alignment horizontal="center" vertical="center" wrapText="1"/>
    </xf>
    <xf numFmtId="0" fontId="11" fillId="0" borderId="63" xfId="0" applyFont="1" applyBorder="1" applyAlignment="1">
      <alignment horizontal="center" vertical="center" wrapText="1"/>
    </xf>
    <xf numFmtId="0" fontId="120" fillId="35" borderId="0" xfId="0" applyFont="1" applyFill="1" applyBorder="1" applyAlignment="1">
      <alignment horizontal="left"/>
    </xf>
    <xf numFmtId="9" fontId="109" fillId="38" borderId="0" xfId="141" applyFont="1" applyFill="1" applyBorder="1" applyAlignment="1">
      <alignment horizontal="center"/>
    </xf>
    <xf numFmtId="9" fontId="144" fillId="38" borderId="0" xfId="141" applyFont="1" applyFill="1" applyBorder="1" applyAlignment="1">
      <alignment horizontal="left"/>
    </xf>
    <xf numFmtId="0" fontId="143" fillId="38" borderId="0" xfId="0" applyFont="1" applyFill="1" applyBorder="1" applyAlignment="1">
      <alignment horizontal="left"/>
    </xf>
    <xf numFmtId="0" fontId="61" fillId="38" borderId="0" xfId="0" applyFont="1" applyFill="1" applyAlignment="1">
      <alignment horizontal="center" wrapText="1"/>
    </xf>
    <xf numFmtId="0" fontId="14" fillId="38" borderId="0" xfId="0" applyFont="1" applyFill="1" applyAlignment="1">
      <alignment horizontal="left"/>
    </xf>
    <xf numFmtId="0" fontId="14" fillId="38" borderId="0" xfId="0" applyFont="1" applyFill="1" applyAlignment="1">
      <alignment horizontal="left" vertical="center" wrapText="1"/>
    </xf>
    <xf numFmtId="0" fontId="91" fillId="35" borderId="0" xfId="0" applyFont="1" applyFill="1" applyAlignment="1">
      <alignment horizontal="left"/>
    </xf>
    <xf numFmtId="0" fontId="135" fillId="0" borderId="0" xfId="0" applyFont="1" applyAlignment="1">
      <alignment horizontal="left" vertical="center" wrapText="1"/>
    </xf>
    <xf numFmtId="0" fontId="135" fillId="38" borderId="0" xfId="0" applyFont="1" applyFill="1" applyAlignment="1">
      <alignment horizontal="left" vertical="center" wrapText="1"/>
    </xf>
    <xf numFmtId="0" fontId="135" fillId="38" borderId="0" xfId="0" applyFont="1" applyFill="1" applyAlignment="1">
      <alignment horizontal="left" vertical="center"/>
    </xf>
    <xf numFmtId="0" fontId="14" fillId="38" borderId="0" xfId="0" applyFont="1" applyFill="1" applyAlignment="1">
      <alignment horizontal="left" wrapText="1"/>
    </xf>
    <xf numFmtId="0" fontId="151" fillId="41" borderId="0" xfId="0" applyFont="1" applyFill="1" applyBorder="1" applyAlignment="1">
      <alignment horizontal="left"/>
    </xf>
    <xf numFmtId="3" fontId="16" fillId="41" borderId="0" xfId="0" applyNumberFormat="1" applyFont="1" applyFill="1" applyBorder="1" applyAlignment="1">
      <alignment horizontal="left" wrapText="1"/>
    </xf>
  </cellXfs>
  <cellStyles count="1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0] 3" xfId="52"/>
    <cellStyle name="Millares 100 11" xfId="53"/>
    <cellStyle name="Millares 174 2" xfId="54"/>
    <cellStyle name="Millares 2" xfId="55"/>
    <cellStyle name="Millares 2 2" xfId="56"/>
    <cellStyle name="Millares 212" xfId="57"/>
    <cellStyle name="Millares 3 11" xfId="58"/>
    <cellStyle name="Millares 654 2 2" xfId="59"/>
    <cellStyle name="Millares 656" xfId="60"/>
    <cellStyle name="Millares 657" xfId="61"/>
    <cellStyle name="Currency" xfId="62"/>
    <cellStyle name="Currency [0]" xfId="63"/>
    <cellStyle name="Neutral" xfId="64"/>
    <cellStyle name="Normal 10 10 2 2 2" xfId="65"/>
    <cellStyle name="Normal 1016" xfId="66"/>
    <cellStyle name="Normal 1018" xfId="67"/>
    <cellStyle name="Normal 1022" xfId="68"/>
    <cellStyle name="Normal 1024" xfId="69"/>
    <cellStyle name="Normal 1025" xfId="70"/>
    <cellStyle name="Normal 1026" xfId="71"/>
    <cellStyle name="Normal 1027" xfId="72"/>
    <cellStyle name="Normal 105" xfId="73"/>
    <cellStyle name="Normal 107" xfId="74"/>
    <cellStyle name="Normal 109" xfId="75"/>
    <cellStyle name="Normal 12 10" xfId="76"/>
    <cellStyle name="Normal 12 2 10" xfId="77"/>
    <cellStyle name="Normal 12 2 2 4" xfId="78"/>
    <cellStyle name="Normal 125" xfId="79"/>
    <cellStyle name="Normal 126" xfId="80"/>
    <cellStyle name="Normal 199 2 2" xfId="81"/>
    <cellStyle name="Normal 2" xfId="82"/>
    <cellStyle name="Normal 2 10 2 2 2" xfId="83"/>
    <cellStyle name="Normal 2 2 2 3" xfId="84"/>
    <cellStyle name="Normal 601" xfId="85"/>
    <cellStyle name="Normal 605" xfId="86"/>
    <cellStyle name="Normal 606" xfId="87"/>
    <cellStyle name="Normal 636" xfId="88"/>
    <cellStyle name="Normal 640" xfId="89"/>
    <cellStyle name="Normal 643" xfId="90"/>
    <cellStyle name="Normal 646" xfId="91"/>
    <cellStyle name="Normal 647" xfId="92"/>
    <cellStyle name="Normal 649" xfId="93"/>
    <cellStyle name="Normal 650" xfId="94"/>
    <cellStyle name="Normal 651" xfId="95"/>
    <cellStyle name="Normal 652" xfId="96"/>
    <cellStyle name="Normal 653" xfId="97"/>
    <cellStyle name="Normal 654" xfId="98"/>
    <cellStyle name="Normal 655" xfId="99"/>
    <cellStyle name="Normal 656" xfId="100"/>
    <cellStyle name="Normal 657" xfId="101"/>
    <cellStyle name="Normal 658" xfId="102"/>
    <cellStyle name="Normal 659" xfId="103"/>
    <cellStyle name="Normal 660" xfId="104"/>
    <cellStyle name="Normal 662" xfId="105"/>
    <cellStyle name="Normal 663" xfId="106"/>
    <cellStyle name="Normal 664" xfId="107"/>
    <cellStyle name="Normal 665" xfId="108"/>
    <cellStyle name="Normal 667" xfId="109"/>
    <cellStyle name="Normal 673" xfId="110"/>
    <cellStyle name="Normal 674" xfId="111"/>
    <cellStyle name="Normal 675" xfId="112"/>
    <cellStyle name="Normal 676" xfId="113"/>
    <cellStyle name="Normal 677" xfId="114"/>
    <cellStyle name="Normal 678" xfId="115"/>
    <cellStyle name="Normal 679" xfId="116"/>
    <cellStyle name="Normal 684" xfId="117"/>
    <cellStyle name="Normal 713" xfId="118"/>
    <cellStyle name="Normal 714" xfId="119"/>
    <cellStyle name="Normal 715" xfId="120"/>
    <cellStyle name="Normal 744" xfId="121"/>
    <cellStyle name="Normal 802" xfId="122"/>
    <cellStyle name="Normal 944" xfId="123"/>
    <cellStyle name="Normal 947" xfId="124"/>
    <cellStyle name="Normal 952" xfId="125"/>
    <cellStyle name="Normal 957" xfId="126"/>
    <cellStyle name="Normal 958" xfId="127"/>
    <cellStyle name="Normal 959" xfId="128"/>
    <cellStyle name="Normal 960" xfId="129"/>
    <cellStyle name="Normal 961" xfId="130"/>
    <cellStyle name="Normal 962" xfId="131"/>
    <cellStyle name="Normal 963" xfId="132"/>
    <cellStyle name="Normal 964" xfId="133"/>
    <cellStyle name="Normal 965" xfId="134"/>
    <cellStyle name="Normal 966" xfId="135"/>
    <cellStyle name="Normal 967" xfId="136"/>
    <cellStyle name="Normal 971" xfId="137"/>
    <cellStyle name="Normal 986" xfId="138"/>
    <cellStyle name="Normal_BALANCE30-06-99" xfId="139"/>
    <cellStyle name="Notas" xfId="140"/>
    <cellStyle name="Percent" xfId="141"/>
    <cellStyle name="Salida" xfId="142"/>
    <cellStyle name="Texto de advertencia" xfId="143"/>
    <cellStyle name="Texto explicativo" xfId="144"/>
    <cellStyle name="Título" xfId="145"/>
    <cellStyle name="Título 2" xfId="146"/>
    <cellStyle name="Título 3" xfId="147"/>
    <cellStyle name="Total"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32</xdr:row>
      <xdr:rowOff>0</xdr:rowOff>
    </xdr:from>
    <xdr:to>
      <xdr:col>5</xdr:col>
      <xdr:colOff>447675</xdr:colOff>
      <xdr:row>38</xdr:row>
      <xdr:rowOff>76200</xdr:rowOff>
    </xdr:to>
    <xdr:pic>
      <xdr:nvPicPr>
        <xdr:cNvPr id="1" name="Picture 1" descr="Línea de firma de Microsoft Office..."/>
        <xdr:cNvPicPr preferRelativeResize="1">
          <a:picLocks noChangeAspect="1"/>
        </xdr:cNvPicPr>
      </xdr:nvPicPr>
      <xdr:blipFill>
        <a:blip r:embed="rId1"/>
        <a:stretch>
          <a:fillRect/>
        </a:stretch>
      </xdr:blipFill>
      <xdr:spPr>
        <a:xfrm>
          <a:off x="5086350" y="6467475"/>
          <a:ext cx="2438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104775</xdr:rowOff>
    </xdr:from>
    <xdr:to>
      <xdr:col>0</xdr:col>
      <xdr:colOff>1219200</xdr:colOff>
      <xdr:row>3</xdr:row>
      <xdr:rowOff>28575</xdr:rowOff>
    </xdr:to>
    <xdr:pic>
      <xdr:nvPicPr>
        <xdr:cNvPr id="1" name="2 Imagen" descr="LOGO - IMPORT CENTER 2021.png"/>
        <xdr:cNvPicPr preferRelativeResize="1">
          <a:picLocks noChangeAspect="1"/>
        </xdr:cNvPicPr>
      </xdr:nvPicPr>
      <xdr:blipFill>
        <a:blip r:embed="rId1"/>
        <a:stretch>
          <a:fillRect/>
        </a:stretch>
      </xdr:blipFill>
      <xdr:spPr>
        <a:xfrm>
          <a:off x="295275" y="266700"/>
          <a:ext cx="9239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171450</xdr:rowOff>
    </xdr:to>
    <xdr:sp>
      <xdr:nvSpPr>
        <xdr:cNvPr id="1" name="CuadroTexto 2"/>
        <xdr:cNvSpPr txBox="1">
          <a:spLocks noChangeArrowheads="1"/>
        </xdr:cNvSpPr>
      </xdr:nvSpPr>
      <xdr:spPr>
        <a:xfrm>
          <a:off x="47625" y="1552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de Revalúo</a:t>
          </a:r>
          <a:r>
            <a:rPr lang="en-US" cap="none" sz="1100" b="0" i="0" u="none" baseline="0">
              <a:solidFill>
                <a:srgbClr val="000000"/>
              </a:solidFill>
              <a:latin typeface="Calibri"/>
              <a:ea typeface="Calibri"/>
              <a:cs typeface="Calibri"/>
            </a:rPr>
            <a:t> se realiza al cierre de cada Ejercicio y según los indices establecidos por SET . </a:t>
          </a:r>
        </a:p>
      </xdr:txBody>
    </xdr:sp>
    <xdr:clientData/>
  </xdr:twoCellAnchor>
  <xdr:twoCellAnchor>
    <xdr:from>
      <xdr:col>0</xdr:col>
      <xdr:colOff>47625</xdr:colOff>
      <xdr:row>12</xdr:row>
      <xdr:rowOff>38100</xdr:rowOff>
    </xdr:from>
    <xdr:to>
      <xdr:col>8</xdr:col>
      <xdr:colOff>85725</xdr:colOff>
      <xdr:row>14</xdr:row>
      <xdr:rowOff>180975</xdr:rowOff>
    </xdr:to>
    <xdr:sp>
      <xdr:nvSpPr>
        <xdr:cNvPr id="2" name="CuadroTexto 3"/>
        <xdr:cNvSpPr txBox="1">
          <a:spLocks noChangeArrowheads="1"/>
        </xdr:cNvSpPr>
      </xdr:nvSpPr>
      <xdr:spPr>
        <a:xfrm>
          <a:off x="47625" y="2324100"/>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Legal</a:t>
          </a:r>
          <a:r>
            <a:rPr lang="en-US" cap="none" sz="1100" b="0" i="0" u="none" baseline="0">
              <a:solidFill>
                <a:srgbClr val="000000"/>
              </a:solidFill>
              <a:latin typeface="Calibri"/>
              <a:ea typeface="Calibri"/>
              <a:cs typeface="Calibri"/>
            </a:rPr>
            <a:t> se realiza al cierre de cada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85725</xdr:colOff>
      <xdr:row>18</xdr:row>
      <xdr:rowOff>171450</xdr:rowOff>
    </xdr:to>
    <xdr:sp>
      <xdr:nvSpPr>
        <xdr:cNvPr id="3" name="CuadroTexto 4"/>
        <xdr:cNvSpPr txBox="1">
          <a:spLocks noChangeArrowheads="1"/>
        </xdr:cNvSpPr>
      </xdr:nvSpPr>
      <xdr:spPr>
        <a:xfrm>
          <a:off x="47625" y="3076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26</xdr:row>
      <xdr:rowOff>38100</xdr:rowOff>
    </xdr:to>
    <xdr:sp>
      <xdr:nvSpPr>
        <xdr:cNvPr id="4" name="CuadroTexto 5"/>
        <xdr:cNvSpPr txBox="1">
          <a:spLocks noChangeArrowheads="1"/>
        </xdr:cNvSpPr>
      </xdr:nvSpPr>
      <xdr:spPr>
        <a:xfrm>
          <a:off x="47625" y="446722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esta cuenta se encuentran  los resultados no distribuidos hasta tanto se difina el destino de los mismos.</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loria\Documents\BOLSA%20DE%20VALORES\DOCUMENTOS%20CON%20FIRMA%20DIGITAL%202021\Estados%20Financieros%20al%2031%2012%2021%20Res%206%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25">
      <selection activeCell="E33" sqref="E33:E36"/>
    </sheetView>
  </sheetViews>
  <sheetFormatPr defaultColWidth="11.421875" defaultRowHeight="15"/>
  <cols>
    <col min="1" max="1" width="19.57421875" style="475" customWidth="1"/>
    <col min="2" max="2" width="21.140625" style="475" customWidth="1"/>
    <col min="3" max="3" width="18.7109375" style="475" customWidth="1"/>
    <col min="4" max="4" width="16.8515625" style="475" customWidth="1"/>
    <col min="5" max="5" width="29.8515625" style="475" customWidth="1"/>
    <col min="6" max="16384" width="11.421875" style="475" customWidth="1"/>
  </cols>
  <sheetData>
    <row r="1" spans="1:6" ht="15.75">
      <c r="A1" s="481"/>
      <c r="B1" s="482"/>
      <c r="C1" s="482"/>
      <c r="D1" s="483"/>
      <c r="E1" s="484"/>
      <c r="F1" s="485"/>
    </row>
    <row r="2" spans="1:6" ht="15.75">
      <c r="A2" s="486"/>
      <c r="B2" s="487"/>
      <c r="C2" s="487"/>
      <c r="D2" s="488"/>
      <c r="E2" s="489"/>
      <c r="F2" s="485"/>
    </row>
    <row r="3" spans="1:6" ht="18">
      <c r="A3" s="490" t="s">
        <v>898</v>
      </c>
      <c r="B3" s="491"/>
      <c r="C3" s="492"/>
      <c r="D3" s="492"/>
      <c r="E3" s="493"/>
      <c r="F3" s="485"/>
    </row>
    <row r="4" spans="1:6" ht="15">
      <c r="A4" s="494"/>
      <c r="B4" s="495"/>
      <c r="C4" s="495"/>
      <c r="D4" s="495"/>
      <c r="E4" s="496"/>
      <c r="F4" s="485"/>
    </row>
    <row r="5" spans="1:7" s="83" customFormat="1" ht="17.25" customHeight="1">
      <c r="A5" s="530" t="s">
        <v>1019</v>
      </c>
      <c r="B5" s="161"/>
      <c r="C5" s="161"/>
      <c r="D5" s="161"/>
      <c r="E5" s="634"/>
      <c r="F5" s="161"/>
      <c r="G5" s="161"/>
    </row>
    <row r="6" spans="1:7" s="83" customFormat="1" ht="15">
      <c r="A6" s="530" t="s">
        <v>1018</v>
      </c>
      <c r="B6" s="161"/>
      <c r="C6" s="161"/>
      <c r="D6" s="161"/>
      <c r="E6" s="634"/>
      <c r="F6" s="161"/>
      <c r="G6" s="161"/>
    </row>
    <row r="7" spans="1:6" s="83" customFormat="1" ht="14.25">
      <c r="A7" s="501"/>
      <c r="B7" s="502"/>
      <c r="C7" s="502"/>
      <c r="D7" s="502"/>
      <c r="E7" s="503"/>
      <c r="F7" s="497"/>
    </row>
    <row r="8" spans="1:6" s="83" customFormat="1" ht="15">
      <c r="A8" s="498" t="s">
        <v>974</v>
      </c>
      <c r="B8" s="499"/>
      <c r="C8" s="499"/>
      <c r="D8" s="499"/>
      <c r="E8" s="500"/>
      <c r="F8" s="497"/>
    </row>
    <row r="9" spans="1:7" s="83" customFormat="1" ht="14.25">
      <c r="A9" s="501"/>
      <c r="B9" s="502"/>
      <c r="C9" s="502"/>
      <c r="D9" s="502"/>
      <c r="E9" s="503"/>
      <c r="F9" s="635"/>
      <c r="G9" s="636"/>
    </row>
    <row r="10" spans="1:6" s="83" customFormat="1" ht="14.25">
      <c r="A10" s="498" t="s">
        <v>910</v>
      </c>
      <c r="B10" s="499"/>
      <c r="C10" s="499"/>
      <c r="D10" s="499"/>
      <c r="E10" s="500"/>
      <c r="F10" s="497"/>
    </row>
    <row r="11" spans="1:7" s="83" customFormat="1" ht="15">
      <c r="A11" s="501"/>
      <c r="B11" s="502"/>
      <c r="C11" s="502"/>
      <c r="D11" s="502"/>
      <c r="E11" s="503"/>
      <c r="F11" s="497"/>
      <c r="G11" s="531"/>
    </row>
    <row r="12" spans="1:6" s="83" customFormat="1" ht="14.25">
      <c r="A12" s="498" t="s">
        <v>911</v>
      </c>
      <c r="B12" s="499"/>
      <c r="C12" s="499"/>
      <c r="D12" s="499"/>
      <c r="E12" s="500"/>
      <c r="F12" s="497"/>
    </row>
    <row r="13" spans="1:6" s="83" customFormat="1" ht="14.25">
      <c r="A13" s="501"/>
      <c r="B13" s="502"/>
      <c r="C13" s="502"/>
      <c r="D13" s="502"/>
      <c r="E13" s="503"/>
      <c r="F13" s="497"/>
    </row>
    <row r="14" spans="1:6" s="83" customFormat="1" ht="36" customHeight="1">
      <c r="A14" s="662" t="s">
        <v>912</v>
      </c>
      <c r="B14" s="663"/>
      <c r="C14" s="663"/>
      <c r="D14" s="663"/>
      <c r="E14" s="664"/>
      <c r="F14" s="497"/>
    </row>
    <row r="15" spans="1:6" s="83" customFormat="1" ht="14.25">
      <c r="A15" s="665" t="s">
        <v>913</v>
      </c>
      <c r="B15" s="666"/>
      <c r="C15" s="666"/>
      <c r="D15" s="666"/>
      <c r="E15" s="667"/>
      <c r="F15" s="497"/>
    </row>
    <row r="16" spans="1:6" s="83" customFormat="1" ht="14.25">
      <c r="A16" s="501"/>
      <c r="B16" s="502"/>
      <c r="C16" s="502"/>
      <c r="D16" s="502"/>
      <c r="E16" s="503"/>
      <c r="F16" s="497"/>
    </row>
    <row r="17" spans="1:6" s="83" customFormat="1" ht="30.75" customHeight="1">
      <c r="A17" s="665" t="s">
        <v>914</v>
      </c>
      <c r="B17" s="666"/>
      <c r="C17" s="666"/>
      <c r="D17" s="666"/>
      <c r="E17" s="667"/>
      <c r="F17" s="497"/>
    </row>
    <row r="18" spans="1:6" s="83" customFormat="1" ht="13.5" customHeight="1">
      <c r="A18" s="504"/>
      <c r="B18" s="505"/>
      <c r="C18" s="505"/>
      <c r="D18" s="505"/>
      <c r="E18" s="506"/>
      <c r="F18" s="497"/>
    </row>
    <row r="19" spans="1:6" s="83" customFormat="1" ht="14.25">
      <c r="A19" s="498" t="s">
        <v>915</v>
      </c>
      <c r="B19" s="499"/>
      <c r="C19" s="499"/>
      <c r="D19" s="499"/>
      <c r="E19" s="500"/>
      <c r="F19" s="497"/>
    </row>
    <row r="20" spans="1:6" s="83" customFormat="1" ht="14.25">
      <c r="A20" s="501"/>
      <c r="B20" s="502"/>
      <c r="C20" s="502"/>
      <c r="D20" s="502"/>
      <c r="E20" s="503"/>
      <c r="F20" s="497"/>
    </row>
    <row r="21" spans="1:6" s="83" customFormat="1" ht="14.25">
      <c r="A21" s="498" t="s">
        <v>899</v>
      </c>
      <c r="B21" s="499"/>
      <c r="C21" s="499"/>
      <c r="D21" s="499"/>
      <c r="E21" s="500"/>
      <c r="F21" s="497"/>
    </row>
    <row r="22" spans="1:6" s="83" customFormat="1" ht="14.25">
      <c r="A22" s="501"/>
      <c r="B22" s="502"/>
      <c r="C22" s="502"/>
      <c r="D22" s="502"/>
      <c r="E22" s="503"/>
      <c r="F22" s="497"/>
    </row>
    <row r="23" spans="1:6" s="83" customFormat="1" ht="14.25">
      <c r="A23" s="498" t="s">
        <v>900</v>
      </c>
      <c r="B23" s="499"/>
      <c r="C23" s="499"/>
      <c r="D23" s="499"/>
      <c r="E23" s="500"/>
      <c r="F23" s="497"/>
    </row>
    <row r="24" spans="1:6" s="83" customFormat="1" ht="14.25">
      <c r="A24" s="501"/>
      <c r="B24" s="502"/>
      <c r="C24" s="502"/>
      <c r="D24" s="502"/>
      <c r="E24" s="503"/>
      <c r="F24" s="497"/>
    </row>
    <row r="25" spans="1:6" s="83" customFormat="1" ht="14.25">
      <c r="A25" s="507"/>
      <c r="B25" s="508"/>
      <c r="C25" s="508"/>
      <c r="D25" s="508" t="s">
        <v>901</v>
      </c>
      <c r="E25" s="509" t="s">
        <v>902</v>
      </c>
      <c r="F25" s="497"/>
    </row>
    <row r="26" spans="1:6" s="83" customFormat="1" ht="14.25">
      <c r="A26" s="510" t="s">
        <v>903</v>
      </c>
      <c r="B26" s="511" t="s">
        <v>904</v>
      </c>
      <c r="C26" s="512" t="s">
        <v>905</v>
      </c>
      <c r="D26" s="512" t="s">
        <v>906</v>
      </c>
      <c r="E26" s="513" t="s">
        <v>906</v>
      </c>
      <c r="F26" s="497"/>
    </row>
    <row r="27" spans="1:6" s="83" customFormat="1" ht="14.25">
      <c r="A27" s="514">
        <v>4000</v>
      </c>
      <c r="B27" s="515">
        <v>5</v>
      </c>
      <c r="C27" s="508" t="s">
        <v>907</v>
      </c>
      <c r="D27" s="516">
        <v>4000000000</v>
      </c>
      <c r="E27" s="517">
        <f>+D27</f>
        <v>4000000000</v>
      </c>
      <c r="F27" s="497"/>
    </row>
    <row r="28" spans="1:6" s="83" customFormat="1" ht="14.25">
      <c r="A28" s="514">
        <v>16000</v>
      </c>
      <c r="B28" s="515">
        <v>1</v>
      </c>
      <c r="C28" s="508" t="s">
        <v>908</v>
      </c>
      <c r="D28" s="516">
        <v>16000000000</v>
      </c>
      <c r="E28" s="517">
        <f>+D28</f>
        <v>16000000000</v>
      </c>
      <c r="F28" s="497"/>
    </row>
    <row r="29" spans="1:6" s="83" customFormat="1" ht="15">
      <c r="A29" s="518">
        <v>100000</v>
      </c>
      <c r="B29" s="519">
        <v>12</v>
      </c>
      <c r="C29" s="508"/>
      <c r="D29" s="520">
        <f>+D27+D28</f>
        <v>20000000000</v>
      </c>
      <c r="E29" s="521">
        <f>+E27+E28</f>
        <v>20000000000</v>
      </c>
      <c r="F29" s="497"/>
    </row>
    <row r="30" spans="1:6" s="83" customFormat="1" ht="15" thickBot="1">
      <c r="A30" s="522"/>
      <c r="B30" s="523"/>
      <c r="C30" s="523"/>
      <c r="D30" s="524"/>
      <c r="E30" s="525"/>
      <c r="F30" s="497"/>
    </row>
    <row r="33" ht="15"/>
    <row r="34" ht="15"/>
    <row r="35" ht="15"/>
    <row r="36" ht="15"/>
    <row r="37" spans="1:8" ht="15">
      <c r="A37" s="668"/>
      <c r="B37" s="668"/>
      <c r="C37" s="671"/>
      <c r="D37" s="671"/>
      <c r="E37" s="671" t="s">
        <v>916</v>
      </c>
      <c r="F37" s="671"/>
      <c r="G37" s="526"/>
      <c r="H37" s="161"/>
    </row>
    <row r="38" spans="1:8" ht="15">
      <c r="A38" s="668"/>
      <c r="B38" s="668"/>
      <c r="C38" s="671"/>
      <c r="D38" s="671"/>
      <c r="E38" s="671" t="s">
        <v>909</v>
      </c>
      <c r="F38" s="671"/>
      <c r="G38" s="527"/>
      <c r="H38" s="161"/>
    </row>
    <row r="39" ht="15"/>
    <row r="40" s="67" customFormat="1" ht="15">
      <c r="A40" s="528"/>
    </row>
    <row r="41" ht="75" customHeight="1">
      <c r="A41" s="529"/>
    </row>
    <row r="42" spans="2:4" ht="15">
      <c r="B42" s="668"/>
      <c r="C42" s="668"/>
      <c r="D42" s="668"/>
    </row>
    <row r="43" spans="2:4" ht="15">
      <c r="B43" s="669"/>
      <c r="C43" s="669"/>
      <c r="D43" s="669"/>
    </row>
    <row r="44" spans="2:4" ht="12.75" customHeight="1">
      <c r="B44" s="670"/>
      <c r="C44" s="670"/>
      <c r="D44" s="670"/>
    </row>
    <row r="45" spans="2:4" ht="12.75" customHeight="1">
      <c r="B45" s="670"/>
      <c r="C45" s="670"/>
      <c r="D45" s="670"/>
    </row>
    <row r="46" spans="1:5" ht="15">
      <c r="A46" s="485"/>
      <c r="B46" s="670"/>
      <c r="C46" s="670"/>
      <c r="D46" s="670"/>
      <c r="E46" s="485"/>
    </row>
    <row r="47" spans="1:5" ht="15">
      <c r="A47" s="485"/>
      <c r="B47" s="670"/>
      <c r="C47" s="670"/>
      <c r="D47" s="670"/>
      <c r="E47" s="485"/>
    </row>
    <row r="48" spans="1:5" ht="15">
      <c r="A48" s="485"/>
      <c r="B48" s="670"/>
      <c r="C48" s="670"/>
      <c r="D48" s="670"/>
      <c r="E48" s="485"/>
    </row>
    <row r="49" spans="1:5" ht="15">
      <c r="A49" s="485"/>
      <c r="D49" s="485"/>
      <c r="E49" s="485"/>
    </row>
    <row r="50" spans="4:5" ht="15">
      <c r="D50" s="485"/>
      <c r="E50" s="485"/>
    </row>
  </sheetData>
  <sheetProtection/>
  <mergeCells count="12">
    <mergeCell ref="B43:D43"/>
    <mergeCell ref="B44:D48"/>
    <mergeCell ref="C37:D37"/>
    <mergeCell ref="E37:F37"/>
    <mergeCell ref="C38:D38"/>
    <mergeCell ref="E38:F38"/>
    <mergeCell ref="A14:E14"/>
    <mergeCell ref="A15:E15"/>
    <mergeCell ref="A17:E17"/>
    <mergeCell ref="A37:B37"/>
    <mergeCell ref="A38:B38"/>
    <mergeCell ref="B42:D42"/>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9"/>
  <dimension ref="A1:IV70"/>
  <sheetViews>
    <sheetView zoomScalePageLayoutView="0" workbookViewId="0" topLeftCell="A4">
      <selection activeCell="A1" sqref="A1"/>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54" customWidth="1"/>
  </cols>
  <sheetData>
    <row r="1" spans="1:6" ht="15">
      <c r="A1" s="159" t="str">
        <f>+'Nota 3'!A1</f>
        <v>IMPORT CENTER S.A.</v>
      </c>
      <c r="B1" s="154"/>
      <c r="C1" s="154"/>
      <c r="D1" s="177" t="s">
        <v>129</v>
      </c>
      <c r="E1" s="154"/>
      <c r="F1" s="154"/>
    </row>
    <row r="2" spans="1:6" ht="15">
      <c r="A2" s="154"/>
      <c r="B2" s="154"/>
      <c r="C2" s="154"/>
      <c r="D2" s="154"/>
      <c r="E2" s="154"/>
      <c r="F2" s="154"/>
    </row>
    <row r="3" spans="1:6" ht="15">
      <c r="A3" s="154"/>
      <c r="B3" s="154"/>
      <c r="C3" s="154"/>
      <c r="D3" s="154"/>
      <c r="E3" s="154"/>
      <c r="F3" s="154"/>
    </row>
    <row r="4" spans="1:6" ht="15">
      <c r="A4" s="745" t="s">
        <v>269</v>
      </c>
      <c r="B4" s="745"/>
      <c r="C4" s="745"/>
      <c r="D4" s="154"/>
      <c r="E4" s="154"/>
      <c r="F4" s="154"/>
    </row>
    <row r="5" spans="1:6" ht="15">
      <c r="A5" s="153"/>
      <c r="B5" s="153"/>
      <c r="C5" s="153"/>
      <c r="D5" s="154"/>
      <c r="E5" s="154"/>
      <c r="F5" s="154"/>
    </row>
    <row r="6" spans="1:6" ht="15">
      <c r="A6" s="152" t="s">
        <v>4</v>
      </c>
      <c r="B6" s="153"/>
      <c r="C6" s="153"/>
      <c r="D6" s="154"/>
      <c r="E6" s="154"/>
      <c r="F6" s="154"/>
    </row>
    <row r="7" spans="1:6" ht="15">
      <c r="A7" s="152"/>
      <c r="B7" s="746" t="s">
        <v>291</v>
      </c>
      <c r="C7" s="746"/>
      <c r="D7" s="154"/>
      <c r="E7" s="154"/>
      <c r="F7" s="154"/>
    </row>
    <row r="8" spans="1:6" ht="15">
      <c r="A8" s="49" t="s">
        <v>5</v>
      </c>
      <c r="B8" s="424">
        <f>_xlfn.IFERROR(IF(Indice!B6="","2XX2",YEAR(Indice!B6)),"2XX2")</f>
        <v>2022</v>
      </c>
      <c r="C8" s="424">
        <f>_xlfn.IFERROR(YEAR(Indice!B6-365),"2XX1")</f>
        <v>2021</v>
      </c>
      <c r="D8" s="154"/>
      <c r="E8" s="154"/>
      <c r="F8" s="154"/>
    </row>
    <row r="9" spans="1:6" ht="15">
      <c r="A9" s="154" t="s">
        <v>420</v>
      </c>
      <c r="B9" s="154"/>
      <c r="C9" s="154"/>
      <c r="D9" s="154"/>
      <c r="E9" s="154"/>
      <c r="F9" s="154"/>
    </row>
    <row r="10" spans="1:30" s="287" customFormat="1" ht="15">
      <c r="A10" s="154" t="s">
        <v>415</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1:30" s="287" customFormat="1" ht="15">
      <c r="A11" s="154" t="s">
        <v>414</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row>
    <row r="12" spans="1:256" s="319" customFormat="1" ht="15">
      <c r="A12" s="154" t="s">
        <v>421</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row>
    <row r="13" spans="1:256" s="319" customFormat="1" ht="15">
      <c r="A13" s="154" t="s">
        <v>416</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row>
    <row r="14" spans="1:256" s="319" customFormat="1" ht="15">
      <c r="A14" s="154" t="s">
        <v>417</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row>
    <row r="15" spans="1:256" s="319" customFormat="1" ht="15">
      <c r="A15" s="154" t="s">
        <v>418</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6" ht="15">
      <c r="A16" s="154" t="s">
        <v>419</v>
      </c>
      <c r="B16" s="154"/>
      <c r="C16" s="154"/>
      <c r="D16" s="154"/>
      <c r="E16" s="154"/>
      <c r="F16" s="154"/>
    </row>
    <row r="17" spans="1:6" ht="15">
      <c r="A17" s="154" t="s">
        <v>422</v>
      </c>
      <c r="B17" s="154"/>
      <c r="C17" s="154"/>
      <c r="D17" s="154"/>
      <c r="E17" s="154"/>
      <c r="F17" s="154"/>
    </row>
    <row r="18" spans="1:6" ht="15.75" thickBot="1">
      <c r="A18" s="55" t="s">
        <v>3</v>
      </c>
      <c r="B18" s="57">
        <f>SUM($B$9:B17)</f>
        <v>0</v>
      </c>
      <c r="C18" s="57">
        <f>SUM($C$9:C17)</f>
        <v>0</v>
      </c>
      <c r="D18" s="154"/>
      <c r="E18" s="154"/>
      <c r="F18" s="154"/>
    </row>
    <row r="19" spans="1:6" ht="15.75" thickTop="1">
      <c r="A19" s="154"/>
      <c r="B19" s="154"/>
      <c r="C19" s="154"/>
      <c r="D19" s="154"/>
      <c r="E19" s="154"/>
      <c r="F19" s="154"/>
    </row>
    <row r="20" spans="1:6" ht="15">
      <c r="A20" s="154"/>
      <c r="B20" s="154"/>
      <c r="C20" s="154"/>
      <c r="D20" s="154"/>
      <c r="E20" s="154"/>
      <c r="F20" s="154"/>
    </row>
    <row r="21" spans="1:6" ht="15">
      <c r="A21" s="154"/>
      <c r="B21" s="154"/>
      <c r="C21" s="154"/>
      <c r="D21" s="154"/>
      <c r="E21" s="154"/>
      <c r="F21" s="154"/>
    </row>
    <row r="22" spans="1:6" ht="15">
      <c r="A22" s="154"/>
      <c r="B22" s="154"/>
      <c r="C22" s="154"/>
      <c r="D22" s="154"/>
      <c r="E22" s="154"/>
      <c r="F22" s="154"/>
    </row>
    <row r="23" spans="1:6" ht="15">
      <c r="A23" s="154"/>
      <c r="B23" s="154"/>
      <c r="C23" s="154"/>
      <c r="D23" s="154"/>
      <c r="E23" s="154"/>
      <c r="F23" s="154"/>
    </row>
    <row r="24" spans="1:6" ht="15">
      <c r="A24" s="154"/>
      <c r="B24" s="154"/>
      <c r="C24" s="154"/>
      <c r="D24" s="154"/>
      <c r="E24" s="154"/>
      <c r="F24" s="154"/>
    </row>
    <row r="25" spans="1:6" ht="15">
      <c r="A25" s="154"/>
      <c r="B25" s="154"/>
      <c r="C25" s="154"/>
      <c r="D25" s="154"/>
      <c r="E25" s="154"/>
      <c r="F25" s="154"/>
    </row>
    <row r="26" spans="1:6" ht="15">
      <c r="A26" s="154"/>
      <c r="B26" s="154"/>
      <c r="C26" s="154"/>
      <c r="D26" s="154"/>
      <c r="E26" s="154"/>
      <c r="F26" s="154"/>
    </row>
    <row r="27" spans="1:6" ht="15">
      <c r="A27" s="154"/>
      <c r="B27" s="154"/>
      <c r="C27" s="154"/>
      <c r="D27" s="154"/>
      <c r="E27" s="154"/>
      <c r="F27" s="154"/>
    </row>
    <row r="28" spans="1:6" ht="15">
      <c r="A28" s="154"/>
      <c r="B28" s="154"/>
      <c r="C28" s="154"/>
      <c r="D28" s="154"/>
      <c r="E28" s="154"/>
      <c r="F28" s="154"/>
    </row>
    <row r="29" spans="1:6" ht="15">
      <c r="A29" s="154"/>
      <c r="B29" s="154"/>
      <c r="C29" s="154"/>
      <c r="D29" s="154"/>
      <c r="E29" s="154"/>
      <c r="F29" s="154"/>
    </row>
    <row r="30" spans="1:6" ht="15">
      <c r="A30" s="154"/>
      <c r="B30" s="154"/>
      <c r="C30" s="154"/>
      <c r="D30" s="154"/>
      <c r="E30" s="154"/>
      <c r="F30" s="154"/>
    </row>
    <row r="31" spans="1:6" ht="15">
      <c r="A31" s="154"/>
      <c r="B31" s="154"/>
      <c r="C31" s="154"/>
      <c r="D31" s="154"/>
      <c r="E31" s="154"/>
      <c r="F31" s="154"/>
    </row>
    <row r="32" spans="1:6" ht="15">
      <c r="A32" s="154"/>
      <c r="B32" s="154"/>
      <c r="C32" s="154"/>
      <c r="D32" s="154"/>
      <c r="E32" s="154"/>
      <c r="F32" s="154"/>
    </row>
    <row r="33" spans="1:6" ht="15">
      <c r="A33" s="154"/>
      <c r="B33" s="154"/>
      <c r="C33" s="154"/>
      <c r="D33" s="154"/>
      <c r="E33" s="154"/>
      <c r="F33" s="154"/>
    </row>
    <row r="34" spans="1:6" ht="15">
      <c r="A34" s="154"/>
      <c r="B34" s="154"/>
      <c r="C34" s="154"/>
      <c r="D34" s="154"/>
      <c r="E34" s="154"/>
      <c r="F34" s="154"/>
    </row>
    <row r="35" spans="1:6" ht="15">
      <c r="A35" s="154"/>
      <c r="B35" s="154"/>
      <c r="C35" s="154"/>
      <c r="D35" s="154"/>
      <c r="E35" s="154"/>
      <c r="F35" s="154"/>
    </row>
    <row r="36" spans="1:6" ht="15">
      <c r="A36" s="154"/>
      <c r="B36" s="154"/>
      <c r="C36" s="154"/>
      <c r="D36" s="154"/>
      <c r="E36" s="154"/>
      <c r="F36" s="154"/>
    </row>
    <row r="37" spans="1:6" ht="15">
      <c r="A37" s="154"/>
      <c r="B37" s="154"/>
      <c r="C37" s="154"/>
      <c r="D37" s="154"/>
      <c r="E37" s="154"/>
      <c r="F37" s="154"/>
    </row>
    <row r="38" spans="1:6" ht="15">
      <c r="A38" s="154"/>
      <c r="B38" s="154"/>
      <c r="C38" s="154"/>
      <c r="D38" s="154"/>
      <c r="E38" s="154"/>
      <c r="F38" s="154"/>
    </row>
    <row r="39" spans="1:6" ht="15">
      <c r="A39" s="154"/>
      <c r="B39" s="154"/>
      <c r="C39" s="154"/>
      <c r="D39" s="154"/>
      <c r="E39" s="154"/>
      <c r="F39" s="154"/>
    </row>
    <row r="40" spans="1:6" ht="15">
      <c r="A40" s="154"/>
      <c r="B40" s="154"/>
      <c r="C40" s="154"/>
      <c r="D40" s="154"/>
      <c r="E40" s="154"/>
      <c r="F40" s="154"/>
    </row>
    <row r="41" spans="1:6" ht="15">
      <c r="A41" s="154"/>
      <c r="B41" s="154"/>
      <c r="C41" s="154"/>
      <c r="D41" s="154"/>
      <c r="E41" s="154"/>
      <c r="F41" s="154"/>
    </row>
    <row r="42" spans="1:6" ht="15">
      <c r="A42" s="154"/>
      <c r="B42" s="154"/>
      <c r="C42" s="154"/>
      <c r="D42" s="154"/>
      <c r="E42" s="154"/>
      <c r="F42" s="154"/>
    </row>
    <row r="43" spans="1:6" ht="15">
      <c r="A43" s="154"/>
      <c r="B43" s="154"/>
      <c r="C43" s="154"/>
      <c r="D43" s="154"/>
      <c r="E43" s="154"/>
      <c r="F43" s="154"/>
    </row>
    <row r="44" spans="1:6" ht="15">
      <c r="A44" s="154"/>
      <c r="B44" s="154"/>
      <c r="C44" s="154"/>
      <c r="D44" s="154"/>
      <c r="E44" s="154"/>
      <c r="F44" s="154"/>
    </row>
    <row r="45" spans="1:6" ht="15">
      <c r="A45" s="154"/>
      <c r="B45" s="154"/>
      <c r="C45" s="154"/>
      <c r="D45" s="154"/>
      <c r="E45" s="154"/>
      <c r="F45" s="154"/>
    </row>
    <row r="46" spans="1:6" ht="15">
      <c r="A46" s="154"/>
      <c r="B46" s="154"/>
      <c r="C46" s="154"/>
      <c r="D46" s="154"/>
      <c r="E46" s="154"/>
      <c r="F46" s="154"/>
    </row>
    <row r="47" spans="1:6" ht="15">
      <c r="A47" s="154"/>
      <c r="B47" s="154"/>
      <c r="C47" s="154"/>
      <c r="D47" s="154"/>
      <c r="E47" s="154"/>
      <c r="F47" s="154"/>
    </row>
    <row r="48" spans="1:6" ht="15">
      <c r="A48" s="154"/>
      <c r="B48" s="154"/>
      <c r="C48" s="154"/>
      <c r="D48" s="154"/>
      <c r="E48" s="154"/>
      <c r="F48" s="154"/>
    </row>
    <row r="49" spans="1:6" ht="15">
      <c r="A49" s="154"/>
      <c r="B49" s="154"/>
      <c r="C49" s="154"/>
      <c r="D49" s="154"/>
      <c r="E49" s="154"/>
      <c r="F49" s="154"/>
    </row>
    <row r="50" spans="1:6" ht="15">
      <c r="A50" s="154"/>
      <c r="B50" s="154"/>
      <c r="C50" s="154"/>
      <c r="D50" s="154"/>
      <c r="E50" s="154"/>
      <c r="F50" s="154"/>
    </row>
    <row r="51" spans="1:6" ht="15">
      <c r="A51" s="154"/>
      <c r="B51" s="154"/>
      <c r="C51" s="154"/>
      <c r="D51" s="154"/>
      <c r="E51" s="154"/>
      <c r="F51" s="154"/>
    </row>
    <row r="52" spans="1:6" ht="15">
      <c r="A52" s="154"/>
      <c r="B52" s="154"/>
      <c r="C52" s="154"/>
      <c r="D52" s="154"/>
      <c r="E52" s="154"/>
      <c r="F52" s="154"/>
    </row>
    <row r="53" spans="1:6" ht="15">
      <c r="A53" s="154"/>
      <c r="B53" s="154"/>
      <c r="C53" s="154"/>
      <c r="D53" s="154"/>
      <c r="E53" s="154"/>
      <c r="F53" s="154"/>
    </row>
    <row r="54" spans="1:6" ht="15">
      <c r="A54" s="154"/>
      <c r="B54" s="154"/>
      <c r="C54" s="154"/>
      <c r="D54" s="154"/>
      <c r="E54" s="154"/>
      <c r="F54" s="154"/>
    </row>
    <row r="55" spans="1:6" ht="15">
      <c r="A55" s="154"/>
      <c r="B55" s="154"/>
      <c r="C55" s="154"/>
      <c r="D55" s="154"/>
      <c r="E55" s="154"/>
      <c r="F55" s="154"/>
    </row>
    <row r="56" spans="1:6" ht="15">
      <c r="A56" s="154"/>
      <c r="B56" s="154"/>
      <c r="C56" s="154"/>
      <c r="D56" s="154"/>
      <c r="E56" s="154"/>
      <c r="F56" s="154"/>
    </row>
    <row r="57" spans="1:6" ht="15">
      <c r="A57" s="154"/>
      <c r="B57" s="154"/>
      <c r="C57" s="154"/>
      <c r="D57" s="154"/>
      <c r="E57" s="154"/>
      <c r="F57" s="154"/>
    </row>
    <row r="58" spans="1:6" ht="15">
      <c r="A58" s="154"/>
      <c r="B58" s="154"/>
      <c r="C58" s="154"/>
      <c r="D58" s="154"/>
      <c r="E58" s="154"/>
      <c r="F58" s="154"/>
    </row>
    <row r="59" spans="1:6" ht="15">
      <c r="A59" s="154"/>
      <c r="B59" s="154"/>
      <c r="C59" s="154"/>
      <c r="D59" s="154"/>
      <c r="E59" s="154"/>
      <c r="F59" s="154"/>
    </row>
    <row r="60" spans="1:6" ht="15">
      <c r="A60" s="154"/>
      <c r="B60" s="154"/>
      <c r="C60" s="154"/>
      <c r="D60" s="154"/>
      <c r="E60" s="154"/>
      <c r="F60" s="154"/>
    </row>
    <row r="61" spans="1:6" ht="15">
      <c r="A61" s="154"/>
      <c r="B61" s="154"/>
      <c r="C61" s="154"/>
      <c r="D61" s="154"/>
      <c r="E61" s="154"/>
      <c r="F61" s="154"/>
    </row>
    <row r="62" spans="1:6" ht="15">
      <c r="A62" s="154"/>
      <c r="B62" s="154"/>
      <c r="C62" s="154"/>
      <c r="D62" s="154"/>
      <c r="E62" s="154"/>
      <c r="F62" s="154"/>
    </row>
    <row r="63" spans="1:6" ht="15">
      <c r="A63" s="154"/>
      <c r="B63" s="154"/>
      <c r="C63" s="154"/>
      <c r="D63" s="154"/>
      <c r="E63" s="154"/>
      <c r="F63" s="154"/>
    </row>
    <row r="64" spans="1:6" ht="15">
      <c r="A64" s="154"/>
      <c r="B64" s="154"/>
      <c r="C64" s="154"/>
      <c r="D64" s="154"/>
      <c r="E64" s="154"/>
      <c r="F64" s="154"/>
    </row>
    <row r="65" spans="1:6" ht="15">
      <c r="A65" s="154"/>
      <c r="B65" s="154"/>
      <c r="C65" s="154"/>
      <c r="D65" s="154"/>
      <c r="E65" s="154"/>
      <c r="F65" s="154"/>
    </row>
    <row r="66" spans="1:6" ht="15">
      <c r="A66" s="154"/>
      <c r="B66" s="154"/>
      <c r="C66" s="154"/>
      <c r="D66" s="154"/>
      <c r="E66" s="154"/>
      <c r="F66" s="154"/>
    </row>
    <row r="67" spans="1:6" ht="15">
      <c r="A67" s="154"/>
      <c r="B67" s="154"/>
      <c r="C67" s="154"/>
      <c r="D67" s="154"/>
      <c r="E67" s="154"/>
      <c r="F67" s="154"/>
    </row>
    <row r="68" spans="1:6" ht="15">
      <c r="A68" s="154"/>
      <c r="B68" s="154"/>
      <c r="C68" s="154"/>
      <c r="D68" s="154"/>
      <c r="E68" s="154"/>
      <c r="F68" s="154"/>
    </row>
    <row r="69" spans="1:6" ht="15">
      <c r="A69" s="154"/>
      <c r="B69" s="154"/>
      <c r="C69" s="154"/>
      <c r="D69" s="154"/>
      <c r="E69" s="154"/>
      <c r="F69" s="154"/>
    </row>
    <row r="70" spans="1:6" ht="15">
      <c r="A70" s="154"/>
      <c r="B70" s="154"/>
      <c r="C70" s="154"/>
      <c r="D70" s="154"/>
      <c r="E70" s="154"/>
      <c r="F70" s="154"/>
    </row>
  </sheetData>
  <sheetProtection/>
  <mergeCells count="2">
    <mergeCell ref="A4:C4"/>
    <mergeCell ref="B7:C7"/>
  </mergeCells>
  <hyperlinks>
    <hyperlink ref="D1" location="BG!A1" display="BG"/>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H58"/>
  <sheetViews>
    <sheetView showGridLines="0" zoomScalePageLayoutView="0" workbookViewId="0" topLeftCell="B1">
      <selection activeCell="G7" sqref="G7"/>
    </sheetView>
  </sheetViews>
  <sheetFormatPr defaultColWidth="11.421875" defaultRowHeight="15"/>
  <cols>
    <col min="1" max="1" width="40.28125" style="11" customWidth="1"/>
    <col min="2" max="2" width="27.7109375" style="11" customWidth="1"/>
    <col min="3" max="3" width="25.421875" style="11" customWidth="1"/>
    <col min="4" max="4" width="19.57421875" style="11" customWidth="1"/>
    <col min="5" max="5" width="4.8515625" style="11" customWidth="1"/>
    <col min="6" max="6" width="61.57421875" style="11" customWidth="1"/>
    <col min="7" max="7" width="13.8515625" style="11" bestFit="1" customWidth="1"/>
    <col min="8" max="8" width="27.8515625" style="11" bestFit="1" customWidth="1"/>
    <col min="9" max="16384" width="11.421875" style="11" customWidth="1"/>
  </cols>
  <sheetData>
    <row r="1" spans="1:6" ht="15">
      <c r="A1" s="13" t="str">
        <f>Indice!C1</f>
        <v>IMPORT CENTER S.A.</v>
      </c>
      <c r="F1" s="181" t="s">
        <v>129</v>
      </c>
    </row>
    <row r="2" ht="12.75">
      <c r="C2" s="143"/>
    </row>
    <row r="3" spans="1:5" ht="12.75">
      <c r="A3" s="369" t="s">
        <v>270</v>
      </c>
      <c r="B3" s="369"/>
      <c r="C3" s="420"/>
      <c r="D3" s="420"/>
      <c r="E3" s="420"/>
    </row>
    <row r="4" spans="1:5" ht="12.75">
      <c r="A4" s="2" t="s">
        <v>860</v>
      </c>
      <c r="B4" s="2"/>
      <c r="E4" s="143"/>
    </row>
    <row r="5" spans="1:5" ht="12.75">
      <c r="A5" s="153"/>
      <c r="B5" s="153"/>
      <c r="C5" s="747" t="s">
        <v>227</v>
      </c>
      <c r="D5" s="748"/>
      <c r="E5" s="143"/>
    </row>
    <row r="6" spans="1:8" ht="12.75">
      <c r="A6" s="16"/>
      <c r="B6" s="16"/>
      <c r="C6" s="421">
        <f>_xlfn.IFERROR(IF(Indice!B6="","2XX2",YEAR(Indice!B6)),"2XX2")</f>
        <v>2022</v>
      </c>
      <c r="D6" s="421">
        <f>_xlfn.IFERROR(YEAR(Indice!B6-365),"2XX1")</f>
        <v>2021</v>
      </c>
      <c r="E6" s="143"/>
      <c r="F6" s="404" t="s">
        <v>853</v>
      </c>
      <c r="G6" s="405">
        <v>44834</v>
      </c>
      <c r="H6" s="419"/>
    </row>
    <row r="7" spans="1:8" ht="12.75">
      <c r="A7" s="272" t="s">
        <v>276</v>
      </c>
      <c r="B7" s="272" t="s">
        <v>423</v>
      </c>
      <c r="C7" s="536">
        <v>3457908</v>
      </c>
      <c r="D7" s="536">
        <v>4055409</v>
      </c>
      <c r="E7" s="143"/>
      <c r="F7" s="403" t="s">
        <v>271</v>
      </c>
      <c r="G7" s="138" t="s">
        <v>855</v>
      </c>
      <c r="H7" s="138" t="s">
        <v>859</v>
      </c>
    </row>
    <row r="8" spans="1:8" ht="12.75">
      <c r="A8" s="272" t="s">
        <v>276</v>
      </c>
      <c r="B8" s="272" t="s">
        <v>424</v>
      </c>
      <c r="C8" s="536">
        <v>1209005</v>
      </c>
      <c r="D8" s="536">
        <v>873993</v>
      </c>
      <c r="E8" s="143"/>
      <c r="F8" s="10" t="s">
        <v>8</v>
      </c>
      <c r="G8" s="409">
        <v>4996635</v>
      </c>
      <c r="H8" s="416">
        <v>0</v>
      </c>
    </row>
    <row r="9" spans="1:8" ht="12.75">
      <c r="A9" s="272" t="s">
        <v>276</v>
      </c>
      <c r="B9" s="272" t="s">
        <v>425</v>
      </c>
      <c r="C9" s="536">
        <v>0</v>
      </c>
      <c r="D9" s="536">
        <v>0</v>
      </c>
      <c r="E9" s="143"/>
      <c r="F9" s="274" t="s">
        <v>12</v>
      </c>
      <c r="G9" s="270">
        <f>SUM(G11:G13)</f>
        <v>1263729</v>
      </c>
      <c r="H9" s="417"/>
    </row>
    <row r="10" spans="1:8" ht="12.75">
      <c r="A10" s="272" t="s">
        <v>277</v>
      </c>
      <c r="B10" s="272" t="s">
        <v>423</v>
      </c>
      <c r="C10" s="536"/>
      <c r="D10" s="536"/>
      <c r="E10" s="143"/>
      <c r="F10" s="418" t="s">
        <v>102</v>
      </c>
      <c r="G10" s="270"/>
      <c r="H10" s="417"/>
    </row>
    <row r="11" spans="1:8" ht="12.75">
      <c r="A11" s="272" t="s">
        <v>277</v>
      </c>
      <c r="B11" s="272" t="s">
        <v>424</v>
      </c>
      <c r="C11" s="536"/>
      <c r="D11" s="536"/>
      <c r="E11" s="143"/>
      <c r="F11" s="272" t="s">
        <v>9</v>
      </c>
      <c r="G11" s="270">
        <v>32364</v>
      </c>
      <c r="H11" s="417">
        <v>0.2</v>
      </c>
    </row>
    <row r="12" spans="1:8" ht="12.75">
      <c r="A12" s="272" t="s">
        <v>277</v>
      </c>
      <c r="B12" s="272" t="s">
        <v>425</v>
      </c>
      <c r="C12" s="536"/>
      <c r="D12" s="536"/>
      <c r="E12" s="143"/>
      <c r="F12" s="272" t="s">
        <v>10</v>
      </c>
      <c r="G12" s="270">
        <v>466142</v>
      </c>
      <c r="H12" s="417">
        <v>0.5</v>
      </c>
    </row>
    <row r="13" spans="1:8" ht="12.75">
      <c r="A13" s="272" t="s">
        <v>426</v>
      </c>
      <c r="B13" s="272" t="s">
        <v>423</v>
      </c>
      <c r="C13" s="536"/>
      <c r="D13" s="536"/>
      <c r="E13" s="143"/>
      <c r="F13" s="272" t="s">
        <v>11</v>
      </c>
      <c r="G13" s="270">
        <v>765223</v>
      </c>
      <c r="H13" s="417">
        <v>0</v>
      </c>
    </row>
    <row r="14" spans="1:8" ht="12.75">
      <c r="A14" s="272" t="s">
        <v>426</v>
      </c>
      <c r="B14" s="272" t="s">
        <v>424</v>
      </c>
      <c r="C14" s="536"/>
      <c r="D14" s="536"/>
      <c r="E14" s="143"/>
      <c r="F14" s="10"/>
      <c r="G14" s="155"/>
      <c r="H14" s="410"/>
    </row>
    <row r="15" spans="1:8" ht="12.75">
      <c r="A15" s="272" t="s">
        <v>426</v>
      </c>
      <c r="B15" s="272" t="s">
        <v>425</v>
      </c>
      <c r="C15" s="536"/>
      <c r="D15" s="536"/>
      <c r="E15" s="143"/>
      <c r="F15" s="411" t="s">
        <v>854</v>
      </c>
      <c r="G15" s="7">
        <f>G8+G9</f>
        <v>6260364</v>
      </c>
      <c r="H15" s="412"/>
    </row>
    <row r="16" spans="1:8" ht="12.75">
      <c r="A16" s="272" t="s">
        <v>273</v>
      </c>
      <c r="B16" s="272" t="s">
        <v>423</v>
      </c>
      <c r="C16" s="536">
        <v>658018</v>
      </c>
      <c r="D16" s="536">
        <v>968425</v>
      </c>
      <c r="E16" s="143"/>
      <c r="F16" s="10"/>
      <c r="G16" s="155"/>
      <c r="H16" s="410"/>
    </row>
    <row r="17" spans="1:8" ht="12.75">
      <c r="A17" s="272" t="s">
        <v>273</v>
      </c>
      <c r="B17" s="272" t="s">
        <v>424</v>
      </c>
      <c r="C17" s="536">
        <v>0</v>
      </c>
      <c r="D17" s="536">
        <v>14433</v>
      </c>
      <c r="E17" s="143"/>
      <c r="F17" s="413" t="s">
        <v>1000</v>
      </c>
      <c r="G17" s="8">
        <f>-((G8*H8)+(SUMPRODUCT(G11:G13,H11:H13)))</f>
        <v>-239543.8</v>
      </c>
      <c r="H17" s="139"/>
    </row>
    <row r="18" spans="1:8" ht="12.75">
      <c r="A18" s="272" t="s">
        <v>273</v>
      </c>
      <c r="B18" s="272" t="s">
        <v>425</v>
      </c>
      <c r="C18" s="536"/>
      <c r="D18" s="536"/>
      <c r="E18" s="143"/>
      <c r="F18" s="413" t="s">
        <v>1001</v>
      </c>
      <c r="G18" s="645" t="s">
        <v>1002</v>
      </c>
      <c r="H18" s="402"/>
    </row>
    <row r="19" spans="1:8" ht="12.75">
      <c r="A19" s="272" t="s">
        <v>275</v>
      </c>
      <c r="B19" s="272" t="s">
        <v>423</v>
      </c>
      <c r="C19" s="536"/>
      <c r="D19" s="536"/>
      <c r="E19" s="143"/>
      <c r="F19" s="414" t="s">
        <v>856</v>
      </c>
      <c r="G19" s="415">
        <f>G15+G17+G18-1</f>
        <v>5977586.2</v>
      </c>
      <c r="H19" s="7"/>
    </row>
    <row r="20" spans="1:8" ht="12.75">
      <c r="A20" s="272" t="s">
        <v>275</v>
      </c>
      <c r="B20" s="272" t="s">
        <v>424</v>
      </c>
      <c r="C20" s="536"/>
      <c r="D20" s="536"/>
      <c r="E20" s="143"/>
      <c r="F20" s="10"/>
      <c r="G20" s="406"/>
      <c r="H20" s="16"/>
    </row>
    <row r="21" spans="1:8" ht="15" customHeight="1">
      <c r="A21" s="272" t="s">
        <v>998</v>
      </c>
      <c r="B21" s="272" t="s">
        <v>423</v>
      </c>
      <c r="C21" s="536">
        <v>5000</v>
      </c>
      <c r="D21" s="536">
        <v>3000</v>
      </c>
      <c r="E21" s="143"/>
      <c r="F21" s="6" t="s">
        <v>13</v>
      </c>
      <c r="G21" s="407"/>
      <c r="H21" s="407"/>
    </row>
    <row r="22" spans="1:8" ht="12.75">
      <c r="A22" s="272" t="s">
        <v>427</v>
      </c>
      <c r="B22" s="272" t="s">
        <v>424</v>
      </c>
      <c r="C22" s="536"/>
      <c r="D22" s="536"/>
      <c r="E22" s="143"/>
      <c r="F22" s="156" t="s">
        <v>14</v>
      </c>
      <c r="G22" s="408" t="s">
        <v>857</v>
      </c>
      <c r="H22" s="408" t="s">
        <v>858</v>
      </c>
    </row>
    <row r="23" spans="1:8" ht="12.75">
      <c r="A23" s="272" t="s">
        <v>427</v>
      </c>
      <c r="B23" s="272" t="s">
        <v>425</v>
      </c>
      <c r="C23" s="536"/>
      <c r="D23" s="536"/>
      <c r="E23" s="143"/>
      <c r="F23" s="10" t="s">
        <v>9</v>
      </c>
      <c r="G23" s="273">
        <v>181</v>
      </c>
      <c r="H23" s="273">
        <v>365</v>
      </c>
    </row>
    <row r="24" spans="1:8" ht="12.75">
      <c r="A24" s="272" t="s">
        <v>428</v>
      </c>
      <c r="B24" s="272"/>
      <c r="C24" s="536">
        <v>-149104</v>
      </c>
      <c r="D24" s="536">
        <v>-257404</v>
      </c>
      <c r="E24" s="143"/>
      <c r="F24" s="10" t="s">
        <v>10</v>
      </c>
      <c r="G24" s="273">
        <v>366</v>
      </c>
      <c r="H24" s="273">
        <v>730</v>
      </c>
    </row>
    <row r="25" spans="1:8" ht="12.75">
      <c r="A25" s="272" t="s">
        <v>3</v>
      </c>
      <c r="B25" s="272"/>
      <c r="C25" s="536">
        <f>+SUM($C$7:C24)</f>
        <v>5180827</v>
      </c>
      <c r="D25" s="536">
        <f>+SUM($D$7:D24)+1</f>
        <v>5657857</v>
      </c>
      <c r="E25" s="143"/>
      <c r="F25" s="10" t="s">
        <v>11</v>
      </c>
      <c r="G25" s="273">
        <v>731</v>
      </c>
      <c r="H25" s="273">
        <v>10000</v>
      </c>
    </row>
    <row r="26" spans="1:5" ht="12.75">
      <c r="A26" s="2"/>
      <c r="B26" s="2"/>
      <c r="E26" s="143"/>
    </row>
    <row r="27" spans="1:5" ht="12.75">
      <c r="A27" s="153"/>
      <c r="B27" s="153"/>
      <c r="E27" s="143"/>
    </row>
    <row r="28" spans="1:5" ht="12.75">
      <c r="A28" s="2" t="s">
        <v>861</v>
      </c>
      <c r="B28" s="2"/>
      <c r="E28" s="143"/>
    </row>
    <row r="29" spans="1:5" ht="12.75">
      <c r="A29" s="153"/>
      <c r="B29" s="153"/>
      <c r="C29" s="747" t="s">
        <v>227</v>
      </c>
      <c r="D29" s="748"/>
      <c r="E29" s="143"/>
    </row>
    <row r="30" spans="1:5" ht="12.75">
      <c r="A30" s="16"/>
      <c r="B30" s="16"/>
      <c r="C30" s="421">
        <f>_xlfn.IFERROR(IF(Indice!B6="","2XX2",YEAR(Indice!B6)),"2XX2")</f>
        <v>2022</v>
      </c>
      <c r="D30" s="421">
        <f>_xlfn.IFERROR(YEAR(Indice!B6-365),"2XX1")</f>
        <v>2021</v>
      </c>
      <c r="E30" s="143"/>
    </row>
    <row r="31" spans="1:4" ht="12.75">
      <c r="A31" s="272" t="s">
        <v>276</v>
      </c>
      <c r="B31" s="272" t="s">
        <v>423</v>
      </c>
      <c r="C31" s="536"/>
      <c r="D31" s="536"/>
    </row>
    <row r="32" spans="1:4" ht="15" customHeight="1">
      <c r="A32" s="272" t="s">
        <v>276</v>
      </c>
      <c r="B32" s="272" t="s">
        <v>424</v>
      </c>
      <c r="C32" s="536"/>
      <c r="D32" s="536"/>
    </row>
    <row r="33" spans="1:4" ht="12.75">
      <c r="A33" s="272" t="s">
        <v>276</v>
      </c>
      <c r="B33" s="272" t="s">
        <v>425</v>
      </c>
      <c r="C33" s="536"/>
      <c r="D33" s="536"/>
    </row>
    <row r="34" spans="1:4" ht="12.75">
      <c r="A34" s="272" t="s">
        <v>277</v>
      </c>
      <c r="B34" s="272" t="s">
        <v>423</v>
      </c>
      <c r="C34" s="536"/>
      <c r="D34" s="536"/>
    </row>
    <row r="35" spans="1:4" ht="12.75">
      <c r="A35" s="272" t="s">
        <v>277</v>
      </c>
      <c r="B35" s="272" t="s">
        <v>424</v>
      </c>
      <c r="C35" s="536"/>
      <c r="D35" s="536"/>
    </row>
    <row r="36" spans="1:4" ht="12.75">
      <c r="A36" s="272" t="s">
        <v>277</v>
      </c>
      <c r="B36" s="272" t="s">
        <v>425</v>
      </c>
      <c r="C36" s="536"/>
      <c r="D36" s="536"/>
    </row>
    <row r="37" spans="1:4" ht="12.75">
      <c r="A37" s="272" t="s">
        <v>426</v>
      </c>
      <c r="B37" s="272" t="s">
        <v>423</v>
      </c>
      <c r="C37" s="536"/>
      <c r="D37" s="536"/>
    </row>
    <row r="38" spans="1:4" ht="12.75">
      <c r="A38" s="272" t="s">
        <v>426</v>
      </c>
      <c r="B38" s="272" t="s">
        <v>424</v>
      </c>
      <c r="C38" s="536"/>
      <c r="D38" s="536"/>
    </row>
    <row r="39" spans="1:4" ht="12.75">
      <c r="A39" s="272" t="s">
        <v>426</v>
      </c>
      <c r="B39" s="272" t="s">
        <v>425</v>
      </c>
      <c r="C39" s="536"/>
      <c r="D39" s="536"/>
    </row>
    <row r="40" spans="1:4" ht="12.75">
      <c r="A40" s="272" t="s">
        <v>273</v>
      </c>
      <c r="B40" s="272" t="s">
        <v>423</v>
      </c>
      <c r="C40" s="536"/>
      <c r="D40" s="536"/>
    </row>
    <row r="41" spans="1:4" ht="12.75">
      <c r="A41" s="272" t="s">
        <v>273</v>
      </c>
      <c r="B41" s="272" t="s">
        <v>424</v>
      </c>
      <c r="C41" s="536"/>
      <c r="D41" s="536"/>
    </row>
    <row r="42" spans="1:4" ht="12.75">
      <c r="A42" s="272" t="s">
        <v>273</v>
      </c>
      <c r="B42" s="272" t="s">
        <v>425</v>
      </c>
      <c r="C42" s="536"/>
      <c r="D42" s="536"/>
    </row>
    <row r="43" spans="1:4" ht="12.75">
      <c r="A43" s="272" t="s">
        <v>274</v>
      </c>
      <c r="B43" s="272" t="s">
        <v>423</v>
      </c>
      <c r="C43" s="536"/>
      <c r="D43" s="536"/>
    </row>
    <row r="44" spans="1:4" ht="12.75">
      <c r="A44" s="272" t="s">
        <v>274</v>
      </c>
      <c r="B44" s="272" t="s">
        <v>424</v>
      </c>
      <c r="C44" s="536"/>
      <c r="D44" s="536"/>
    </row>
    <row r="45" spans="1:4" ht="12.75">
      <c r="A45" s="272" t="s">
        <v>274</v>
      </c>
      <c r="B45" s="272" t="s">
        <v>425</v>
      </c>
      <c r="C45" s="536"/>
      <c r="D45" s="536"/>
    </row>
    <row r="46" spans="1:4" ht="12.75">
      <c r="A46" s="272" t="s">
        <v>275</v>
      </c>
      <c r="B46" s="272" t="s">
        <v>423</v>
      </c>
      <c r="C46" s="536">
        <v>927433</v>
      </c>
      <c r="D46" s="536">
        <v>1107577</v>
      </c>
    </row>
    <row r="47" spans="1:4" ht="12.75">
      <c r="A47" s="272" t="s">
        <v>275</v>
      </c>
      <c r="B47" s="272" t="s">
        <v>424</v>
      </c>
      <c r="C47" s="536">
        <v>0</v>
      </c>
      <c r="D47" s="536">
        <v>0</v>
      </c>
    </row>
    <row r="48" spans="1:4" ht="12.75">
      <c r="A48" s="272" t="s">
        <v>998</v>
      </c>
      <c r="B48" s="272" t="s">
        <v>423</v>
      </c>
      <c r="C48" s="536">
        <v>3000</v>
      </c>
      <c r="D48" s="536">
        <v>15000</v>
      </c>
    </row>
    <row r="49" spans="1:4" ht="12.75">
      <c r="A49" s="272" t="s">
        <v>427</v>
      </c>
      <c r="B49" s="272" t="s">
        <v>424</v>
      </c>
      <c r="C49" s="536"/>
      <c r="D49" s="536"/>
    </row>
    <row r="50" spans="1:4" ht="12.75">
      <c r="A50" s="272" t="s">
        <v>427</v>
      </c>
      <c r="B50" s="272" t="s">
        <v>425</v>
      </c>
      <c r="C50" s="536"/>
      <c r="D50" s="536"/>
    </row>
    <row r="51" spans="1:4" ht="12.75">
      <c r="A51" s="272" t="s">
        <v>428</v>
      </c>
      <c r="B51" s="272"/>
      <c r="C51" s="536">
        <v>-133673</v>
      </c>
      <c r="D51" s="536">
        <v>-268813</v>
      </c>
    </row>
    <row r="52" spans="1:4" ht="12.75">
      <c r="A52" s="272" t="s">
        <v>3</v>
      </c>
      <c r="B52" s="272"/>
      <c r="C52" s="536">
        <f>+SUM($C$31:C51)</f>
        <v>796760</v>
      </c>
      <c r="D52" s="536">
        <f>+SUM($D$31:D51)</f>
        <v>853764</v>
      </c>
    </row>
    <row r="53" spans="2:4" ht="12.75">
      <c r="B53" s="271"/>
      <c r="C53" s="271"/>
      <c r="D53" s="271"/>
    </row>
    <row r="54" spans="1:4" ht="12.75">
      <c r="A54" s="271"/>
      <c r="B54" s="271"/>
      <c r="C54" s="271"/>
      <c r="D54" s="271"/>
    </row>
    <row r="55" spans="1:5" ht="12.75">
      <c r="A55" s="271"/>
      <c r="B55" s="271"/>
      <c r="C55" s="271"/>
      <c r="D55" s="271"/>
      <c r="E55" s="271"/>
    </row>
    <row r="56" ht="12.75">
      <c r="E56" s="271"/>
    </row>
    <row r="57" ht="12.75">
      <c r="E57" s="271"/>
    </row>
    <row r="58" ht="12.75">
      <c r="E58" s="271"/>
    </row>
  </sheetData>
  <sheetProtection/>
  <mergeCells count="2">
    <mergeCell ref="C5:D5"/>
    <mergeCell ref="C29:D29"/>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2.xml><?xml version="1.0" encoding="utf-8"?>
<worksheet xmlns="http://schemas.openxmlformats.org/spreadsheetml/2006/main" xmlns:r="http://schemas.openxmlformats.org/officeDocument/2006/relationships">
  <sheetPr codeName="Hoja11"/>
  <dimension ref="A1:G37"/>
  <sheetViews>
    <sheetView showGridLines="0" zoomScalePageLayoutView="0" workbookViewId="0" topLeftCell="A5">
      <selection activeCell="D15" sqref="D15"/>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IMPORT CENTER S.A.</v>
      </c>
      <c r="D1" s="176" t="s">
        <v>129</v>
      </c>
    </row>
    <row r="2" ht="12.75">
      <c r="A2" s="3"/>
    </row>
    <row r="3" ht="12.75">
      <c r="A3" s="3"/>
    </row>
    <row r="4" spans="1:3" ht="12.75">
      <c r="A4" s="337" t="s">
        <v>272</v>
      </c>
      <c r="B4" s="337"/>
      <c r="C4" s="337"/>
    </row>
    <row r="5" spans="1:2" ht="12.75">
      <c r="A5" s="282" t="s">
        <v>291</v>
      </c>
      <c r="B5" s="282"/>
    </row>
    <row r="6" ht="12.75">
      <c r="A6" s="2" t="s">
        <v>15</v>
      </c>
    </row>
    <row r="8" spans="1:7" ht="12.75">
      <c r="A8" s="13" t="s">
        <v>65</v>
      </c>
      <c r="B8" s="11"/>
      <c r="C8" s="11"/>
      <c r="E8" s="13" t="s">
        <v>64</v>
      </c>
      <c r="F8" s="19"/>
      <c r="G8" s="11"/>
    </row>
    <row r="9" spans="1:7" ht="12.75">
      <c r="A9" s="11"/>
      <c r="E9" s="11"/>
      <c r="F9" s="320"/>
      <c r="G9" s="320"/>
    </row>
    <row r="10" spans="1:7" ht="12.75">
      <c r="A10" s="14" t="s">
        <v>5</v>
      </c>
      <c r="B10" s="423">
        <f>_xlfn.IFERROR(IF(Indice!B6="","2XX2",YEAR(Indice!B6)),"2XX2")</f>
        <v>2022</v>
      </c>
      <c r="C10" s="423">
        <f>_xlfn.IFERROR(YEAR(Indice!B6-365),"2XX1")</f>
        <v>2021</v>
      </c>
      <c r="E10" s="14" t="s">
        <v>5</v>
      </c>
      <c r="F10" s="423">
        <f>_xlfn.IFERROR(IF(Indice!B6="","2XX2",YEAR(Indice!B6)),"2XX2")</f>
        <v>2022</v>
      </c>
      <c r="G10" s="423">
        <f>_xlfn.IFERROR(YEAR(Indice!B6-365),"2XX1")</f>
        <v>2021</v>
      </c>
    </row>
    <row r="11" spans="1:7" ht="12.75">
      <c r="A11" s="11" t="s">
        <v>283</v>
      </c>
      <c r="B11" s="29">
        <v>2527962</v>
      </c>
      <c r="C11" s="29">
        <v>11712915</v>
      </c>
      <c r="E11" s="11" t="s">
        <v>16</v>
      </c>
      <c r="F11" s="160"/>
      <c r="G11" s="160"/>
    </row>
    <row r="12" spans="1:7" ht="12.75">
      <c r="A12" s="11" t="s">
        <v>101</v>
      </c>
      <c r="B12" s="29"/>
      <c r="C12" s="29"/>
      <c r="E12" s="11" t="s">
        <v>282</v>
      </c>
      <c r="F12" s="160"/>
      <c r="G12" s="160"/>
    </row>
    <row r="13" spans="1:7" ht="12.75">
      <c r="A13" s="11" t="s">
        <v>17</v>
      </c>
      <c r="B13" s="9">
        <v>262090</v>
      </c>
      <c r="C13" s="22">
        <v>270361</v>
      </c>
      <c r="E13" s="11" t="s">
        <v>284</v>
      </c>
      <c r="F13" s="29"/>
      <c r="G13" s="29"/>
    </row>
    <row r="14" spans="1:7" ht="12.75">
      <c r="A14" s="11" t="s">
        <v>59</v>
      </c>
      <c r="B14" s="9">
        <v>90029</v>
      </c>
      <c r="C14" s="9">
        <v>75123</v>
      </c>
      <c r="E14" s="11" t="s">
        <v>968</v>
      </c>
      <c r="F14" s="594">
        <v>40055</v>
      </c>
      <c r="G14" s="594">
        <v>59092</v>
      </c>
    </row>
    <row r="15" spans="1:7" ht="12.75">
      <c r="A15" s="11" t="s">
        <v>60</v>
      </c>
      <c r="B15" s="9">
        <v>58577</v>
      </c>
      <c r="C15" s="22">
        <v>2809</v>
      </c>
      <c r="E15" s="13"/>
      <c r="F15" s="593"/>
      <c r="G15" s="593"/>
    </row>
    <row r="16" spans="1:7" ht="12.75">
      <c r="A16" s="11" t="s">
        <v>917</v>
      </c>
      <c r="B16" s="9">
        <v>12</v>
      </c>
      <c r="C16" s="22">
        <v>23</v>
      </c>
      <c r="E16" s="13"/>
      <c r="F16" s="593"/>
      <c r="G16" s="593"/>
    </row>
    <row r="17" spans="1:7" ht="12.75">
      <c r="A17" s="11" t="s">
        <v>918</v>
      </c>
      <c r="B17" s="9">
        <v>13</v>
      </c>
      <c r="C17" s="22">
        <v>25</v>
      </c>
      <c r="E17" s="13"/>
      <c r="F17" s="145"/>
      <c r="G17" s="145"/>
    </row>
    <row r="18" spans="1:7" ht="12.75">
      <c r="A18" s="11" t="s">
        <v>919</v>
      </c>
      <c r="B18" s="9">
        <v>78672</v>
      </c>
      <c r="C18" s="22">
        <v>83786</v>
      </c>
      <c r="E18" s="11" t="s">
        <v>66</v>
      </c>
      <c r="F18" s="126"/>
      <c r="G18" s="126"/>
    </row>
    <row r="19" spans="1:7" ht="13.5" thickBot="1">
      <c r="A19" s="11" t="s">
        <v>964</v>
      </c>
      <c r="B19" s="9">
        <v>16788</v>
      </c>
      <c r="C19" s="22">
        <v>15254</v>
      </c>
      <c r="E19" s="13" t="s">
        <v>3</v>
      </c>
      <c r="F19" s="17">
        <f>SUM(F11:F18)</f>
        <v>40055</v>
      </c>
      <c r="G19" s="17">
        <f>SUM(G11:G18)</f>
        <v>59092</v>
      </c>
    </row>
    <row r="20" spans="1:7" ht="13.5" thickTop="1">
      <c r="A20" s="11" t="s">
        <v>965</v>
      </c>
      <c r="B20" s="9">
        <v>63297</v>
      </c>
      <c r="C20" s="22">
        <v>79194</v>
      </c>
      <c r="E20" s="13"/>
      <c r="F20" s="145"/>
      <c r="G20" s="145"/>
    </row>
    <row r="21" spans="1:7" ht="12.75">
      <c r="A21" s="11" t="s">
        <v>966</v>
      </c>
      <c r="B21" s="9">
        <v>25270</v>
      </c>
      <c r="C21" s="22">
        <v>25270</v>
      </c>
      <c r="E21" s="13"/>
      <c r="F21" s="145"/>
      <c r="G21" s="145"/>
    </row>
    <row r="22" spans="1:7" ht="12.75">
      <c r="A22" s="11" t="s">
        <v>967</v>
      </c>
      <c r="B22" s="9">
        <v>51841</v>
      </c>
      <c r="C22" s="22">
        <v>1454</v>
      </c>
      <c r="E22" s="13"/>
      <c r="F22" s="145"/>
      <c r="G22" s="145"/>
    </row>
    <row r="23" spans="1:7" ht="12.75">
      <c r="A23" s="11" t="s">
        <v>989</v>
      </c>
      <c r="B23" s="9">
        <v>331690</v>
      </c>
      <c r="C23" s="22">
        <v>28552</v>
      </c>
      <c r="E23" s="13"/>
      <c r="F23" s="145"/>
      <c r="G23" s="145"/>
    </row>
    <row r="24" spans="1:7" ht="12.75">
      <c r="A24" s="11" t="s">
        <v>16</v>
      </c>
      <c r="B24" s="9"/>
      <c r="C24" s="22">
        <v>0</v>
      </c>
      <c r="E24" s="13"/>
      <c r="F24" s="145"/>
      <c r="G24" s="145"/>
    </row>
    <row r="25" spans="1:7" ht="12.75">
      <c r="A25" s="11" t="s">
        <v>66</v>
      </c>
      <c r="B25" s="126"/>
      <c r="C25" s="126"/>
      <c r="F25" s="45"/>
      <c r="G25" s="45"/>
    </row>
    <row r="26" spans="1:3" ht="13.5" thickBot="1">
      <c r="A26" s="13" t="s">
        <v>3</v>
      </c>
      <c r="B26" s="17">
        <f>SUM($B$11:B25)</f>
        <v>3506241</v>
      </c>
      <c r="C26" s="17">
        <f>SUM($C$11:C25)</f>
        <v>12294766</v>
      </c>
    </row>
    <row r="27" spans="1:3" ht="13.5" thickTop="1">
      <c r="A27" s="13"/>
      <c r="B27" s="145"/>
      <c r="C27" s="145"/>
    </row>
    <row r="28" spans="2:3" ht="12.75">
      <c r="B28" s="18"/>
      <c r="C28" s="18"/>
    </row>
    <row r="37" spans="5:7" ht="15">
      <c r="E37"/>
      <c r="F37"/>
      <c r="G37"/>
    </row>
    <row r="38" ht="15"/>
    <row r="39" ht="15"/>
    <row r="40" ht="15"/>
    <row r="41" ht="15"/>
    <row r="42"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3.xml><?xml version="1.0" encoding="utf-8"?>
<worksheet xmlns="http://schemas.openxmlformats.org/spreadsheetml/2006/main" xmlns:r="http://schemas.openxmlformats.org/officeDocument/2006/relationships">
  <sheetPr codeName="Hoja12"/>
  <dimension ref="A1:G16"/>
  <sheetViews>
    <sheetView showGridLines="0" zoomScalePageLayoutView="0" workbookViewId="0" topLeftCell="A4">
      <selection activeCell="C14" sqref="C14"/>
    </sheetView>
  </sheetViews>
  <sheetFormatPr defaultColWidth="11.421875" defaultRowHeight="15"/>
  <cols>
    <col min="1" max="1" width="50.140625" style="0" customWidth="1"/>
    <col min="2" max="2" width="19.00390625" style="0" customWidth="1"/>
    <col min="3" max="3" width="16.57421875" style="0" customWidth="1"/>
  </cols>
  <sheetData>
    <row r="1" spans="1:4" ht="15">
      <c r="A1" s="127" t="str">
        <f>Indice!C1</f>
        <v>IMPORT CENTER S.A.</v>
      </c>
      <c r="D1" s="176" t="s">
        <v>129</v>
      </c>
    </row>
    <row r="4" spans="1:3" ht="15">
      <c r="A4" s="750" t="s">
        <v>285</v>
      </c>
      <c r="B4" s="750"/>
      <c r="C4" s="750"/>
    </row>
    <row r="6" spans="1:7" ht="15">
      <c r="A6" s="749" t="s">
        <v>19</v>
      </c>
      <c r="B6" s="749"/>
      <c r="C6" s="749"/>
      <c r="D6" s="749"/>
      <c r="E6" s="749"/>
      <c r="F6" s="749"/>
      <c r="G6" s="749"/>
    </row>
    <row r="7" spans="2:3" ht="15" customHeight="1">
      <c r="B7" s="746" t="s">
        <v>291</v>
      </c>
      <c r="C7" s="746"/>
    </row>
    <row r="8" spans="1:3" ht="15">
      <c r="A8" s="14" t="s">
        <v>5</v>
      </c>
      <c r="B8" s="423">
        <f>_xlfn.IFERROR(IF(Indice!B6="","2XX2",YEAR(Indice!B6)),"2XX2")</f>
        <v>2022</v>
      </c>
      <c r="C8" s="423">
        <f>_xlfn.IFERROR(YEAR(Indice!B6-365),"2XX1")</f>
        <v>2021</v>
      </c>
    </row>
    <row r="9" spans="1:3" ht="15">
      <c r="A9" s="24" t="s">
        <v>97</v>
      </c>
      <c r="B9" s="9">
        <v>30062144</v>
      </c>
      <c r="C9" s="20">
        <v>19826622</v>
      </c>
    </row>
    <row r="10" spans="1:3" ht="15">
      <c r="A10" s="24" t="s">
        <v>98</v>
      </c>
      <c r="B10" s="9">
        <v>1788496</v>
      </c>
      <c r="C10" s="20">
        <v>552120</v>
      </c>
    </row>
    <row r="11" spans="1:3" ht="15">
      <c r="A11" s="24" t="s">
        <v>99</v>
      </c>
      <c r="B11" s="9">
        <v>80569</v>
      </c>
      <c r="C11" s="20">
        <v>49979</v>
      </c>
    </row>
    <row r="12" spans="1:3" ht="15">
      <c r="A12" s="24" t="s">
        <v>100</v>
      </c>
      <c r="B12" s="9">
        <f>5455409+188229</f>
        <v>5643638</v>
      </c>
      <c r="C12" s="20">
        <v>3000337</v>
      </c>
    </row>
    <row r="13" spans="1:3" s="476" customFormat="1" ht="15">
      <c r="A13" s="24" t="s">
        <v>920</v>
      </c>
      <c r="B13" s="9"/>
      <c r="C13" s="20">
        <v>163618</v>
      </c>
    </row>
    <row r="14" spans="1:3" ht="15">
      <c r="A14" s="24" t="s">
        <v>66</v>
      </c>
      <c r="B14" s="9"/>
      <c r="C14" s="20"/>
    </row>
    <row r="15" spans="1:3" ht="15" customHeight="1">
      <c r="A15" s="276" t="s">
        <v>286</v>
      </c>
      <c r="B15" s="9"/>
      <c r="C15" s="20"/>
    </row>
    <row r="16" spans="1:3" ht="15.75" thickBot="1">
      <c r="A16" s="13" t="s">
        <v>18</v>
      </c>
      <c r="B16" s="23">
        <f>SUM(B9:B13)</f>
        <v>37574847</v>
      </c>
      <c r="C16" s="25">
        <f>SUM(C9:C13)-1</f>
        <v>23592675</v>
      </c>
    </row>
    <row r="17"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4.xml><?xml version="1.0" encoding="utf-8"?>
<worksheet xmlns="http://schemas.openxmlformats.org/spreadsheetml/2006/main" xmlns:r="http://schemas.openxmlformats.org/officeDocument/2006/relationships">
  <sheetPr codeName="Hoja13"/>
  <dimension ref="A1:AD18"/>
  <sheetViews>
    <sheetView zoomScalePageLayoutView="0" workbookViewId="0" topLeftCell="A1">
      <selection activeCell="A1" sqref="A1"/>
    </sheetView>
  </sheetViews>
  <sheetFormatPr defaultColWidth="11.421875" defaultRowHeight="15"/>
  <cols>
    <col min="1" max="2" width="22.8515625" style="154" customWidth="1"/>
    <col min="3" max="3" width="29.28125" style="154" bestFit="1" customWidth="1"/>
    <col min="4" max="4" width="25.8515625" style="154" customWidth="1"/>
    <col min="5" max="5" width="26.140625" style="154" customWidth="1"/>
    <col min="6" max="6" width="3.421875" style="154" customWidth="1"/>
    <col min="7" max="7" width="29.28125" style="154" bestFit="1" customWidth="1"/>
    <col min="8" max="8" width="33.00390625" style="154" bestFit="1" customWidth="1"/>
    <col min="9" max="9" width="33.00390625" style="154" customWidth="1"/>
    <col min="10" max="10" width="39.28125" style="154" bestFit="1" customWidth="1"/>
    <col min="11" max="11" width="37.421875" style="154" bestFit="1" customWidth="1"/>
    <col min="12" max="12" width="35.7109375" style="154" bestFit="1" customWidth="1"/>
    <col min="13" max="30" width="11.421875" style="154" customWidth="1"/>
  </cols>
  <sheetData>
    <row r="1" spans="1:4" ht="15">
      <c r="A1" s="159" t="str">
        <f>Indice!C1</f>
        <v>IMPORT CENTER S.A.</v>
      </c>
      <c r="B1" s="177"/>
      <c r="D1" s="177" t="s">
        <v>129</v>
      </c>
    </row>
    <row r="4" spans="1:6" ht="15">
      <c r="A4" s="750" t="s">
        <v>288</v>
      </c>
      <c r="B4" s="750"/>
      <c r="C4" s="750"/>
      <c r="D4" s="750"/>
      <c r="E4" s="750"/>
      <c r="F4" s="750"/>
    </row>
    <row r="5" spans="1:6" s="34" customFormat="1" ht="15">
      <c r="A5" s="429" t="s">
        <v>227</v>
      </c>
      <c r="B5" s="430"/>
      <c r="C5" s="178"/>
      <c r="D5" s="178"/>
      <c r="E5" s="178"/>
      <c r="F5" s="178"/>
    </row>
    <row r="6" ht="15">
      <c r="A6" s="154" t="s">
        <v>289</v>
      </c>
    </row>
    <row r="7" spans="1:30" s="269" customFormat="1" ht="15">
      <c r="A7" s="154" t="s">
        <v>444</v>
      </c>
      <c r="B7" s="427">
        <f>_xlfn.IFERROR(IF(Indice!B6="","2XX2",YEAR(Indice!B6)),"2XX2")</f>
        <v>2022</v>
      </c>
      <c r="C7" s="426">
        <f>_xlfn.IFERROR(YEAR(Indice!B6-365),"2XX1")</f>
        <v>2021</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1:30" s="319" customFormat="1" ht="15">
      <c r="A8" s="154" t="s">
        <v>447</v>
      </c>
      <c r="B8" s="334">
        <f>SUM($I$13:I18)</f>
        <v>0</v>
      </c>
      <c r="C8" s="336">
        <v>0</v>
      </c>
      <c r="D8" s="333" t="s">
        <v>452</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row>
    <row r="9" spans="1:30" s="319" customFormat="1" ht="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row>
    <row r="10" spans="1:30" s="269" customFormat="1" ht="15">
      <c r="A10" s="154" t="s">
        <v>292</v>
      </c>
      <c r="B10" s="154"/>
      <c r="C10" s="154"/>
      <c r="F10" s="154"/>
      <c r="G10" s="154" t="s">
        <v>445</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4:5" ht="15">
      <c r="D11" s="431">
        <f>_xlfn.IFERROR(IF(Indice!B6="","2XX2",YEAR(Indice!B6)),"2XX2")</f>
        <v>2022</v>
      </c>
      <c r="E11" s="428"/>
    </row>
    <row r="12" spans="1:12" ht="15" customHeight="1">
      <c r="A12" s="331" t="s">
        <v>429</v>
      </c>
      <c r="B12" s="321" t="s">
        <v>430</v>
      </c>
      <c r="C12" s="331" t="s">
        <v>446</v>
      </c>
      <c r="D12" s="332" t="s">
        <v>443</v>
      </c>
      <c r="E12" s="332" t="s">
        <v>290</v>
      </c>
      <c r="G12" s="331" t="s">
        <v>446</v>
      </c>
      <c r="H12" s="331" t="s">
        <v>448</v>
      </c>
      <c r="I12" s="331" t="s">
        <v>451</v>
      </c>
      <c r="J12" s="331" t="s">
        <v>449</v>
      </c>
      <c r="K12" s="331" t="s">
        <v>293</v>
      </c>
      <c r="L12" s="331" t="s">
        <v>450</v>
      </c>
    </row>
    <row r="13" spans="1:12" ht="15">
      <c r="A13" s="277"/>
      <c r="B13" s="277"/>
      <c r="C13" s="277"/>
      <c r="D13" s="277"/>
      <c r="E13" s="277"/>
      <c r="G13" s="277"/>
      <c r="H13" s="277"/>
      <c r="I13" s="277"/>
      <c r="J13" s="277"/>
      <c r="K13" s="335">
        <f aca="true" t="shared" si="0" ref="K13:K18">J13*D13</f>
        <v>0</v>
      </c>
      <c r="L13" s="335">
        <f aca="true" t="shared" si="1" ref="L13:L18">J13*E13</f>
        <v>0</v>
      </c>
    </row>
    <row r="14" spans="1:12" ht="15">
      <c r="A14" s="231"/>
      <c r="B14" s="231"/>
      <c r="C14" s="231"/>
      <c r="D14" s="231"/>
      <c r="E14" s="231"/>
      <c r="G14" s="231"/>
      <c r="H14" s="231"/>
      <c r="I14" s="231"/>
      <c r="J14" s="277"/>
      <c r="K14" s="335">
        <f t="shared" si="0"/>
        <v>0</v>
      </c>
      <c r="L14" s="335">
        <f t="shared" si="1"/>
        <v>0</v>
      </c>
    </row>
    <row r="15" spans="1:12" ht="15">
      <c r="A15" s="231"/>
      <c r="B15" s="231"/>
      <c r="C15" s="231"/>
      <c r="D15" s="231"/>
      <c r="E15" s="231"/>
      <c r="G15" s="231"/>
      <c r="H15" s="231"/>
      <c r="I15" s="231"/>
      <c r="J15" s="277"/>
      <c r="K15" s="335">
        <f t="shared" si="0"/>
        <v>0</v>
      </c>
      <c r="L15" s="335">
        <f t="shared" si="1"/>
        <v>0</v>
      </c>
    </row>
    <row r="16" spans="1:12" ht="15">
      <c r="A16" s="231"/>
      <c r="B16" s="231"/>
      <c r="C16" s="231"/>
      <c r="D16" s="231"/>
      <c r="E16" s="231"/>
      <c r="G16" s="231"/>
      <c r="H16" s="231"/>
      <c r="I16" s="231"/>
      <c r="J16" s="277"/>
      <c r="K16" s="335">
        <f t="shared" si="0"/>
        <v>0</v>
      </c>
      <c r="L16" s="335">
        <f t="shared" si="1"/>
        <v>0</v>
      </c>
    </row>
    <row r="17" spans="1:12" ht="15">
      <c r="A17" s="231"/>
      <c r="B17" s="231"/>
      <c r="C17" s="231"/>
      <c r="D17" s="231"/>
      <c r="E17" s="231"/>
      <c r="G17" s="231"/>
      <c r="H17" s="231"/>
      <c r="I17" s="231"/>
      <c r="J17" s="277"/>
      <c r="K17" s="335">
        <f t="shared" si="0"/>
        <v>0</v>
      </c>
      <c r="L17" s="335">
        <f t="shared" si="1"/>
        <v>0</v>
      </c>
    </row>
    <row r="18" spans="1:12" ht="15">
      <c r="A18" s="231"/>
      <c r="B18" s="231"/>
      <c r="C18" s="231"/>
      <c r="D18" s="231"/>
      <c r="E18" s="231"/>
      <c r="G18" s="231"/>
      <c r="H18" s="231"/>
      <c r="I18" s="231"/>
      <c r="J18" s="277"/>
      <c r="K18" s="335">
        <f t="shared" si="0"/>
        <v>0</v>
      </c>
      <c r="L18" s="335">
        <f t="shared" si="1"/>
        <v>0</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Hoja14"/>
  <dimension ref="A1:CX27"/>
  <sheetViews>
    <sheetView zoomScalePageLayoutView="0" workbookViewId="0" topLeftCell="A11">
      <pane xSplit="1" ySplit="6" topLeftCell="C17" activePane="bottomRight" state="frozen"/>
      <selection pane="topLeft" activeCell="A11" sqref="A11"/>
      <selection pane="topRight" activeCell="B11" sqref="B11"/>
      <selection pane="bottomLeft" activeCell="A17" sqref="A17"/>
      <selection pane="bottomRight" activeCell="M27" sqref="M27"/>
    </sheetView>
  </sheetViews>
  <sheetFormatPr defaultColWidth="11.421875" defaultRowHeight="15"/>
  <cols>
    <col min="1" max="1" width="27.00390625" style="154" customWidth="1"/>
    <col min="2" max="2" width="16.421875" style="154" customWidth="1"/>
    <col min="3" max="3" width="13.57421875" style="154" customWidth="1"/>
    <col min="4" max="4" width="14.00390625" style="154" bestFit="1" customWidth="1"/>
    <col min="5" max="5" width="11.421875" style="154" customWidth="1"/>
    <col min="6" max="6" width="13.8515625" style="154" customWidth="1"/>
    <col min="7" max="7" width="15.7109375" style="154" customWidth="1"/>
    <col min="8" max="8" width="16.00390625" style="154" customWidth="1"/>
    <col min="9" max="9" width="17.00390625" style="154" customWidth="1"/>
    <col min="10" max="10" width="14.28125" style="154" customWidth="1"/>
    <col min="11" max="11" width="16.8515625" style="154" customWidth="1"/>
    <col min="12" max="30" width="11.421875" style="154" customWidth="1"/>
  </cols>
  <sheetData>
    <row r="1" spans="1:12" ht="15">
      <c r="A1" s="159" t="str">
        <f>Indice!C1</f>
        <v>IMPORT CENTER S.A.</v>
      </c>
      <c r="L1" s="177" t="s">
        <v>129</v>
      </c>
    </row>
    <row r="5" ht="15">
      <c r="A5" s="159" t="s">
        <v>296</v>
      </c>
    </row>
    <row r="6" ht="15">
      <c r="A6" s="154" t="s">
        <v>297</v>
      </c>
    </row>
    <row r="7" ht="15">
      <c r="A7" s="154" t="s">
        <v>299</v>
      </c>
    </row>
    <row r="8" ht="15">
      <c r="A8" s="154" t="s">
        <v>300</v>
      </c>
    </row>
    <row r="9" ht="15">
      <c r="A9" s="154" t="s">
        <v>301</v>
      </c>
    </row>
    <row r="10" ht="15">
      <c r="A10" s="154" t="s">
        <v>298</v>
      </c>
    </row>
    <row r="12" spans="1:62" ht="24.75" customHeight="1">
      <c r="A12" s="751" t="s">
        <v>294</v>
      </c>
      <c r="B12" s="752"/>
      <c r="C12" s="752"/>
      <c r="D12" s="752"/>
      <c r="E12" s="752"/>
      <c r="F12" s="752"/>
      <c r="G12" s="752"/>
      <c r="H12" s="752"/>
      <c r="I12" s="752"/>
      <c r="J12" s="752"/>
      <c r="K12" s="752"/>
      <c r="L12" s="752"/>
      <c r="M12" s="753"/>
      <c r="N12" s="193"/>
      <c r="O12" s="193"/>
      <c r="P12" s="193"/>
      <c r="Q12" s="193"/>
      <c r="R12" s="193"/>
      <c r="S12" s="193"/>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row>
    <row r="13" spans="1:62" ht="15">
      <c r="A13" s="433" t="s">
        <v>227</v>
      </c>
      <c r="B13" s="193"/>
      <c r="C13" s="193"/>
      <c r="D13" s="193"/>
      <c r="E13" s="193"/>
      <c r="F13" s="193"/>
      <c r="G13" s="193"/>
      <c r="H13" s="193"/>
      <c r="I13" s="193"/>
      <c r="J13" s="194">
        <v>-1</v>
      </c>
      <c r="K13" s="193"/>
      <c r="L13" s="193"/>
      <c r="M13" s="193"/>
      <c r="N13" s="193"/>
      <c r="O13" s="193"/>
      <c r="P13" s="193"/>
      <c r="Q13" s="193"/>
      <c r="R13" s="193"/>
      <c r="S13" s="193"/>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row>
    <row r="14" spans="2:19" s="34" customFormat="1" ht="15">
      <c r="B14" s="432"/>
      <c r="C14" s="432"/>
      <c r="D14" s="432"/>
      <c r="E14" s="432"/>
      <c r="F14" s="432"/>
      <c r="G14" s="432"/>
      <c r="H14" s="432"/>
      <c r="I14" s="432"/>
      <c r="J14" s="432"/>
      <c r="K14" s="432"/>
      <c r="L14" s="432"/>
      <c r="M14" s="432"/>
      <c r="N14" s="192"/>
      <c r="O14" s="192"/>
      <c r="P14" s="192"/>
      <c r="Q14" s="192"/>
      <c r="R14" s="192"/>
      <c r="S14" s="192"/>
    </row>
    <row r="15" spans="1:102" s="191" customFormat="1" ht="55.5" customHeight="1">
      <c r="A15" s="436"/>
      <c r="B15" s="434" t="s">
        <v>211</v>
      </c>
      <c r="C15" s="434" t="s">
        <v>212</v>
      </c>
      <c r="D15" s="434" t="s">
        <v>61</v>
      </c>
      <c r="E15" s="434" t="s">
        <v>213</v>
      </c>
      <c r="F15" s="434" t="s">
        <v>214</v>
      </c>
      <c r="G15" s="434" t="s">
        <v>215</v>
      </c>
      <c r="H15" s="434" t="s">
        <v>216</v>
      </c>
      <c r="I15" s="434" t="s">
        <v>217</v>
      </c>
      <c r="J15" s="434" t="s">
        <v>218</v>
      </c>
      <c r="K15" s="434" t="s">
        <v>219</v>
      </c>
      <c r="L15" s="435" t="s">
        <v>453</v>
      </c>
      <c r="M15" s="439"/>
      <c r="N15" s="192"/>
      <c r="O15" s="192"/>
      <c r="P15" s="192"/>
      <c r="Q15" s="192"/>
      <c r="R15" s="192"/>
      <c r="S15" s="192"/>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row>
    <row r="16" spans="1:102" s="191" customFormat="1" ht="15">
      <c r="A16" s="437"/>
      <c r="B16" s="438"/>
      <c r="C16" s="438"/>
      <c r="D16" s="438"/>
      <c r="E16" s="438"/>
      <c r="F16" s="438"/>
      <c r="G16" s="438"/>
      <c r="H16" s="438"/>
      <c r="I16" s="438"/>
      <c r="J16" s="438"/>
      <c r="K16" s="438"/>
      <c r="L16" s="440">
        <f>_xlfn.IFERROR(IF(Indice!B6="","2XX2",YEAR(Indice!B6)),"2XX2")</f>
        <v>2022</v>
      </c>
      <c r="M16" s="441">
        <f>_xlfn.IFERROR(YEAR(Indice!B6-365),"2XX1")</f>
        <v>2021</v>
      </c>
      <c r="N16" s="192"/>
      <c r="O16" s="192"/>
      <c r="P16" s="192"/>
      <c r="Q16" s="192"/>
      <c r="R16" s="192"/>
      <c r="S16" s="192"/>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row>
    <row r="17" spans="1:62" ht="15">
      <c r="A17" s="195" t="s">
        <v>220</v>
      </c>
      <c r="B17" s="196">
        <v>383800</v>
      </c>
      <c r="C17" s="196">
        <v>329104</v>
      </c>
      <c r="D17" s="197"/>
      <c r="E17" s="198"/>
      <c r="F17" s="199">
        <f>B17+C17-D17+E17</f>
        <v>712904</v>
      </c>
      <c r="G17" s="199">
        <v>-229367</v>
      </c>
      <c r="H17" s="200">
        <v>-16713</v>
      </c>
      <c r="I17" s="198"/>
      <c r="J17" s="198"/>
      <c r="K17" s="537">
        <f>G17+H17-1</f>
        <v>-246081</v>
      </c>
      <c r="L17" s="198">
        <f>+F17+K17-2</f>
        <v>466821</v>
      </c>
      <c r="M17" s="200">
        <v>164722</v>
      </c>
      <c r="N17" s="202"/>
      <c r="O17" s="193"/>
      <c r="P17" s="193"/>
      <c r="Q17" s="193"/>
      <c r="R17" s="193"/>
      <c r="S17" s="193"/>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row>
    <row r="18" spans="1:62" ht="15">
      <c r="A18" s="195" t="s">
        <v>221</v>
      </c>
      <c r="B18" s="196">
        <v>2499479</v>
      </c>
      <c r="C18" s="198">
        <v>27000</v>
      </c>
      <c r="D18" s="200">
        <v>-228278</v>
      </c>
      <c r="E18" s="198"/>
      <c r="F18" s="199">
        <f>B18+C18+D18+E18</f>
        <v>2298201</v>
      </c>
      <c r="G18" s="199">
        <v>-2226758</v>
      </c>
      <c r="H18" s="200">
        <v>-53879</v>
      </c>
      <c r="I18" s="199">
        <v>203758</v>
      </c>
      <c r="J18" s="198"/>
      <c r="K18" s="537">
        <f>G18+H18+1+I18-1</f>
        <v>-2076879</v>
      </c>
      <c r="L18" s="198">
        <f>+F18+K18</f>
        <v>221322</v>
      </c>
      <c r="M18" s="200">
        <v>362745</v>
      </c>
      <c r="N18" s="193"/>
      <c r="O18" s="193"/>
      <c r="P18" s="193"/>
      <c r="Q18" s="193"/>
      <c r="R18" s="193"/>
      <c r="S18" s="193"/>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row>
    <row r="19" spans="1:62" ht="15">
      <c r="A19" s="195" t="s">
        <v>222</v>
      </c>
      <c r="B19" s="196">
        <v>502658</v>
      </c>
      <c r="C19" s="196">
        <v>11564</v>
      </c>
      <c r="D19" s="197"/>
      <c r="E19" s="198"/>
      <c r="F19" s="199">
        <f aca="true" t="shared" si="0" ref="F19:F25">B19+C19-D19+E19</f>
        <v>514222</v>
      </c>
      <c r="G19" s="199">
        <v>-460806</v>
      </c>
      <c r="H19" s="200">
        <v>-12055</v>
      </c>
      <c r="I19" s="198"/>
      <c r="J19" s="198"/>
      <c r="K19" s="537">
        <f>G19+H19</f>
        <v>-472861</v>
      </c>
      <c r="L19" s="198">
        <f aca="true" t="shared" si="1" ref="L19:L25">+F19+K19</f>
        <v>41361</v>
      </c>
      <c r="M19" s="200">
        <v>56502</v>
      </c>
      <c r="N19" s="193"/>
      <c r="O19" s="193"/>
      <c r="P19" s="193"/>
      <c r="Q19" s="193"/>
      <c r="R19" s="193"/>
      <c r="S19" s="193"/>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row>
    <row r="20" spans="1:62" ht="15">
      <c r="A20" s="195" t="s">
        <v>223</v>
      </c>
      <c r="B20" s="196">
        <v>484242</v>
      </c>
      <c r="C20" s="204">
        <v>213</v>
      </c>
      <c r="D20" s="658">
        <v>-213</v>
      </c>
      <c r="E20" s="198"/>
      <c r="F20" s="199">
        <f>B20+C20+D20+E20</f>
        <v>484242</v>
      </c>
      <c r="G20" s="199">
        <v>-463715</v>
      </c>
      <c r="H20" s="200">
        <v>-11353</v>
      </c>
      <c r="I20" s="199"/>
      <c r="J20" s="198"/>
      <c r="K20" s="537">
        <f>G20+H20</f>
        <v>-475068</v>
      </c>
      <c r="L20" s="198">
        <f>+F20+K20+1</f>
        <v>9175</v>
      </c>
      <c r="M20" s="200">
        <v>12886</v>
      </c>
      <c r="N20" s="193"/>
      <c r="O20" s="193"/>
      <c r="P20" s="193"/>
      <c r="Q20" s="193"/>
      <c r="R20" s="193"/>
      <c r="S20" s="193"/>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row>
    <row r="21" spans="1:62" ht="15">
      <c r="A21" s="195" t="s">
        <v>224</v>
      </c>
      <c r="B21" s="196"/>
      <c r="C21" s="196"/>
      <c r="D21" s="197"/>
      <c r="E21" s="198"/>
      <c r="F21" s="199">
        <f t="shared" si="0"/>
        <v>0</v>
      </c>
      <c r="G21" s="199"/>
      <c r="H21" s="200"/>
      <c r="I21" s="198"/>
      <c r="J21" s="198"/>
      <c r="K21" s="537">
        <f>G21+H21</f>
        <v>0</v>
      </c>
      <c r="L21" s="198">
        <f t="shared" si="1"/>
        <v>0</v>
      </c>
      <c r="M21" s="200">
        <v>0</v>
      </c>
      <c r="N21" s="193"/>
      <c r="O21" s="193"/>
      <c r="P21" s="193"/>
      <c r="Q21" s="193"/>
      <c r="R21" s="193"/>
      <c r="S21" s="193"/>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1:62" ht="15">
      <c r="A22" s="195" t="s">
        <v>225</v>
      </c>
      <c r="B22" s="196">
        <v>786555</v>
      </c>
      <c r="C22" s="198"/>
      <c r="D22" s="203"/>
      <c r="E22" s="198"/>
      <c r="F22" s="199">
        <f>B22+C22-D22+E22-1</f>
        <v>786554</v>
      </c>
      <c r="G22" s="199">
        <v>-766608</v>
      </c>
      <c r="H22" s="200">
        <v>-18440</v>
      </c>
      <c r="I22" s="199"/>
      <c r="J22" s="198"/>
      <c r="K22" s="537">
        <f>G22+H22-2</f>
        <v>-785050</v>
      </c>
      <c r="L22" s="198">
        <f>+F22+K22+4</f>
        <v>1508</v>
      </c>
      <c r="M22" s="200">
        <v>11728</v>
      </c>
      <c r="N22" s="193"/>
      <c r="O22" s="193"/>
      <c r="P22" s="193"/>
      <c r="Q22" s="193"/>
      <c r="R22" s="193"/>
      <c r="S22" s="193"/>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1:62" ht="15">
      <c r="A23" s="195" t="s">
        <v>226</v>
      </c>
      <c r="B23" s="196"/>
      <c r="C23" s="196"/>
      <c r="D23" s="197"/>
      <c r="E23" s="198"/>
      <c r="F23" s="199">
        <f t="shared" si="0"/>
        <v>0</v>
      </c>
      <c r="G23" s="199"/>
      <c r="H23" s="200"/>
      <c r="I23" s="198"/>
      <c r="J23" s="198"/>
      <c r="K23" s="537">
        <f>G23+H23</f>
        <v>0</v>
      </c>
      <c r="L23" s="198">
        <f t="shared" si="1"/>
        <v>0</v>
      </c>
      <c r="M23" s="200"/>
      <c r="N23" s="193"/>
      <c r="O23" s="193"/>
      <c r="P23" s="193"/>
      <c r="Q23" s="193"/>
      <c r="R23" s="193"/>
      <c r="S23" s="193"/>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row>
    <row r="24" spans="1:62" s="476" customFormat="1" ht="15">
      <c r="A24" s="195" t="s">
        <v>921</v>
      </c>
      <c r="B24" s="196">
        <v>6444061</v>
      </c>
      <c r="C24" s="196">
        <v>233387</v>
      </c>
      <c r="D24" s="197"/>
      <c r="E24" s="198"/>
      <c r="F24" s="199">
        <f t="shared" si="0"/>
        <v>6677448</v>
      </c>
      <c r="G24" s="199"/>
      <c r="H24" s="200"/>
      <c r="I24" s="199"/>
      <c r="J24" s="198"/>
      <c r="K24" s="537">
        <f>G24+H24</f>
        <v>0</v>
      </c>
      <c r="L24" s="198">
        <f>+F24</f>
        <v>6677448</v>
      </c>
      <c r="M24" s="200">
        <v>6444061</v>
      </c>
      <c r="N24" s="193"/>
      <c r="O24" s="193"/>
      <c r="P24" s="193"/>
      <c r="Q24" s="193"/>
      <c r="R24" s="193"/>
      <c r="S24" s="193"/>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row>
    <row r="25" spans="1:62" s="476" customFormat="1" ht="15">
      <c r="A25" s="195" t="s">
        <v>922</v>
      </c>
      <c r="B25" s="196">
        <v>11291506</v>
      </c>
      <c r="C25" s="651"/>
      <c r="D25" s="197"/>
      <c r="E25" s="198"/>
      <c r="F25" s="199">
        <f t="shared" si="0"/>
        <v>11291506</v>
      </c>
      <c r="G25" s="199">
        <v>-4607261</v>
      </c>
      <c r="H25" s="200">
        <v>-264719</v>
      </c>
      <c r="I25" s="199"/>
      <c r="J25" s="198"/>
      <c r="K25" s="537">
        <f>G25+H25</f>
        <v>-4871980</v>
      </c>
      <c r="L25" s="198">
        <f t="shared" si="1"/>
        <v>6419526</v>
      </c>
      <c r="M25" s="200">
        <v>6705003</v>
      </c>
      <c r="N25" s="193"/>
      <c r="O25" s="193"/>
      <c r="P25" s="193"/>
      <c r="Q25" s="193"/>
      <c r="R25" s="193"/>
      <c r="S25" s="193"/>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row>
    <row r="26" spans="1:62" ht="15">
      <c r="A26" s="195" t="s">
        <v>66</v>
      </c>
      <c r="B26" s="196"/>
      <c r="C26" s="198"/>
      <c r="D26" s="203"/>
      <c r="E26" s="198"/>
      <c r="F26" s="199"/>
      <c r="G26" s="199"/>
      <c r="H26" s="200"/>
      <c r="I26" s="199"/>
      <c r="J26" s="198"/>
      <c r="K26" s="201"/>
      <c r="L26" s="198"/>
      <c r="M26" s="200"/>
      <c r="N26" s="193"/>
      <c r="O26" s="193"/>
      <c r="P26" s="193"/>
      <c r="Q26" s="193"/>
      <c r="R26" s="193"/>
      <c r="S26" s="193"/>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row>
    <row r="27" spans="1:62" ht="15">
      <c r="A27" s="140" t="s">
        <v>295</v>
      </c>
      <c r="B27" s="141">
        <f>SUM(B17:B26)+1+1</f>
        <v>22392303</v>
      </c>
      <c r="C27" s="141">
        <f>SUM(C17:C26)</f>
        <v>601268</v>
      </c>
      <c r="D27" s="141"/>
      <c r="E27" s="142"/>
      <c r="F27" s="141">
        <f>SUM(F17:F26)+2</f>
        <v>22765079</v>
      </c>
      <c r="G27" s="141">
        <f>SUM(G17:G26)-1</f>
        <v>-8754516</v>
      </c>
      <c r="H27" s="141">
        <f>SUM(H17:H26)</f>
        <v>-377159</v>
      </c>
      <c r="I27" s="141"/>
      <c r="J27" s="141"/>
      <c r="K27" s="141">
        <f>SUM(K17:K26)-3</f>
        <v>-8927922</v>
      </c>
      <c r="L27" s="141">
        <f>SUM(L17:L26)-1</f>
        <v>13837160</v>
      </c>
      <c r="M27" s="141">
        <f>SUM(M17:M26)+5</f>
        <v>13757652</v>
      </c>
      <c r="N27" s="193"/>
      <c r="O27" s="193"/>
      <c r="P27" s="193"/>
      <c r="Q27" s="193"/>
      <c r="R27" s="193"/>
      <c r="S27" s="193"/>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row>
  </sheetData>
  <sheetProtection/>
  <mergeCells count="1">
    <mergeCell ref="A12:M12"/>
  </mergeCells>
  <hyperlinks>
    <hyperlink ref="L1" location="BG!A1" display="BG"/>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Hoja15"/>
  <dimension ref="A1:IV19"/>
  <sheetViews>
    <sheetView showGridLines="0" zoomScalePageLayoutView="0" workbookViewId="0" topLeftCell="A1">
      <selection activeCell="A3" sqref="A3:IV4"/>
    </sheetView>
  </sheetViews>
  <sheetFormatPr defaultColWidth="11.421875" defaultRowHeight="15"/>
  <cols>
    <col min="1" max="1" width="34.140625" style="0" customWidth="1"/>
    <col min="2" max="3" width="22.7109375" style="0" customWidth="1"/>
  </cols>
  <sheetData>
    <row r="1" spans="1:3" ht="15">
      <c r="A1" t="str">
        <f>Indice!C1</f>
        <v>IMPORT CENTER S.A.</v>
      </c>
      <c r="C1" s="176" t="s">
        <v>129</v>
      </c>
    </row>
    <row r="4" spans="1:256" ht="15">
      <c r="A4" s="337" t="s">
        <v>302</v>
      </c>
      <c r="B4" s="337"/>
      <c r="C4" s="337"/>
      <c r="D4" s="337"/>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754"/>
      <c r="EB4" s="754"/>
      <c r="EC4" s="754"/>
      <c r="ED4" s="754"/>
      <c r="EE4" s="754"/>
      <c r="EF4" s="754"/>
      <c r="EG4" s="754"/>
      <c r="EH4" s="754"/>
      <c r="EI4" s="754"/>
      <c r="EJ4" s="754"/>
      <c r="EK4" s="754"/>
      <c r="EL4" s="754"/>
      <c r="EM4" s="754"/>
      <c r="EN4" s="754"/>
      <c r="EO4" s="754"/>
      <c r="EP4" s="754"/>
      <c r="EQ4" s="754"/>
      <c r="ER4" s="754"/>
      <c r="ES4" s="754"/>
      <c r="ET4" s="754"/>
      <c r="EU4" s="754"/>
      <c r="EV4" s="754"/>
      <c r="EW4" s="754"/>
      <c r="EX4" s="754"/>
      <c r="EY4" s="754"/>
      <c r="EZ4" s="754"/>
      <c r="FA4" s="754"/>
      <c r="FB4" s="754"/>
      <c r="FC4" s="754"/>
      <c r="FD4" s="754"/>
      <c r="FE4" s="754"/>
      <c r="FF4" s="754"/>
      <c r="FG4" s="754"/>
      <c r="FH4" s="754"/>
      <c r="FI4" s="754"/>
      <c r="FJ4" s="754"/>
      <c r="FK4" s="754"/>
      <c r="FL4" s="754"/>
      <c r="FM4" s="754"/>
      <c r="FN4" s="754"/>
      <c r="FO4" s="754"/>
      <c r="FP4" s="754"/>
      <c r="FQ4" s="754"/>
      <c r="FR4" s="754"/>
      <c r="FS4" s="754"/>
      <c r="FT4" s="754"/>
      <c r="FU4" s="754"/>
      <c r="FV4" s="754"/>
      <c r="FW4" s="754"/>
      <c r="FX4" s="754"/>
      <c r="FY4" s="754"/>
      <c r="FZ4" s="754"/>
      <c r="GA4" s="754"/>
      <c r="GB4" s="754"/>
      <c r="GC4" s="754"/>
      <c r="GD4" s="754"/>
      <c r="GE4" s="754"/>
      <c r="GF4" s="754"/>
      <c r="GG4" s="754"/>
      <c r="GH4" s="754"/>
      <c r="GI4" s="754"/>
      <c r="GJ4" s="754"/>
      <c r="GK4" s="754"/>
      <c r="GL4" s="754"/>
      <c r="GM4" s="754"/>
      <c r="GN4" s="754"/>
      <c r="GO4" s="754"/>
      <c r="GP4" s="754"/>
      <c r="GQ4" s="754"/>
      <c r="GR4" s="754"/>
      <c r="GS4" s="754"/>
      <c r="GT4" s="754"/>
      <c r="GU4" s="754"/>
      <c r="GV4" s="754"/>
      <c r="GW4" s="754"/>
      <c r="GX4" s="754"/>
      <c r="GY4" s="754"/>
      <c r="GZ4" s="754"/>
      <c r="HA4" s="754"/>
      <c r="HB4" s="754"/>
      <c r="HC4" s="754"/>
      <c r="HD4" s="754"/>
      <c r="HE4" s="754"/>
      <c r="HF4" s="754"/>
      <c r="HG4" s="754"/>
      <c r="HH4" s="754"/>
      <c r="HI4" s="754"/>
      <c r="HJ4" s="754"/>
      <c r="HK4" s="754"/>
      <c r="HL4" s="754"/>
      <c r="HM4" s="754"/>
      <c r="HN4" s="754"/>
      <c r="HO4" s="754"/>
      <c r="HP4" s="754"/>
      <c r="HQ4" s="754"/>
      <c r="HR4" s="754"/>
      <c r="HS4" s="754"/>
      <c r="HT4" s="754"/>
      <c r="HU4" s="754"/>
      <c r="HV4" s="754"/>
      <c r="HW4" s="754"/>
      <c r="HX4" s="754"/>
      <c r="HY4" s="754"/>
      <c r="HZ4" s="754"/>
      <c r="IA4" s="754"/>
      <c r="IB4" s="754"/>
      <c r="IC4" s="754"/>
      <c r="ID4" s="754"/>
      <c r="IE4" s="754"/>
      <c r="IF4" s="754"/>
      <c r="IG4" s="754"/>
      <c r="IH4" s="754"/>
      <c r="II4" s="754"/>
      <c r="IJ4" s="754"/>
      <c r="IK4" s="754"/>
      <c r="IL4" s="754"/>
      <c r="IM4" s="754"/>
      <c r="IN4" s="754"/>
      <c r="IO4" s="754"/>
      <c r="IP4" s="754"/>
      <c r="IQ4" s="754"/>
      <c r="IR4" s="754"/>
      <c r="IS4" s="754"/>
      <c r="IT4" s="754"/>
      <c r="IU4" s="754"/>
      <c r="IV4" s="754"/>
    </row>
    <row r="5" spans="2:3" ht="15">
      <c r="B5" s="746" t="s">
        <v>291</v>
      </c>
      <c r="C5" s="746"/>
    </row>
    <row r="6" spans="1:4" ht="15.75" customHeight="1">
      <c r="A6" s="166"/>
      <c r="B6" s="427">
        <f>_xlfn.IFERROR(IF(Indice!B6="","2XX2",YEAR(Indice!B6)),"2XX2")</f>
        <v>2022</v>
      </c>
      <c r="C6" s="427">
        <f>_xlfn.IFERROR(YEAR(Indice!B6-365),"2XX1")</f>
        <v>2021</v>
      </c>
      <c r="D6" s="166"/>
    </row>
    <row r="7" spans="1:4" ht="15" customHeight="1">
      <c r="A7" s="168" t="s">
        <v>121</v>
      </c>
      <c r="B7" s="12"/>
      <c r="C7" s="12"/>
      <c r="D7" s="12"/>
    </row>
    <row r="8" spans="1:256" ht="15" customHeight="1">
      <c r="A8" s="58" t="s">
        <v>124</v>
      </c>
      <c r="B8" s="58"/>
      <c r="C8" s="58"/>
      <c r="D8" s="58"/>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3"/>
      <c r="BB8" s="703"/>
      <c r="BC8" s="703"/>
      <c r="BD8" s="703"/>
      <c r="BE8" s="703"/>
      <c r="BF8" s="703"/>
      <c r="BG8" s="703"/>
      <c r="BH8" s="703"/>
      <c r="BI8" s="703"/>
      <c r="BJ8" s="703"/>
      <c r="BK8" s="703"/>
      <c r="BL8" s="703"/>
      <c r="BM8" s="703"/>
      <c r="BN8" s="703"/>
      <c r="BO8" s="703"/>
      <c r="BP8" s="703"/>
      <c r="BQ8" s="703"/>
      <c r="BR8" s="703"/>
      <c r="BS8" s="703"/>
      <c r="BT8" s="703"/>
      <c r="BU8" s="703"/>
      <c r="BV8" s="703"/>
      <c r="BW8" s="703"/>
      <c r="BX8" s="703"/>
      <c r="BY8" s="703"/>
      <c r="BZ8" s="703"/>
      <c r="CA8" s="703"/>
      <c r="CB8" s="703"/>
      <c r="CC8" s="703"/>
      <c r="CD8" s="703"/>
      <c r="CE8" s="703"/>
      <c r="CF8" s="703"/>
      <c r="CG8" s="703"/>
      <c r="CH8" s="703"/>
      <c r="CI8" s="703"/>
      <c r="CJ8" s="703"/>
      <c r="CK8" s="703"/>
      <c r="CL8" s="703"/>
      <c r="CM8" s="703"/>
      <c r="CN8" s="703"/>
      <c r="CO8" s="703"/>
      <c r="CP8" s="703"/>
      <c r="CQ8" s="703"/>
      <c r="CR8" s="703"/>
      <c r="CS8" s="703"/>
      <c r="CT8" s="703"/>
      <c r="CU8" s="703"/>
      <c r="CV8" s="703"/>
      <c r="CW8" s="703"/>
      <c r="CX8" s="703"/>
      <c r="CY8" s="703"/>
      <c r="CZ8" s="703"/>
      <c r="DA8" s="703"/>
      <c r="DB8" s="703"/>
      <c r="DC8" s="703"/>
      <c r="DD8" s="703"/>
      <c r="DE8" s="703"/>
      <c r="DF8" s="703"/>
      <c r="DG8" s="703"/>
      <c r="DH8" s="703"/>
      <c r="DI8" s="703"/>
      <c r="DJ8" s="703"/>
      <c r="DK8" s="703"/>
      <c r="DL8" s="703"/>
      <c r="DM8" s="703"/>
      <c r="DN8" s="703"/>
      <c r="DO8" s="703"/>
      <c r="DP8" s="703"/>
      <c r="DQ8" s="703"/>
      <c r="DR8" s="703"/>
      <c r="DS8" s="703"/>
      <c r="DT8" s="703"/>
      <c r="DU8" s="703"/>
      <c r="DV8" s="703"/>
      <c r="DW8" s="703"/>
      <c r="DX8" s="703"/>
      <c r="DY8" s="703"/>
      <c r="DZ8" s="703"/>
      <c r="EA8" s="703"/>
      <c r="EB8" s="703"/>
      <c r="EC8" s="703"/>
      <c r="ED8" s="703"/>
      <c r="EE8" s="703"/>
      <c r="EF8" s="703"/>
      <c r="EG8" s="703"/>
      <c r="EH8" s="703"/>
      <c r="EI8" s="703"/>
      <c r="EJ8" s="703"/>
      <c r="EK8" s="703"/>
      <c r="EL8" s="703"/>
      <c r="EM8" s="703"/>
      <c r="EN8" s="703"/>
      <c r="EO8" s="703"/>
      <c r="EP8" s="703"/>
      <c r="EQ8" s="703"/>
      <c r="ER8" s="703"/>
      <c r="ES8" s="703"/>
      <c r="ET8" s="703"/>
      <c r="EU8" s="703"/>
      <c r="EV8" s="703"/>
      <c r="EW8" s="703"/>
      <c r="EX8" s="703"/>
      <c r="EY8" s="703"/>
      <c r="EZ8" s="703"/>
      <c r="FA8" s="703"/>
      <c r="FB8" s="703"/>
      <c r="FC8" s="703"/>
      <c r="FD8" s="703"/>
      <c r="FE8" s="703"/>
      <c r="FF8" s="703"/>
      <c r="FG8" s="703"/>
      <c r="FH8" s="703"/>
      <c r="FI8" s="703"/>
      <c r="FJ8" s="703"/>
      <c r="FK8" s="703"/>
      <c r="FL8" s="703"/>
      <c r="FM8" s="703"/>
      <c r="FN8" s="703"/>
      <c r="FO8" s="703"/>
      <c r="FP8" s="703"/>
      <c r="FQ8" s="703"/>
      <c r="FR8" s="703"/>
      <c r="FS8" s="703"/>
      <c r="FT8" s="703"/>
      <c r="FU8" s="703"/>
      <c r="FV8" s="703"/>
      <c r="FW8" s="703"/>
      <c r="FX8" s="703"/>
      <c r="FY8" s="703"/>
      <c r="FZ8" s="703"/>
      <c r="GA8" s="703"/>
      <c r="GB8" s="703"/>
      <c r="GC8" s="703"/>
      <c r="GD8" s="703"/>
      <c r="GE8" s="703"/>
      <c r="GF8" s="703"/>
      <c r="GG8" s="703"/>
      <c r="GH8" s="703"/>
      <c r="GI8" s="703"/>
      <c r="GJ8" s="703"/>
      <c r="GK8" s="703"/>
      <c r="GL8" s="703"/>
      <c r="GM8" s="703"/>
      <c r="GN8" s="703"/>
      <c r="GO8" s="703"/>
      <c r="GP8" s="703"/>
      <c r="GQ8" s="703"/>
      <c r="GR8" s="703"/>
      <c r="GS8" s="703"/>
      <c r="GT8" s="703"/>
      <c r="GU8" s="703"/>
      <c r="GV8" s="703"/>
      <c r="GW8" s="703"/>
      <c r="GX8" s="703"/>
      <c r="GY8" s="703"/>
      <c r="GZ8" s="703"/>
      <c r="HA8" s="703"/>
      <c r="HB8" s="703"/>
      <c r="HC8" s="703"/>
      <c r="HD8" s="703"/>
      <c r="HE8" s="703"/>
      <c r="HF8" s="703"/>
      <c r="HG8" s="703"/>
      <c r="HH8" s="703"/>
      <c r="HI8" s="703"/>
      <c r="HJ8" s="703"/>
      <c r="HK8" s="703"/>
      <c r="HL8" s="703"/>
      <c r="HM8" s="703"/>
      <c r="HN8" s="703"/>
      <c r="HO8" s="703"/>
      <c r="HP8" s="703"/>
      <c r="HQ8" s="703"/>
      <c r="HR8" s="703"/>
      <c r="HS8" s="703"/>
      <c r="HT8" s="703"/>
      <c r="HU8" s="703"/>
      <c r="HV8" s="703"/>
      <c r="HW8" s="703"/>
      <c r="HX8" s="703"/>
      <c r="HY8" s="703"/>
      <c r="HZ8" s="703"/>
      <c r="IA8" s="703"/>
      <c r="IB8" s="703"/>
      <c r="IC8" s="703"/>
      <c r="ID8" s="703"/>
      <c r="IE8" s="703"/>
      <c r="IF8" s="703"/>
      <c r="IG8" s="703"/>
      <c r="IH8" s="703"/>
      <c r="II8" s="703"/>
      <c r="IJ8" s="703"/>
      <c r="IK8" s="703"/>
      <c r="IL8" s="703"/>
      <c r="IM8" s="703"/>
      <c r="IN8" s="703"/>
      <c r="IO8" s="703"/>
      <c r="IP8" s="703"/>
      <c r="IQ8" s="703"/>
      <c r="IR8" s="703"/>
      <c r="IS8" s="703"/>
      <c r="IT8" s="703"/>
      <c r="IU8" s="703"/>
      <c r="IV8" s="703"/>
    </row>
    <row r="9" spans="1:256" ht="15" customHeight="1">
      <c r="A9" s="169" t="s">
        <v>3</v>
      </c>
      <c r="B9" s="283">
        <f>B8</f>
        <v>0</v>
      </c>
      <c r="C9" s="283">
        <f>C8</f>
        <v>0</v>
      </c>
      <c r="D9" s="58"/>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ht="15" customHeight="1">
      <c r="A10" s="58"/>
      <c r="B10" s="58"/>
      <c r="C10" s="58"/>
      <c r="D10" s="58"/>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R10" s="703"/>
      <c r="BS10" s="703"/>
      <c r="BT10" s="703"/>
      <c r="BU10" s="703"/>
      <c r="BV10" s="703"/>
      <c r="BW10" s="703"/>
      <c r="BX10" s="703"/>
      <c r="BY10" s="703"/>
      <c r="BZ10" s="703"/>
      <c r="CA10" s="703"/>
      <c r="CB10" s="703"/>
      <c r="CC10" s="703"/>
      <c r="CD10" s="703"/>
      <c r="CE10" s="703"/>
      <c r="CF10" s="703"/>
      <c r="CG10" s="703"/>
      <c r="CH10" s="703"/>
      <c r="CI10" s="703"/>
      <c r="CJ10" s="703"/>
      <c r="CK10" s="703"/>
      <c r="CL10" s="703"/>
      <c r="CM10" s="703"/>
      <c r="CN10" s="703"/>
      <c r="CO10" s="703"/>
      <c r="CP10" s="703"/>
      <c r="CQ10" s="703"/>
      <c r="CR10" s="703"/>
      <c r="CS10" s="703"/>
      <c r="CT10" s="703"/>
      <c r="CU10" s="703"/>
      <c r="CV10" s="703"/>
      <c r="CW10" s="703"/>
      <c r="CX10" s="703"/>
      <c r="CY10" s="703"/>
      <c r="CZ10" s="703"/>
      <c r="DA10" s="703"/>
      <c r="DB10" s="703"/>
      <c r="DC10" s="703"/>
      <c r="DD10" s="703"/>
      <c r="DE10" s="703"/>
      <c r="DF10" s="703"/>
      <c r="DG10" s="703"/>
      <c r="DH10" s="703"/>
      <c r="DI10" s="703"/>
      <c r="DJ10" s="703"/>
      <c r="DK10" s="703"/>
      <c r="DL10" s="703"/>
      <c r="DM10" s="703"/>
      <c r="DN10" s="703"/>
      <c r="DO10" s="703"/>
      <c r="DP10" s="703"/>
      <c r="DQ10" s="703"/>
      <c r="DR10" s="703"/>
      <c r="DS10" s="703"/>
      <c r="DT10" s="703"/>
      <c r="DU10" s="703"/>
      <c r="DV10" s="703"/>
      <c r="DW10" s="703"/>
      <c r="DX10" s="703"/>
      <c r="DY10" s="703"/>
      <c r="DZ10" s="703"/>
      <c r="EA10" s="703"/>
      <c r="EB10" s="703"/>
      <c r="EC10" s="703"/>
      <c r="ED10" s="703"/>
      <c r="EE10" s="703"/>
      <c r="EF10" s="703"/>
      <c r="EG10" s="703"/>
      <c r="EH10" s="703"/>
      <c r="EI10" s="703"/>
      <c r="EJ10" s="703"/>
      <c r="EK10" s="703"/>
      <c r="EL10" s="703"/>
      <c r="EM10" s="703"/>
      <c r="EN10" s="703"/>
      <c r="EO10" s="703"/>
      <c r="EP10" s="703"/>
      <c r="EQ10" s="703"/>
      <c r="ER10" s="703"/>
      <c r="ES10" s="703"/>
      <c r="ET10" s="703"/>
      <c r="EU10" s="703"/>
      <c r="EV10" s="703"/>
      <c r="EW10" s="703"/>
      <c r="EX10" s="703"/>
      <c r="EY10" s="703"/>
      <c r="EZ10" s="703"/>
      <c r="FA10" s="703"/>
      <c r="FB10" s="703"/>
      <c r="FC10" s="703"/>
      <c r="FD10" s="703"/>
      <c r="FE10" s="703"/>
      <c r="FF10" s="703"/>
      <c r="FG10" s="703"/>
      <c r="FH10" s="703"/>
      <c r="FI10" s="703"/>
      <c r="FJ10" s="703"/>
      <c r="FK10" s="703"/>
      <c r="FL10" s="703"/>
      <c r="FM10" s="703"/>
      <c r="FN10" s="703"/>
      <c r="FO10" s="703"/>
      <c r="FP10" s="703"/>
      <c r="FQ10" s="703"/>
      <c r="FR10" s="703"/>
      <c r="FS10" s="703"/>
      <c r="FT10" s="703"/>
      <c r="FU10" s="703"/>
      <c r="FV10" s="703"/>
      <c r="FW10" s="703"/>
      <c r="FX10" s="703"/>
      <c r="FY10" s="703"/>
      <c r="FZ10" s="703"/>
      <c r="GA10" s="703"/>
      <c r="GB10" s="703"/>
      <c r="GC10" s="703"/>
      <c r="GD10" s="703"/>
      <c r="GE10" s="703"/>
      <c r="GF10" s="703"/>
      <c r="GG10" s="703"/>
      <c r="GH10" s="703"/>
      <c r="GI10" s="703"/>
      <c r="GJ10" s="703"/>
      <c r="GK10" s="703"/>
      <c r="GL10" s="703"/>
      <c r="GM10" s="703"/>
      <c r="GN10" s="703"/>
      <c r="GO10" s="703"/>
      <c r="GP10" s="703"/>
      <c r="GQ10" s="703"/>
      <c r="GR10" s="703"/>
      <c r="GS10" s="703"/>
      <c r="GT10" s="703"/>
      <c r="GU10" s="703"/>
      <c r="GV10" s="703"/>
      <c r="GW10" s="703"/>
      <c r="GX10" s="703"/>
      <c r="GY10" s="703"/>
      <c r="GZ10" s="703"/>
      <c r="HA10" s="703"/>
      <c r="HB10" s="703"/>
      <c r="HC10" s="703"/>
      <c r="HD10" s="703"/>
      <c r="HE10" s="703"/>
      <c r="HF10" s="703"/>
      <c r="HG10" s="703"/>
      <c r="HH10" s="703"/>
      <c r="HI10" s="703"/>
      <c r="HJ10" s="703"/>
      <c r="HK10" s="703"/>
      <c r="HL10" s="703"/>
      <c r="HM10" s="703"/>
      <c r="HN10" s="703"/>
      <c r="HO10" s="703"/>
      <c r="HP10" s="703"/>
      <c r="HQ10" s="703"/>
      <c r="HR10" s="703"/>
      <c r="HS10" s="703"/>
      <c r="HT10" s="703"/>
      <c r="HU10" s="703"/>
      <c r="HV10" s="703"/>
      <c r="HW10" s="703"/>
      <c r="HX10" s="703"/>
      <c r="HY10" s="703"/>
      <c r="HZ10" s="703"/>
      <c r="IA10" s="703"/>
      <c r="IB10" s="703"/>
      <c r="IC10" s="703"/>
      <c r="ID10" s="703"/>
      <c r="IE10" s="703"/>
      <c r="IF10" s="703"/>
      <c r="IG10" s="703"/>
      <c r="IH10" s="703"/>
      <c r="II10" s="703"/>
      <c r="IJ10" s="703"/>
      <c r="IK10" s="703"/>
      <c r="IL10" s="703"/>
      <c r="IM10" s="703"/>
      <c r="IN10" s="703"/>
      <c r="IO10" s="703"/>
      <c r="IP10" s="703"/>
      <c r="IQ10" s="703"/>
      <c r="IR10" s="703"/>
      <c r="IS10" s="703"/>
      <c r="IT10" s="703"/>
      <c r="IU10" s="703"/>
      <c r="IV10" s="703"/>
    </row>
    <row r="11" spans="1:256" ht="15" customHeight="1">
      <c r="A11" s="169" t="s">
        <v>122</v>
      </c>
      <c r="B11" s="58"/>
      <c r="C11" s="58"/>
      <c r="D11" s="58"/>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703"/>
      <c r="BG11" s="703"/>
      <c r="BH11" s="703"/>
      <c r="BI11" s="703"/>
      <c r="BJ11" s="703"/>
      <c r="BK11" s="703"/>
      <c r="BL11" s="703"/>
      <c r="BM11" s="703"/>
      <c r="BN11" s="703"/>
      <c r="BO11" s="703"/>
      <c r="BP11" s="703"/>
      <c r="BQ11" s="703"/>
      <c r="BR11" s="703"/>
      <c r="BS11" s="703"/>
      <c r="BT11" s="703"/>
      <c r="BU11" s="703"/>
      <c r="BV11" s="703"/>
      <c r="BW11" s="703"/>
      <c r="BX11" s="703"/>
      <c r="BY11" s="703"/>
      <c r="BZ11" s="703"/>
      <c r="CA11" s="703"/>
      <c r="CB11" s="703"/>
      <c r="CC11" s="703"/>
      <c r="CD11" s="703"/>
      <c r="CE11" s="703"/>
      <c r="CF11" s="703"/>
      <c r="CG11" s="703"/>
      <c r="CH11" s="703"/>
      <c r="CI11" s="703"/>
      <c r="CJ11" s="703"/>
      <c r="CK11" s="703"/>
      <c r="CL11" s="703"/>
      <c r="CM11" s="703"/>
      <c r="CN11" s="703"/>
      <c r="CO11" s="703"/>
      <c r="CP11" s="703"/>
      <c r="CQ11" s="703"/>
      <c r="CR11" s="703"/>
      <c r="CS11" s="703"/>
      <c r="CT11" s="703"/>
      <c r="CU11" s="703"/>
      <c r="CV11" s="703"/>
      <c r="CW11" s="703"/>
      <c r="CX11" s="703"/>
      <c r="CY11" s="703"/>
      <c r="CZ11" s="703"/>
      <c r="DA11" s="703"/>
      <c r="DB11" s="703"/>
      <c r="DC11" s="703"/>
      <c r="DD11" s="703"/>
      <c r="DE11" s="703"/>
      <c r="DF11" s="703"/>
      <c r="DG11" s="703"/>
      <c r="DH11" s="703"/>
      <c r="DI11" s="703"/>
      <c r="DJ11" s="703"/>
      <c r="DK11" s="703"/>
      <c r="DL11" s="703"/>
      <c r="DM11" s="703"/>
      <c r="DN11" s="703"/>
      <c r="DO11" s="703"/>
      <c r="DP11" s="703"/>
      <c r="DQ11" s="703"/>
      <c r="DR11" s="703"/>
      <c r="DS11" s="703"/>
      <c r="DT11" s="703"/>
      <c r="DU11" s="703"/>
      <c r="DV11" s="703"/>
      <c r="DW11" s="703"/>
      <c r="DX11" s="703"/>
      <c r="DY11" s="703"/>
      <c r="DZ11" s="703"/>
      <c r="EA11" s="703"/>
      <c r="EB11" s="703"/>
      <c r="EC11" s="703"/>
      <c r="ED11" s="703"/>
      <c r="EE11" s="703"/>
      <c r="EF11" s="703"/>
      <c r="EG11" s="703"/>
      <c r="EH11" s="703"/>
      <c r="EI11" s="703"/>
      <c r="EJ11" s="703"/>
      <c r="EK11" s="703"/>
      <c r="EL11" s="703"/>
      <c r="EM11" s="703"/>
      <c r="EN11" s="703"/>
      <c r="EO11" s="703"/>
      <c r="EP11" s="703"/>
      <c r="EQ11" s="703"/>
      <c r="ER11" s="703"/>
      <c r="ES11" s="703"/>
      <c r="ET11" s="703"/>
      <c r="EU11" s="703"/>
      <c r="EV11" s="703"/>
      <c r="EW11" s="703"/>
      <c r="EX11" s="703"/>
      <c r="EY11" s="703"/>
      <c r="EZ11" s="703"/>
      <c r="FA11" s="703"/>
      <c r="FB11" s="703"/>
      <c r="FC11" s="703"/>
      <c r="FD11" s="703"/>
      <c r="FE11" s="703"/>
      <c r="FF11" s="703"/>
      <c r="FG11" s="703"/>
      <c r="FH11" s="703"/>
      <c r="FI11" s="703"/>
      <c r="FJ11" s="703"/>
      <c r="FK11" s="703"/>
      <c r="FL11" s="703"/>
      <c r="FM11" s="703"/>
      <c r="FN11" s="703"/>
      <c r="FO11" s="703"/>
      <c r="FP11" s="703"/>
      <c r="FQ11" s="703"/>
      <c r="FR11" s="703"/>
      <c r="FS11" s="703"/>
      <c r="FT11" s="703"/>
      <c r="FU11" s="703"/>
      <c r="FV11" s="703"/>
      <c r="FW11" s="703"/>
      <c r="FX11" s="703"/>
      <c r="FY11" s="703"/>
      <c r="FZ11" s="703"/>
      <c r="GA11" s="703"/>
      <c r="GB11" s="703"/>
      <c r="GC11" s="703"/>
      <c r="GD11" s="703"/>
      <c r="GE11" s="703"/>
      <c r="GF11" s="703"/>
      <c r="GG11" s="703"/>
      <c r="GH11" s="703"/>
      <c r="GI11" s="703"/>
      <c r="GJ11" s="703"/>
      <c r="GK11" s="703"/>
      <c r="GL11" s="703"/>
      <c r="GM11" s="703"/>
      <c r="GN11" s="703"/>
      <c r="GO11" s="703"/>
      <c r="GP11" s="703"/>
      <c r="GQ11" s="703"/>
      <c r="GR11" s="703"/>
      <c r="GS11" s="703"/>
      <c r="GT11" s="703"/>
      <c r="GU11" s="703"/>
      <c r="GV11" s="703"/>
      <c r="GW11" s="703"/>
      <c r="GX11" s="703"/>
      <c r="GY11" s="703"/>
      <c r="GZ11" s="703"/>
      <c r="HA11" s="703"/>
      <c r="HB11" s="703"/>
      <c r="HC11" s="703"/>
      <c r="HD11" s="703"/>
      <c r="HE11" s="703"/>
      <c r="HF11" s="703"/>
      <c r="HG11" s="703"/>
      <c r="HH11" s="703"/>
      <c r="HI11" s="703"/>
      <c r="HJ11" s="703"/>
      <c r="HK11" s="703"/>
      <c r="HL11" s="703"/>
      <c r="HM11" s="703"/>
      <c r="HN11" s="703"/>
      <c r="HO11" s="703"/>
      <c r="HP11" s="703"/>
      <c r="HQ11" s="703"/>
      <c r="HR11" s="703"/>
      <c r="HS11" s="703"/>
      <c r="HT11" s="703"/>
      <c r="HU11" s="703"/>
      <c r="HV11" s="703"/>
      <c r="HW11" s="703"/>
      <c r="HX11" s="703"/>
      <c r="HY11" s="703"/>
      <c r="HZ11" s="703"/>
      <c r="IA11" s="703"/>
      <c r="IB11" s="703"/>
      <c r="IC11" s="703"/>
      <c r="ID11" s="703"/>
      <c r="IE11" s="703"/>
      <c r="IF11" s="703"/>
      <c r="IG11" s="703"/>
      <c r="IH11" s="703"/>
      <c r="II11" s="703"/>
      <c r="IJ11" s="703"/>
      <c r="IK11" s="703"/>
      <c r="IL11" s="703"/>
      <c r="IM11" s="703"/>
      <c r="IN11" s="703"/>
      <c r="IO11" s="703"/>
      <c r="IP11" s="703"/>
      <c r="IQ11" s="703"/>
      <c r="IR11" s="703"/>
      <c r="IS11" s="703"/>
      <c r="IT11" s="703"/>
      <c r="IU11" s="703"/>
      <c r="IV11" s="703"/>
    </row>
    <row r="12" spans="1:256" ht="15" customHeight="1">
      <c r="A12" s="58" t="s">
        <v>125</v>
      </c>
      <c r="B12" s="58"/>
      <c r="C12" s="58"/>
      <c r="D12" s="58"/>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703"/>
      <c r="BL12" s="703"/>
      <c r="BM12" s="703"/>
      <c r="BN12" s="703"/>
      <c r="BO12" s="703"/>
      <c r="BP12" s="703"/>
      <c r="BQ12" s="703"/>
      <c r="BR12" s="703"/>
      <c r="BS12" s="703"/>
      <c r="BT12" s="703"/>
      <c r="BU12" s="703"/>
      <c r="BV12" s="703"/>
      <c r="BW12" s="703"/>
      <c r="BX12" s="703"/>
      <c r="BY12" s="703"/>
      <c r="BZ12" s="703"/>
      <c r="CA12" s="703"/>
      <c r="CB12" s="703"/>
      <c r="CC12" s="703"/>
      <c r="CD12" s="703"/>
      <c r="CE12" s="703"/>
      <c r="CF12" s="703"/>
      <c r="CG12" s="703"/>
      <c r="CH12" s="703"/>
      <c r="CI12" s="703"/>
      <c r="CJ12" s="703"/>
      <c r="CK12" s="703"/>
      <c r="CL12" s="703"/>
      <c r="CM12" s="703"/>
      <c r="CN12" s="703"/>
      <c r="CO12" s="703"/>
      <c r="CP12" s="703"/>
      <c r="CQ12" s="703"/>
      <c r="CR12" s="703"/>
      <c r="CS12" s="703"/>
      <c r="CT12" s="703"/>
      <c r="CU12" s="703"/>
      <c r="CV12" s="703"/>
      <c r="CW12" s="703"/>
      <c r="CX12" s="703"/>
      <c r="CY12" s="703"/>
      <c r="CZ12" s="703"/>
      <c r="DA12" s="703"/>
      <c r="DB12" s="703"/>
      <c r="DC12" s="703"/>
      <c r="DD12" s="703"/>
      <c r="DE12" s="703"/>
      <c r="DF12" s="703"/>
      <c r="DG12" s="703"/>
      <c r="DH12" s="703"/>
      <c r="DI12" s="703"/>
      <c r="DJ12" s="703"/>
      <c r="DK12" s="703"/>
      <c r="DL12" s="703"/>
      <c r="DM12" s="703"/>
      <c r="DN12" s="703"/>
      <c r="DO12" s="703"/>
      <c r="DP12" s="703"/>
      <c r="DQ12" s="703"/>
      <c r="DR12" s="703"/>
      <c r="DS12" s="703"/>
      <c r="DT12" s="703"/>
      <c r="DU12" s="703"/>
      <c r="DV12" s="703"/>
      <c r="DW12" s="703"/>
      <c r="DX12" s="703"/>
      <c r="DY12" s="703"/>
      <c r="DZ12" s="703"/>
      <c r="EA12" s="703"/>
      <c r="EB12" s="703"/>
      <c r="EC12" s="703"/>
      <c r="ED12" s="703"/>
      <c r="EE12" s="703"/>
      <c r="EF12" s="703"/>
      <c r="EG12" s="703"/>
      <c r="EH12" s="703"/>
      <c r="EI12" s="703"/>
      <c r="EJ12" s="703"/>
      <c r="EK12" s="703"/>
      <c r="EL12" s="703"/>
      <c r="EM12" s="703"/>
      <c r="EN12" s="703"/>
      <c r="EO12" s="703"/>
      <c r="EP12" s="703"/>
      <c r="EQ12" s="703"/>
      <c r="ER12" s="703"/>
      <c r="ES12" s="703"/>
      <c r="ET12" s="703"/>
      <c r="EU12" s="703"/>
      <c r="EV12" s="703"/>
      <c r="EW12" s="703"/>
      <c r="EX12" s="703"/>
      <c r="EY12" s="703"/>
      <c r="EZ12" s="703"/>
      <c r="FA12" s="703"/>
      <c r="FB12" s="703"/>
      <c r="FC12" s="703"/>
      <c r="FD12" s="703"/>
      <c r="FE12" s="703"/>
      <c r="FF12" s="703"/>
      <c r="FG12" s="703"/>
      <c r="FH12" s="703"/>
      <c r="FI12" s="703"/>
      <c r="FJ12" s="703"/>
      <c r="FK12" s="703"/>
      <c r="FL12" s="703"/>
      <c r="FM12" s="703"/>
      <c r="FN12" s="703"/>
      <c r="FO12" s="703"/>
      <c r="FP12" s="703"/>
      <c r="FQ12" s="703"/>
      <c r="FR12" s="703"/>
      <c r="FS12" s="703"/>
      <c r="FT12" s="703"/>
      <c r="FU12" s="703"/>
      <c r="FV12" s="703"/>
      <c r="FW12" s="703"/>
      <c r="FX12" s="703"/>
      <c r="FY12" s="703"/>
      <c r="FZ12" s="703"/>
      <c r="GA12" s="703"/>
      <c r="GB12" s="703"/>
      <c r="GC12" s="703"/>
      <c r="GD12" s="703"/>
      <c r="GE12" s="703"/>
      <c r="GF12" s="703"/>
      <c r="GG12" s="703"/>
      <c r="GH12" s="703"/>
      <c r="GI12" s="703"/>
      <c r="GJ12" s="703"/>
      <c r="GK12" s="703"/>
      <c r="GL12" s="703"/>
      <c r="GM12" s="703"/>
      <c r="GN12" s="703"/>
      <c r="GO12" s="703"/>
      <c r="GP12" s="703"/>
      <c r="GQ12" s="703"/>
      <c r="GR12" s="703"/>
      <c r="GS12" s="703"/>
      <c r="GT12" s="703"/>
      <c r="GU12" s="703"/>
      <c r="GV12" s="703"/>
      <c r="GW12" s="703"/>
      <c r="GX12" s="703"/>
      <c r="GY12" s="703"/>
      <c r="GZ12" s="703"/>
      <c r="HA12" s="703"/>
      <c r="HB12" s="703"/>
      <c r="HC12" s="703"/>
      <c r="HD12" s="703"/>
      <c r="HE12" s="703"/>
      <c r="HF12" s="703"/>
      <c r="HG12" s="703"/>
      <c r="HH12" s="703"/>
      <c r="HI12" s="703"/>
      <c r="HJ12" s="703"/>
      <c r="HK12" s="703"/>
      <c r="HL12" s="703"/>
      <c r="HM12" s="703"/>
      <c r="HN12" s="703"/>
      <c r="HO12" s="703"/>
      <c r="HP12" s="703"/>
      <c r="HQ12" s="703"/>
      <c r="HR12" s="703"/>
      <c r="HS12" s="703"/>
      <c r="HT12" s="703"/>
      <c r="HU12" s="703"/>
      <c r="HV12" s="703"/>
      <c r="HW12" s="703"/>
      <c r="HX12" s="703"/>
      <c r="HY12" s="703"/>
      <c r="HZ12" s="703"/>
      <c r="IA12" s="703"/>
      <c r="IB12" s="703"/>
      <c r="IC12" s="703"/>
      <c r="ID12" s="703"/>
      <c r="IE12" s="703"/>
      <c r="IF12" s="703"/>
      <c r="IG12" s="703"/>
      <c r="IH12" s="703"/>
      <c r="II12" s="703"/>
      <c r="IJ12" s="703"/>
      <c r="IK12" s="703"/>
      <c r="IL12" s="703"/>
      <c r="IM12" s="703"/>
      <c r="IN12" s="703"/>
      <c r="IO12" s="703"/>
      <c r="IP12" s="703"/>
      <c r="IQ12" s="703"/>
      <c r="IR12" s="703"/>
      <c r="IS12" s="703"/>
      <c r="IT12" s="703"/>
      <c r="IU12" s="703"/>
      <c r="IV12" s="703"/>
    </row>
    <row r="13" spans="1:256" ht="15" customHeight="1">
      <c r="A13" s="169" t="s">
        <v>3</v>
      </c>
      <c r="B13" s="283">
        <f>B12</f>
        <v>0</v>
      </c>
      <c r="C13" s="283">
        <f>C12</f>
        <v>0</v>
      </c>
      <c r="D13" s="58"/>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ht="15" customHeight="1"/>
    <row r="15" ht="15" customHeight="1">
      <c r="A15" s="127" t="s">
        <v>123</v>
      </c>
    </row>
    <row r="16" spans="1:4" s="67" customFormat="1" ht="15" customHeight="1">
      <c r="A16" s="167" t="s">
        <v>126</v>
      </c>
      <c r="B16" s="167"/>
      <c r="C16" s="167"/>
      <c r="D16" s="167"/>
    </row>
    <row r="17" spans="1:3" ht="15" customHeight="1">
      <c r="A17" s="169" t="s">
        <v>3</v>
      </c>
      <c r="B17" s="284">
        <f>B16</f>
        <v>0</v>
      </c>
      <c r="C17" s="284">
        <f>C16</f>
        <v>0</v>
      </c>
    </row>
    <row r="18" ht="15" customHeight="1"/>
    <row r="19" spans="1:3" ht="15" customHeight="1">
      <c r="A19" s="127" t="s">
        <v>127</v>
      </c>
      <c r="B19" s="284">
        <f>B9+B13+B17</f>
        <v>0</v>
      </c>
      <c r="C19" s="284">
        <f>C9+C13+C17</f>
        <v>0</v>
      </c>
    </row>
    <row r="20" ht="15" customHeight="1"/>
    <row r="21" ht="15" customHeight="1"/>
  </sheetData>
  <sheetProtection/>
  <mergeCells count="211">
    <mergeCell ref="IK12:IP12"/>
    <mergeCell ref="IQ12:IV12"/>
    <mergeCell ref="B5:C5"/>
    <mergeCell ref="AC12:AH12"/>
    <mergeCell ref="AI12:AN12"/>
    <mergeCell ref="AO12:AT12"/>
    <mergeCell ref="AU12:AZ12"/>
    <mergeCell ref="BA12:BF12"/>
    <mergeCell ref="BG12:BL12"/>
    <mergeCell ref="BM12:BR12"/>
    <mergeCell ref="BS12:BX12"/>
    <mergeCell ref="BY12:CD12"/>
    <mergeCell ref="CE12:CJ12"/>
    <mergeCell ref="CK12:CP12"/>
    <mergeCell ref="CQ12:CV12"/>
    <mergeCell ref="FE12:FJ12"/>
    <mergeCell ref="FK12:FP12"/>
    <mergeCell ref="CW12:DB12"/>
    <mergeCell ref="DC12:DH12"/>
    <mergeCell ref="DI12:DN12"/>
    <mergeCell ref="DO12:DT12"/>
    <mergeCell ref="DU12:DZ12"/>
    <mergeCell ref="EA12:EF12"/>
    <mergeCell ref="HM12:HR12"/>
    <mergeCell ref="HS12:HX12"/>
    <mergeCell ref="HY12:ID12"/>
    <mergeCell ref="IE12:IJ12"/>
    <mergeCell ref="FQ12:FV12"/>
    <mergeCell ref="FW12:GB12"/>
    <mergeCell ref="GC12:GH12"/>
    <mergeCell ref="GI12:GN12"/>
    <mergeCell ref="GO12:GT12"/>
    <mergeCell ref="GU12:GZ12"/>
    <mergeCell ref="E12:J12"/>
    <mergeCell ref="K12:P12"/>
    <mergeCell ref="Q12:V12"/>
    <mergeCell ref="W12:AB12"/>
    <mergeCell ref="HA12:HF12"/>
    <mergeCell ref="HG12:HL12"/>
    <mergeCell ref="EG12:EL12"/>
    <mergeCell ref="EM12:ER12"/>
    <mergeCell ref="ES12:EX12"/>
    <mergeCell ref="EY12:FD12"/>
    <mergeCell ref="AU11:AZ11"/>
    <mergeCell ref="BA11:BF11"/>
    <mergeCell ref="BG11:BL11"/>
    <mergeCell ref="BM11:BR11"/>
    <mergeCell ref="BS11:BX11"/>
    <mergeCell ref="BY11:CD11"/>
    <mergeCell ref="CE11:CJ11"/>
    <mergeCell ref="CK11:CP11"/>
    <mergeCell ref="CQ11:CV11"/>
    <mergeCell ref="CW11:DB11"/>
    <mergeCell ref="DC11:DH11"/>
    <mergeCell ref="DI11:DN11"/>
    <mergeCell ref="DO11:DT11"/>
    <mergeCell ref="DU11:DZ11"/>
    <mergeCell ref="EA11:EF11"/>
    <mergeCell ref="EG11:EL11"/>
    <mergeCell ref="EM11:ER11"/>
    <mergeCell ref="ES11:EX11"/>
    <mergeCell ref="HG11:HL11"/>
    <mergeCell ref="HM11:HR11"/>
    <mergeCell ref="EY11:FD11"/>
    <mergeCell ref="FE11:FJ11"/>
    <mergeCell ref="FK11:FP11"/>
    <mergeCell ref="FQ11:FV11"/>
    <mergeCell ref="FW11:GB11"/>
    <mergeCell ref="GC11:GH11"/>
    <mergeCell ref="AO11:AT11"/>
    <mergeCell ref="HS11:HX11"/>
    <mergeCell ref="HY11:ID11"/>
    <mergeCell ref="IE11:IJ11"/>
    <mergeCell ref="IK11:IP11"/>
    <mergeCell ref="IQ11:IV11"/>
    <mergeCell ref="GI11:GN11"/>
    <mergeCell ref="GO11:GT11"/>
    <mergeCell ref="GU11:GZ11"/>
    <mergeCell ref="HA11:HF11"/>
    <mergeCell ref="E11:J11"/>
    <mergeCell ref="K11:P11"/>
    <mergeCell ref="Q11:V11"/>
    <mergeCell ref="W11:AB11"/>
    <mergeCell ref="AC11:AH11"/>
    <mergeCell ref="AI11:AN11"/>
    <mergeCell ref="BM10:BR10"/>
    <mergeCell ref="BS10:BX10"/>
    <mergeCell ref="BY10:CD10"/>
    <mergeCell ref="CE10:CJ10"/>
    <mergeCell ref="CK10:CP10"/>
    <mergeCell ref="CQ10:CV10"/>
    <mergeCell ref="CW10:DB10"/>
    <mergeCell ref="DC10:DH10"/>
    <mergeCell ref="DI10:DN10"/>
    <mergeCell ref="DO10:DT10"/>
    <mergeCell ref="DU10:DZ10"/>
    <mergeCell ref="EA10:EF10"/>
    <mergeCell ref="EG10:EL10"/>
    <mergeCell ref="EM10:ER10"/>
    <mergeCell ref="ES10:EX10"/>
    <mergeCell ref="EY10:FD10"/>
    <mergeCell ref="FE10:FJ10"/>
    <mergeCell ref="FK10:FP10"/>
    <mergeCell ref="HY10:ID10"/>
    <mergeCell ref="IE10:IJ10"/>
    <mergeCell ref="FQ10:FV10"/>
    <mergeCell ref="FW10:GB10"/>
    <mergeCell ref="GC10:GH10"/>
    <mergeCell ref="GI10:GN10"/>
    <mergeCell ref="GO10:GT10"/>
    <mergeCell ref="GU10:GZ10"/>
    <mergeCell ref="E10:J10"/>
    <mergeCell ref="K10:P10"/>
    <mergeCell ref="Q10:V10"/>
    <mergeCell ref="W10:AB10"/>
    <mergeCell ref="IK10:IP10"/>
    <mergeCell ref="IQ10:IV10"/>
    <mergeCell ref="HA10:HF10"/>
    <mergeCell ref="HG10:HL10"/>
    <mergeCell ref="HM10:HR10"/>
    <mergeCell ref="HS10:HX10"/>
    <mergeCell ref="AC10:AH10"/>
    <mergeCell ref="AI10:AN10"/>
    <mergeCell ref="AO10:AT10"/>
    <mergeCell ref="AU10:AZ10"/>
    <mergeCell ref="BA10:BF10"/>
    <mergeCell ref="BG10:BL10"/>
    <mergeCell ref="CE8:CJ8"/>
    <mergeCell ref="CK8:CP8"/>
    <mergeCell ref="CQ8:CV8"/>
    <mergeCell ref="CW8:DB8"/>
    <mergeCell ref="DC8:DH8"/>
    <mergeCell ref="DI8:DN8"/>
    <mergeCell ref="DO8:DT8"/>
    <mergeCell ref="DU8:DZ8"/>
    <mergeCell ref="EA8:EF8"/>
    <mergeCell ref="EG8:EL8"/>
    <mergeCell ref="EM8:ER8"/>
    <mergeCell ref="ES8:EX8"/>
    <mergeCell ref="HG8:HL8"/>
    <mergeCell ref="HM8:HR8"/>
    <mergeCell ref="EY8:FD8"/>
    <mergeCell ref="FE8:FJ8"/>
    <mergeCell ref="FK8:FP8"/>
    <mergeCell ref="FQ8:FV8"/>
    <mergeCell ref="FW8:GB8"/>
    <mergeCell ref="GC8:GH8"/>
    <mergeCell ref="AO8:AT8"/>
    <mergeCell ref="HS8:HX8"/>
    <mergeCell ref="HY8:ID8"/>
    <mergeCell ref="IE8:IJ8"/>
    <mergeCell ref="IK8:IP8"/>
    <mergeCell ref="IQ8:IV8"/>
    <mergeCell ref="GI8:GN8"/>
    <mergeCell ref="GO8:GT8"/>
    <mergeCell ref="GU8:GZ8"/>
    <mergeCell ref="HA8:HF8"/>
    <mergeCell ref="E8:J8"/>
    <mergeCell ref="K8:P8"/>
    <mergeCell ref="Q8:V8"/>
    <mergeCell ref="W8:AB8"/>
    <mergeCell ref="AC8:AH8"/>
    <mergeCell ref="AI8:AN8"/>
    <mergeCell ref="AU8:AZ8"/>
    <mergeCell ref="BA8:BF8"/>
    <mergeCell ref="BG8:BL8"/>
    <mergeCell ref="BM8:BR8"/>
    <mergeCell ref="BS8:BX8"/>
    <mergeCell ref="BY8:CD8"/>
    <mergeCell ref="DC4:DH4"/>
    <mergeCell ref="DI4:DN4"/>
    <mergeCell ref="DO4:DT4"/>
    <mergeCell ref="DU4:DZ4"/>
    <mergeCell ref="EA4:EF4"/>
    <mergeCell ref="EG4:EL4"/>
    <mergeCell ref="EM4:ER4"/>
    <mergeCell ref="ES4:EX4"/>
    <mergeCell ref="EY4:FD4"/>
    <mergeCell ref="FE4:FJ4"/>
    <mergeCell ref="FK4:FP4"/>
    <mergeCell ref="FQ4:FV4"/>
    <mergeCell ref="IE4:IJ4"/>
    <mergeCell ref="IK4:IP4"/>
    <mergeCell ref="FW4:GB4"/>
    <mergeCell ref="GC4:GH4"/>
    <mergeCell ref="GI4:GN4"/>
    <mergeCell ref="GO4:GT4"/>
    <mergeCell ref="GU4:GZ4"/>
    <mergeCell ref="HA4:HF4"/>
    <mergeCell ref="E4:J4"/>
    <mergeCell ref="K4:P4"/>
    <mergeCell ref="Q4:V4"/>
    <mergeCell ref="W4:AB4"/>
    <mergeCell ref="AC4:AH4"/>
    <mergeCell ref="IQ4:IV4"/>
    <mergeCell ref="HG4:HL4"/>
    <mergeCell ref="HM4:HR4"/>
    <mergeCell ref="HS4:HX4"/>
    <mergeCell ref="HY4:ID4"/>
    <mergeCell ref="AI4:AN4"/>
    <mergeCell ref="AO4:AT4"/>
    <mergeCell ref="AU4:AZ4"/>
    <mergeCell ref="BA4:BF4"/>
    <mergeCell ref="BG4:BL4"/>
    <mergeCell ref="BM4:BR4"/>
    <mergeCell ref="BS4:BX4"/>
    <mergeCell ref="BY4:CD4"/>
    <mergeCell ref="CE4:CJ4"/>
    <mergeCell ref="CK4:CP4"/>
    <mergeCell ref="CQ4:CV4"/>
    <mergeCell ref="CW4:DB4"/>
  </mergeCells>
  <hyperlinks>
    <hyperlink ref="C1" location="BG!A1" display="BG"/>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Hoja16"/>
  <dimension ref="A1:F17"/>
  <sheetViews>
    <sheetView zoomScalePageLayoutView="0" workbookViewId="0" topLeftCell="A1">
      <selection activeCell="A3" sqref="A3:IV4"/>
    </sheetView>
  </sheetViews>
  <sheetFormatPr defaultColWidth="11.421875" defaultRowHeight="15"/>
  <cols>
    <col min="1" max="1" width="26.7109375" style="154" customWidth="1"/>
    <col min="2" max="3" width="22.7109375" style="154" customWidth="1"/>
    <col min="4" max="19" width="11.421875" style="154" customWidth="1"/>
  </cols>
  <sheetData>
    <row r="1" spans="1:6" ht="15">
      <c r="A1" s="154" t="str">
        <f>Indice!C1</f>
        <v>IMPORT CENTER S.A.</v>
      </c>
      <c r="F1" s="177" t="s">
        <v>129</v>
      </c>
    </row>
    <row r="4" spans="1:4" ht="15">
      <c r="A4" s="750" t="s">
        <v>303</v>
      </c>
      <c r="B4" s="750"/>
      <c r="C4" s="750"/>
      <c r="D4" s="750"/>
    </row>
    <row r="5" spans="2:3" ht="15">
      <c r="B5" s="746" t="s">
        <v>291</v>
      </c>
      <c r="C5" s="746"/>
    </row>
    <row r="6" spans="1:4" ht="15">
      <c r="A6" s="174" t="s">
        <v>122</v>
      </c>
      <c r="B6" s="427">
        <f>_xlfn.IFERROR(IF(Indice!B6="","2XX2",YEAR(Indice!B6)),"2XX2")</f>
        <v>2022</v>
      </c>
      <c r="C6" s="427">
        <f>_xlfn.IFERROR(YEAR(Indice!B6-365),"2XX1")</f>
        <v>2021</v>
      </c>
      <c r="D6" s="170"/>
    </row>
    <row r="7" spans="1:4" ht="15">
      <c r="A7" s="171" t="s">
        <v>125</v>
      </c>
      <c r="B7" s="171"/>
      <c r="C7" s="171"/>
      <c r="D7" s="171"/>
    </row>
    <row r="8" spans="1:4" ht="25.5">
      <c r="A8" s="172" t="s">
        <v>160</v>
      </c>
      <c r="D8" s="172"/>
    </row>
    <row r="9" spans="1:6" ht="15">
      <c r="A9" s="173"/>
      <c r="D9" s="172"/>
      <c r="E9" s="171"/>
      <c r="F9" s="171"/>
    </row>
    <row r="10" spans="1:3" ht="15">
      <c r="A10" s="159" t="s">
        <v>127</v>
      </c>
      <c r="B10" s="281">
        <f>SUM(B7:B9)</f>
        <v>0</v>
      </c>
      <c r="C10" s="281">
        <f>SUM(C7:C9)</f>
        <v>0</v>
      </c>
    </row>
    <row r="11" spans="1:4" ht="15">
      <c r="A11" s="173"/>
      <c r="D11" s="172"/>
    </row>
    <row r="12" spans="1:4" ht="15">
      <c r="A12" s="172"/>
      <c r="D12" s="172"/>
    </row>
    <row r="13" spans="1:6" ht="15">
      <c r="A13" s="173"/>
      <c r="D13" s="172"/>
      <c r="E13" s="171"/>
      <c r="F13" s="171"/>
    </row>
    <row r="15" ht="15">
      <c r="A15" s="159"/>
    </row>
    <row r="16" spans="1:4" ht="15">
      <c r="A16" s="170"/>
      <c r="D16" s="170"/>
    </row>
    <row r="17" ht="15">
      <c r="A17" s="173"/>
    </row>
  </sheetData>
  <sheetProtection/>
  <mergeCells count="2">
    <mergeCell ref="A4:D4"/>
    <mergeCell ref="B5:C5"/>
  </mergeCells>
  <hyperlinks>
    <hyperlink ref="F1" location="BG!A1" display="BG"/>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E13"/>
  <sheetViews>
    <sheetView zoomScalePageLayoutView="0" workbookViewId="0" topLeftCell="A1">
      <selection activeCell="A3" sqref="A3:IV4"/>
    </sheetView>
  </sheetViews>
  <sheetFormatPr defaultColWidth="11.421875" defaultRowHeight="15"/>
  <cols>
    <col min="1" max="1" width="24.7109375" style="154" customWidth="1"/>
    <col min="2" max="2" width="17.140625" style="154" customWidth="1"/>
    <col min="3" max="3" width="17.28125" style="154" customWidth="1"/>
    <col min="4" max="13" width="11.421875" style="154" customWidth="1"/>
  </cols>
  <sheetData>
    <row r="1" spans="1:5" ht="15">
      <c r="A1" s="154" t="str">
        <f>Indice!C1</f>
        <v>IMPORT CENTER S.A.</v>
      </c>
      <c r="E1" s="177" t="s">
        <v>129</v>
      </c>
    </row>
    <row r="5" spans="1:4" ht="15">
      <c r="A5" s="337" t="s">
        <v>304</v>
      </c>
      <c r="B5" s="337"/>
      <c r="C5" s="337"/>
      <c r="D5" s="337"/>
    </row>
    <row r="6" spans="2:3" ht="15">
      <c r="B6" s="746" t="s">
        <v>291</v>
      </c>
      <c r="C6" s="746"/>
    </row>
    <row r="7" spans="1:4" ht="15">
      <c r="A7" s="175" t="s">
        <v>128</v>
      </c>
      <c r="B7" s="427">
        <f>_xlfn.IFERROR(IF(Indice!B6="","2XX2",YEAR(Indice!B6)),"2XX2")</f>
        <v>2022</v>
      </c>
      <c r="C7" s="427">
        <f>_xlfn.IFERROR(YEAR(Indice!B6-365),"2XX1")</f>
        <v>2021</v>
      </c>
      <c r="D7" s="170"/>
    </row>
    <row r="8" spans="1:4" ht="15">
      <c r="A8" s="171"/>
      <c r="B8" s="171"/>
      <c r="C8" s="171"/>
      <c r="D8" s="171"/>
    </row>
    <row r="9" spans="1:4" ht="15">
      <c r="A9" s="172"/>
      <c r="D9" s="172"/>
    </row>
    <row r="10" spans="1:4" ht="15">
      <c r="A10" s="173"/>
      <c r="D10" s="172"/>
    </row>
    <row r="11" spans="1:3" ht="15">
      <c r="A11" s="159" t="s">
        <v>127</v>
      </c>
      <c r="B11" s="281">
        <f>SUM(B8:B10)</f>
        <v>0</v>
      </c>
      <c r="C11" s="281">
        <f>SUM(C8:C10)</f>
        <v>0</v>
      </c>
    </row>
    <row r="12" spans="1:4" ht="15">
      <c r="A12" s="173"/>
      <c r="D12" s="172"/>
    </row>
    <row r="13" spans="1:4" ht="15">
      <c r="A13" s="172"/>
      <c r="D13" s="172"/>
    </row>
  </sheetData>
  <sheetProtection/>
  <mergeCells count="1">
    <mergeCell ref="B6:C6"/>
  </mergeCells>
  <hyperlinks>
    <hyperlink ref="E1" location="BG!A1" display="BG"/>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E27"/>
  <sheetViews>
    <sheetView showGridLines="0" zoomScalePageLayoutView="0" workbookViewId="0" topLeftCell="A10">
      <selection activeCell="E26" sqref="E26"/>
    </sheetView>
  </sheetViews>
  <sheetFormatPr defaultColWidth="11.421875" defaultRowHeight="15"/>
  <cols>
    <col min="1" max="1" width="38.57421875" style="319" customWidth="1"/>
    <col min="2" max="2" width="34.140625" style="319" customWidth="1"/>
    <col min="3" max="3" width="34.421875" style="319" bestFit="1" customWidth="1"/>
    <col min="4" max="4" width="18.421875" style="319" customWidth="1"/>
    <col min="5" max="5" width="18.7109375" style="319" customWidth="1"/>
    <col min="6" max="16384" width="11.421875" style="319" customWidth="1"/>
  </cols>
  <sheetData>
    <row r="1" spans="1:3" ht="15">
      <c r="A1" s="319" t="str">
        <f>Indice!C1</f>
        <v>IMPORT CENTER S.A.</v>
      </c>
      <c r="B1" s="176"/>
      <c r="C1" s="462" t="s">
        <v>129</v>
      </c>
    </row>
    <row r="4" spans="1:5" ht="15">
      <c r="A4" s="337" t="s">
        <v>306</v>
      </c>
      <c r="B4" s="337"/>
      <c r="C4" s="337"/>
      <c r="D4" s="337"/>
      <c r="E4" s="337"/>
    </row>
    <row r="5" ht="15">
      <c r="A5" s="425" t="s">
        <v>291</v>
      </c>
    </row>
    <row r="6" spans="1:4" ht="15">
      <c r="A6" s="338" t="s">
        <v>814</v>
      </c>
      <c r="B6" s="338"/>
      <c r="C6" s="338"/>
      <c r="D6" s="338"/>
    </row>
    <row r="7" ht="15">
      <c r="E7" s="282"/>
    </row>
    <row r="8" spans="1:5" ht="15">
      <c r="A8" s="127" t="s">
        <v>65</v>
      </c>
      <c r="B8" s="442" t="s">
        <v>165</v>
      </c>
      <c r="C8" s="442" t="s">
        <v>455</v>
      </c>
      <c r="D8" s="443">
        <f>_xlfn.IFERROR(IF(Indice!B6="","2XX2",YEAR(Indice!B6)),"2XX2")</f>
        <v>2022</v>
      </c>
      <c r="E8" s="443">
        <f>_xlfn.IFERROR(YEAR(Indice!B6-365),"2XX1")</f>
        <v>2021</v>
      </c>
    </row>
    <row r="9" spans="1:4" ht="15">
      <c r="A9" s="319" t="s">
        <v>454</v>
      </c>
      <c r="B9" s="336"/>
      <c r="C9" s="341">
        <f>_xlfn.IFERROR(VLOOKUP(B9,'Base de Monedas'!A:B,2,0),"")</f>
      </c>
      <c r="D9" s="28"/>
    </row>
    <row r="10" spans="1:4" ht="15">
      <c r="A10" s="322" t="s">
        <v>112</v>
      </c>
      <c r="B10" s="336"/>
      <c r="C10" s="341">
        <f>_xlfn.IFERROR(VLOOKUP(B10,'Base de Monedas'!A:B,2,0),"")</f>
      </c>
      <c r="D10" s="9"/>
    </row>
    <row r="11" spans="1:5" ht="15">
      <c r="A11" s="322" t="s">
        <v>113</v>
      </c>
      <c r="B11" s="336" t="s">
        <v>926</v>
      </c>
      <c r="C11" s="341" t="str">
        <f>_xlfn.IFERROR(VLOOKUP(B11,'Base de Monedas'!A:B,2,0),"")</f>
        <v>Guaraní</v>
      </c>
      <c r="D11" s="538">
        <v>98659</v>
      </c>
      <c r="E11" s="539">
        <v>95581</v>
      </c>
    </row>
    <row r="12" spans="1:5" s="476" customFormat="1" ht="15">
      <c r="A12" s="476" t="s">
        <v>113</v>
      </c>
      <c r="B12" s="336" t="s">
        <v>925</v>
      </c>
      <c r="C12" s="341" t="str">
        <f>_xlfn.IFERROR(VLOOKUP(B12,'Base de Monedas'!A:B,2,0),"")</f>
        <v>Dólar estadounidense</v>
      </c>
      <c r="D12" s="538">
        <v>30530</v>
      </c>
      <c r="E12" s="539">
        <v>195619</v>
      </c>
    </row>
    <row r="13" spans="1:5" s="476" customFormat="1" ht="15">
      <c r="A13" s="476" t="s">
        <v>923</v>
      </c>
      <c r="B13" s="336" t="s">
        <v>925</v>
      </c>
      <c r="C13" s="341" t="str">
        <f>_xlfn.IFERROR(VLOOKUP(B13,'Base de Monedas'!A:B,2,0),"")</f>
        <v>Dólar estadounidense</v>
      </c>
      <c r="D13" s="538">
        <v>215717</v>
      </c>
      <c r="E13" s="539">
        <v>467826</v>
      </c>
    </row>
    <row r="14" spans="1:5" s="476" customFormat="1" ht="15">
      <c r="A14" s="476" t="s">
        <v>923</v>
      </c>
      <c r="B14" s="336" t="s">
        <v>926</v>
      </c>
      <c r="C14" s="341" t="str">
        <f>_xlfn.IFERROR(VLOOKUP(B14,'Base de Monedas'!A:B,2,0),"")</f>
        <v>Guaraní</v>
      </c>
      <c r="D14" s="538">
        <v>12000</v>
      </c>
      <c r="E14" s="539">
        <v>4947</v>
      </c>
    </row>
    <row r="15" spans="1:5" s="476" customFormat="1" ht="15">
      <c r="A15" s="476" t="s">
        <v>924</v>
      </c>
      <c r="B15" s="336" t="s">
        <v>926</v>
      </c>
      <c r="C15" s="341" t="str">
        <f>_xlfn.IFERROR(VLOOKUP(B15,'Base de Monedas'!A:B,2,0),"")</f>
        <v>Guaraní</v>
      </c>
      <c r="D15" s="538">
        <v>7710</v>
      </c>
      <c r="E15" s="540">
        <v>5068</v>
      </c>
    </row>
    <row r="16" spans="1:5" s="615" customFormat="1" ht="15">
      <c r="A16" s="615" t="s">
        <v>990</v>
      </c>
      <c r="B16" s="336" t="s">
        <v>925</v>
      </c>
      <c r="C16" s="341" t="str">
        <f>_xlfn.IFERROR(VLOOKUP(B16,'Base de Monedas'!A:B,2,0),"")</f>
        <v>Dólar estadounidense</v>
      </c>
      <c r="D16" s="538"/>
      <c r="E16" s="540">
        <v>0</v>
      </c>
    </row>
    <row r="17" spans="1:5" ht="15">
      <c r="A17" s="340" t="s">
        <v>66</v>
      </c>
      <c r="B17" s="336"/>
      <c r="C17" s="341">
        <f>_xlfn.IFERROR(VLOOKUP(B17,'Base de Monedas'!A:B,2,0),"")</f>
      </c>
      <c r="D17" s="538"/>
      <c r="E17" s="539"/>
    </row>
    <row r="18" spans="1:5" ht="15.75" thickBot="1">
      <c r="A18" s="13" t="s">
        <v>114</v>
      </c>
      <c r="B18" s="11"/>
      <c r="C18" s="15"/>
      <c r="D18" s="541">
        <f>SUM($D$9:D17)</f>
        <v>364616</v>
      </c>
      <c r="E18" s="541">
        <f>SUM($E$9:E17)+1</f>
        <v>769042</v>
      </c>
    </row>
    <row r="19" spans="1:5" ht="15.75" thickTop="1">
      <c r="A19" s="13"/>
      <c r="B19" s="11"/>
      <c r="C19" s="15"/>
      <c r="D19" s="329"/>
      <c r="E19" s="329"/>
    </row>
    <row r="21" ht="15">
      <c r="D21" s="282"/>
    </row>
    <row r="22" spans="1:5" ht="15">
      <c r="A22" s="127" t="s">
        <v>813</v>
      </c>
      <c r="B22" s="442" t="s">
        <v>165</v>
      </c>
      <c r="C22" s="442" t="s">
        <v>455</v>
      </c>
      <c r="D22" s="443">
        <f>_xlfn.IFERROR(YEAR(Indice!B6),"2XX2")</f>
        <v>2022</v>
      </c>
      <c r="E22" s="443">
        <f>_xlfn.IFERROR(YEAR(Indice!B6-365),"2XX1")</f>
        <v>2021</v>
      </c>
    </row>
    <row r="23" spans="1:4" ht="15">
      <c r="A23" s="319" t="s">
        <v>454</v>
      </c>
      <c r="B23" s="336"/>
      <c r="C23" s="341">
        <f>_xlfn.IFERROR(VLOOKUP(B23,'Base de Monedas'!A:B,2,0),"")</f>
      </c>
      <c r="D23" s="28"/>
    </row>
    <row r="24" spans="1:4" ht="15">
      <c r="A24" s="322" t="s">
        <v>112</v>
      </c>
      <c r="B24" s="336"/>
      <c r="C24" s="341">
        <f>_xlfn.IFERROR(VLOOKUP(B24,'Base de Monedas'!A:B,2,0),"")</f>
      </c>
      <c r="D24" s="9"/>
    </row>
    <row r="25" spans="1:5" ht="15">
      <c r="A25" s="322" t="s">
        <v>113</v>
      </c>
      <c r="B25" s="336" t="s">
        <v>925</v>
      </c>
      <c r="C25" s="341" t="str">
        <f>_xlfn.IFERROR(VLOOKUP(B25,'Base de Monedas'!A:B,2,0),"")</f>
        <v>Dólar estadounidense</v>
      </c>
      <c r="D25" s="538">
        <v>64138</v>
      </c>
      <c r="E25" s="539">
        <v>163377</v>
      </c>
    </row>
    <row r="26" spans="1:5" ht="15">
      <c r="A26" s="340" t="s">
        <v>66</v>
      </c>
      <c r="B26" s="336"/>
      <c r="C26" s="341">
        <f>_xlfn.IFERROR(VLOOKUP(B26,'Base de Monedas'!A:B,2,0),"")</f>
      </c>
      <c r="D26" s="538"/>
      <c r="E26" s="539"/>
    </row>
    <row r="27" spans="1:5" ht="15.75" thickBot="1">
      <c r="A27" s="13" t="s">
        <v>114</v>
      </c>
      <c r="B27" s="11"/>
      <c r="C27" s="15"/>
      <c r="D27" s="541">
        <f>SUM($D$23:D25)</f>
        <v>64138</v>
      </c>
      <c r="E27" s="541">
        <f>SUM($E$23:E25)</f>
        <v>163377</v>
      </c>
    </row>
    <row r="28"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1"/>
</worksheet>
</file>

<file path=xl/worksheets/sheet2.xml><?xml version="1.0" encoding="utf-8"?>
<worksheet xmlns="http://schemas.openxmlformats.org/spreadsheetml/2006/main" xmlns:r="http://schemas.openxmlformats.org/officeDocument/2006/relationships">
  <sheetPr codeName="Hoja1"/>
  <dimension ref="A1:T67"/>
  <sheetViews>
    <sheetView showGridLines="0" zoomScalePageLayoutView="0" workbookViewId="0" topLeftCell="A29">
      <selection activeCell="D45" sqref="D45"/>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75" customWidth="1"/>
    <col min="5" max="5" width="49.8515625" style="2" bestFit="1" customWidth="1"/>
    <col min="6" max="6" width="6.7109375" style="2" bestFit="1" customWidth="1"/>
    <col min="7" max="16384" width="11.421875" style="2" customWidth="1"/>
  </cols>
  <sheetData>
    <row r="1" spans="2:4" ht="12.75">
      <c r="B1" s="473" t="s">
        <v>815</v>
      </c>
      <c r="C1" s="472" t="s">
        <v>897</v>
      </c>
      <c r="D1" s="2" t="s">
        <v>877</v>
      </c>
    </row>
    <row r="2" spans="19:20" ht="12.75">
      <c r="S2" s="2">
        <v>1</v>
      </c>
      <c r="T2" s="2" t="s">
        <v>431</v>
      </c>
    </row>
    <row r="3" spans="19:20" ht="12.75">
      <c r="S3" s="2">
        <v>2</v>
      </c>
      <c r="T3" s="2" t="s">
        <v>432</v>
      </c>
    </row>
    <row r="4" spans="19:20" ht="12.75">
      <c r="S4" s="2">
        <v>3</v>
      </c>
      <c r="T4" s="2" t="s">
        <v>433</v>
      </c>
    </row>
    <row r="5" spans="19:20" ht="12.75">
      <c r="S5" s="2">
        <v>4</v>
      </c>
      <c r="T5" s="2" t="s">
        <v>434</v>
      </c>
    </row>
    <row r="6" spans="1:20" ht="12.75">
      <c r="A6" s="473" t="s">
        <v>812</v>
      </c>
      <c r="B6" s="471">
        <v>44834</v>
      </c>
      <c r="S6" s="2">
        <v>5</v>
      </c>
      <c r="T6" s="2" t="s">
        <v>435</v>
      </c>
    </row>
    <row r="7" spans="1:20" ht="12.75" customHeight="1" hidden="1">
      <c r="A7" s="46"/>
      <c r="B7" s="46"/>
      <c r="C7" s="46"/>
      <c r="D7" s="295"/>
      <c r="S7" s="2">
        <v>6</v>
      </c>
      <c r="T7" s="2" t="s">
        <v>436</v>
      </c>
    </row>
    <row r="8" spans="1:20" ht="12.75">
      <c r="A8" s="342"/>
      <c r="S8" s="2">
        <v>7</v>
      </c>
      <c r="T8" s="2" t="s">
        <v>437</v>
      </c>
    </row>
    <row r="9" spans="2:20" ht="26.25" customHeight="1">
      <c r="B9" s="343"/>
      <c r="C9" s="344" t="s">
        <v>22</v>
      </c>
      <c r="D9" s="348" t="s">
        <v>359</v>
      </c>
      <c r="S9" s="2">
        <v>8</v>
      </c>
      <c r="T9" s="2" t="s">
        <v>438</v>
      </c>
    </row>
    <row r="10" spans="2:20" ht="26.25" customHeight="1">
      <c r="B10" s="345" t="s">
        <v>405</v>
      </c>
      <c r="C10" s="327"/>
      <c r="D10" s="349"/>
      <c r="S10" s="2">
        <v>9</v>
      </c>
      <c r="T10" s="2" t="s">
        <v>439</v>
      </c>
    </row>
    <row r="11" spans="1:20" ht="15">
      <c r="A11" s="113"/>
      <c r="B11" s="346"/>
      <c r="C11" s="328" t="s">
        <v>333</v>
      </c>
      <c r="D11" s="350" t="s">
        <v>23</v>
      </c>
      <c r="S11" s="2">
        <v>10</v>
      </c>
      <c r="T11" s="2" t="s">
        <v>440</v>
      </c>
    </row>
    <row r="12" spans="1:20" ht="15">
      <c r="A12" s="113"/>
      <c r="B12" s="346"/>
      <c r="C12" s="328" t="s">
        <v>39</v>
      </c>
      <c r="D12" s="351" t="s">
        <v>24</v>
      </c>
      <c r="S12" s="2">
        <v>11</v>
      </c>
      <c r="T12" s="2" t="s">
        <v>441</v>
      </c>
    </row>
    <row r="13" spans="1:20" ht="15">
      <c r="A13" s="113"/>
      <c r="B13" s="345" t="s">
        <v>265</v>
      </c>
      <c r="C13" s="328"/>
      <c r="D13" s="350" t="s">
        <v>129</v>
      </c>
      <c r="S13" s="2">
        <v>12</v>
      </c>
      <c r="T13" s="2" t="s">
        <v>442</v>
      </c>
    </row>
    <row r="14" spans="1:4" ht="12.75">
      <c r="A14" s="113"/>
      <c r="B14" s="346"/>
      <c r="C14" s="45" t="s">
        <v>206</v>
      </c>
      <c r="D14" s="352" t="s">
        <v>25</v>
      </c>
    </row>
    <row r="15" spans="1:4" ht="12.75">
      <c r="A15" s="113"/>
      <c r="B15" s="346"/>
      <c r="C15" s="45" t="s">
        <v>109</v>
      </c>
      <c r="D15" s="352" t="s">
        <v>26</v>
      </c>
    </row>
    <row r="16" spans="1:4" ht="12.75">
      <c r="A16" s="113"/>
      <c r="B16" s="346"/>
      <c r="C16" s="45" t="s">
        <v>207</v>
      </c>
      <c r="D16" s="352" t="s">
        <v>27</v>
      </c>
    </row>
    <row r="17" spans="1:4" ht="12.75">
      <c r="A17" s="113"/>
      <c r="B17" s="346"/>
      <c r="C17" s="45" t="s">
        <v>40</v>
      </c>
      <c r="D17" s="352" t="s">
        <v>28</v>
      </c>
    </row>
    <row r="18" spans="1:4" ht="15">
      <c r="A18" s="113"/>
      <c r="B18" s="346"/>
      <c r="C18" s="45" t="s">
        <v>207</v>
      </c>
      <c r="D18" s="351" t="s">
        <v>27</v>
      </c>
    </row>
    <row r="19" spans="1:4" ht="12.75">
      <c r="A19" s="113"/>
      <c r="B19" s="346"/>
      <c r="C19" s="45" t="s">
        <v>208</v>
      </c>
      <c r="D19" s="352" t="s">
        <v>29</v>
      </c>
    </row>
    <row r="20" spans="1:4" ht="12.75">
      <c r="A20" s="113"/>
      <c r="B20" s="346"/>
      <c r="C20" s="45" t="s">
        <v>388</v>
      </c>
      <c r="D20" s="352" t="s">
        <v>30</v>
      </c>
    </row>
    <row r="21" spans="1:4" ht="12.75">
      <c r="A21" s="113"/>
      <c r="B21" s="346"/>
      <c r="C21" s="45" t="s">
        <v>334</v>
      </c>
      <c r="D21" s="352" t="s">
        <v>31</v>
      </c>
    </row>
    <row r="22" spans="1:4" ht="12.75">
      <c r="A22" s="113"/>
      <c r="B22" s="346"/>
      <c r="C22" s="45" t="s">
        <v>228</v>
      </c>
      <c r="D22" s="352" t="s">
        <v>32</v>
      </c>
    </row>
    <row r="23" spans="1:4" ht="15">
      <c r="A23" s="113"/>
      <c r="B23" s="346"/>
      <c r="C23" s="45" t="s">
        <v>122</v>
      </c>
      <c r="D23" s="351" t="s">
        <v>33</v>
      </c>
    </row>
    <row r="24" spans="1:4" ht="15">
      <c r="A24" s="113"/>
      <c r="B24" s="346"/>
      <c r="C24" s="45" t="s">
        <v>128</v>
      </c>
      <c r="D24" s="350" t="s">
        <v>34</v>
      </c>
    </row>
    <row r="25" spans="1:4" ht="15">
      <c r="A25" s="113"/>
      <c r="B25" s="346"/>
      <c r="C25" s="45" t="s">
        <v>110</v>
      </c>
      <c r="D25" s="351" t="s">
        <v>35</v>
      </c>
    </row>
    <row r="26" spans="1:4" ht="12.75">
      <c r="A26" s="113"/>
      <c r="B26" s="346"/>
      <c r="C26" s="45" t="s">
        <v>111</v>
      </c>
      <c r="D26" s="352" t="s">
        <v>36</v>
      </c>
    </row>
    <row r="27" spans="1:4" ht="12.75">
      <c r="A27" s="113"/>
      <c r="B27" s="346"/>
      <c r="C27" s="45" t="s">
        <v>130</v>
      </c>
      <c r="D27" s="352" t="s">
        <v>37</v>
      </c>
    </row>
    <row r="28" spans="1:4" ht="12.75">
      <c r="A28" s="113"/>
      <c r="B28" s="346"/>
      <c r="C28" s="45" t="s">
        <v>67</v>
      </c>
      <c r="D28" s="352" t="s">
        <v>38</v>
      </c>
    </row>
    <row r="29" spans="1:4" ht="15">
      <c r="A29" s="113"/>
      <c r="B29" s="346"/>
      <c r="C29" s="45" t="s">
        <v>68</v>
      </c>
      <c r="D29" s="351" t="s">
        <v>335</v>
      </c>
    </row>
    <row r="30" spans="1:4" ht="15">
      <c r="A30" s="113"/>
      <c r="B30" s="346"/>
      <c r="C30" s="45" t="s">
        <v>69</v>
      </c>
      <c r="D30" s="351" t="s">
        <v>336</v>
      </c>
    </row>
    <row r="31" spans="1:4" ht="15">
      <c r="A31" s="113"/>
      <c r="B31" s="346"/>
      <c r="C31" s="45" t="s">
        <v>234</v>
      </c>
      <c r="D31" s="351" t="s">
        <v>337</v>
      </c>
    </row>
    <row r="32" spans="1:4" ht="15">
      <c r="A32" s="113"/>
      <c r="B32" s="346"/>
      <c r="C32" s="45" t="s">
        <v>339</v>
      </c>
      <c r="D32" s="351" t="s">
        <v>36</v>
      </c>
    </row>
    <row r="33" spans="1:4" ht="15">
      <c r="A33" s="113"/>
      <c r="B33" s="346"/>
      <c r="C33" s="45" t="s">
        <v>341</v>
      </c>
      <c r="D33" s="351" t="s">
        <v>337</v>
      </c>
    </row>
    <row r="34" spans="1:4" ht="15">
      <c r="A34" s="113"/>
      <c r="B34" s="346"/>
      <c r="C34" s="45" t="s">
        <v>238</v>
      </c>
      <c r="D34" s="351" t="s">
        <v>338</v>
      </c>
    </row>
    <row r="35" spans="1:4" ht="15">
      <c r="A35" s="113"/>
      <c r="B35" s="346"/>
      <c r="C35" s="45" t="s">
        <v>43</v>
      </c>
      <c r="D35" s="351" t="s">
        <v>342</v>
      </c>
    </row>
    <row r="36" spans="1:4" ht="15">
      <c r="A36" s="113"/>
      <c r="B36" s="346"/>
      <c r="C36" s="45" t="s">
        <v>81</v>
      </c>
      <c r="D36" s="351" t="s">
        <v>342</v>
      </c>
    </row>
    <row r="37" spans="1:4" ht="15">
      <c r="A37" s="113"/>
      <c r="B37" s="346"/>
      <c r="C37" s="45" t="s">
        <v>239</v>
      </c>
      <c r="D37" s="351" t="s">
        <v>342</v>
      </c>
    </row>
    <row r="38" spans="1:4" ht="15">
      <c r="A38" s="113"/>
      <c r="B38" s="346"/>
      <c r="C38" s="45" t="s">
        <v>391</v>
      </c>
      <c r="D38" s="351" t="s">
        <v>342</v>
      </c>
    </row>
    <row r="39" spans="1:4" ht="15">
      <c r="A39" s="113"/>
      <c r="B39" s="346"/>
      <c r="C39" s="45" t="s">
        <v>70</v>
      </c>
      <c r="D39" s="351" t="s">
        <v>343</v>
      </c>
    </row>
    <row r="40" spans="1:4" ht="15">
      <c r="A40" s="113"/>
      <c r="B40" s="346"/>
      <c r="C40" s="45" t="s">
        <v>44</v>
      </c>
      <c r="D40" s="351" t="s">
        <v>344</v>
      </c>
    </row>
    <row r="41" spans="1:4" ht="15">
      <c r="A41" s="113"/>
      <c r="B41" s="346"/>
      <c r="C41" s="45" t="s">
        <v>71</v>
      </c>
      <c r="D41" s="351" t="s">
        <v>345</v>
      </c>
    </row>
    <row r="42" spans="1:4" ht="15">
      <c r="A42" s="113"/>
      <c r="B42" s="345" t="s">
        <v>57</v>
      </c>
      <c r="C42" s="328"/>
      <c r="D42" s="350" t="s">
        <v>144</v>
      </c>
    </row>
    <row r="43" spans="1:4" ht="15">
      <c r="A43" s="113"/>
      <c r="B43" s="346"/>
      <c r="C43" s="45" t="s">
        <v>63</v>
      </c>
      <c r="D43" s="351" t="s">
        <v>346</v>
      </c>
    </row>
    <row r="44" spans="1:4" ht="15">
      <c r="A44" s="113"/>
      <c r="B44" s="346"/>
      <c r="C44" s="45" t="s">
        <v>152</v>
      </c>
      <c r="D44" s="351" t="s">
        <v>347</v>
      </c>
    </row>
    <row r="45" spans="1:4" ht="15">
      <c r="A45" s="113"/>
      <c r="B45" s="346"/>
      <c r="C45" s="45" t="s">
        <v>244</v>
      </c>
      <c r="D45" s="351" t="s">
        <v>348</v>
      </c>
    </row>
    <row r="46" spans="1:4" ht="15">
      <c r="A46" s="113"/>
      <c r="B46" s="346"/>
      <c r="C46" s="45" t="s">
        <v>167</v>
      </c>
      <c r="D46" s="351" t="s">
        <v>348</v>
      </c>
    </row>
    <row r="47" spans="1:4" ht="15">
      <c r="A47" s="113"/>
      <c r="B47" s="346"/>
      <c r="C47" s="45" t="s">
        <v>350</v>
      </c>
      <c r="D47" s="351" t="s">
        <v>349</v>
      </c>
    </row>
    <row r="48" spans="1:4" ht="15">
      <c r="A48" s="113"/>
      <c r="B48" s="346"/>
      <c r="C48" s="45" t="s">
        <v>393</v>
      </c>
      <c r="D48" s="351" t="s">
        <v>351</v>
      </c>
    </row>
    <row r="49" spans="1:4" ht="15">
      <c r="A49" s="113"/>
      <c r="B49" s="346"/>
      <c r="C49" s="45" t="s">
        <v>396</v>
      </c>
      <c r="D49" s="351" t="s">
        <v>351</v>
      </c>
    </row>
    <row r="50" spans="1:4" ht="15">
      <c r="A50" s="113"/>
      <c r="B50" s="346"/>
      <c r="C50" s="45" t="s">
        <v>158</v>
      </c>
      <c r="D50" s="351" t="s">
        <v>352</v>
      </c>
    </row>
    <row r="51" spans="1:4" ht="15">
      <c r="A51" s="113"/>
      <c r="B51" s="346"/>
      <c r="C51" s="45" t="s">
        <v>159</v>
      </c>
      <c r="D51" s="351" t="s">
        <v>353</v>
      </c>
    </row>
    <row r="52" spans="1:4" ht="15">
      <c r="A52" s="113"/>
      <c r="B52" s="346"/>
      <c r="C52" s="45" t="s">
        <v>46</v>
      </c>
      <c r="D52" s="351" t="s">
        <v>354</v>
      </c>
    </row>
    <row r="53" spans="1:4" ht="15">
      <c r="A53" s="113"/>
      <c r="B53" s="346"/>
      <c r="C53" s="45" t="s">
        <v>73</v>
      </c>
      <c r="D53" s="351" t="s">
        <v>355</v>
      </c>
    </row>
    <row r="54" spans="1:4" ht="15">
      <c r="A54" s="113"/>
      <c r="B54" s="346"/>
      <c r="C54" s="45" t="s">
        <v>74</v>
      </c>
      <c r="D54" s="351" t="s">
        <v>356</v>
      </c>
    </row>
    <row r="55" spans="1:4" ht="15">
      <c r="A55" s="113"/>
      <c r="B55" s="346"/>
      <c r="C55" s="45" t="s">
        <v>358</v>
      </c>
      <c r="D55" s="351" t="s">
        <v>357</v>
      </c>
    </row>
    <row r="56" spans="1:4" ht="15">
      <c r="A56" s="113"/>
      <c r="B56" s="346"/>
      <c r="C56" s="45" t="s">
        <v>75</v>
      </c>
      <c r="D56" s="350" t="s">
        <v>357</v>
      </c>
    </row>
    <row r="57" spans="1:4" ht="15">
      <c r="A57" s="113"/>
      <c r="B57" s="345" t="s">
        <v>58</v>
      </c>
      <c r="C57" s="328"/>
      <c r="D57" s="350" t="s">
        <v>56</v>
      </c>
    </row>
    <row r="58" spans="1:4" ht="15">
      <c r="A58" s="113"/>
      <c r="B58" s="345" t="s">
        <v>266</v>
      </c>
      <c r="C58" s="328"/>
      <c r="D58" s="351" t="s">
        <v>267</v>
      </c>
    </row>
    <row r="59" spans="1:4" ht="15">
      <c r="A59" s="113"/>
      <c r="B59" s="345" t="s">
        <v>406</v>
      </c>
      <c r="C59" s="328"/>
      <c r="D59" s="351"/>
    </row>
    <row r="60" spans="1:4" ht="15">
      <c r="A60" s="113"/>
      <c r="B60" s="346"/>
      <c r="C60" s="45" t="s">
        <v>360</v>
      </c>
      <c r="D60" s="350" t="s">
        <v>361</v>
      </c>
    </row>
    <row r="61" spans="1:4" ht="15">
      <c r="A61" s="113"/>
      <c r="B61" s="346"/>
      <c r="C61" s="45" t="s">
        <v>365</v>
      </c>
      <c r="D61" s="350" t="s">
        <v>366</v>
      </c>
    </row>
    <row r="62" spans="1:4" ht="15">
      <c r="A62" s="113"/>
      <c r="B62" s="346"/>
      <c r="C62" s="45" t="s">
        <v>397</v>
      </c>
      <c r="D62" s="350" t="s">
        <v>368</v>
      </c>
    </row>
    <row r="63" spans="1:4" ht="15">
      <c r="A63" s="113"/>
      <c r="B63" s="346"/>
      <c r="C63" s="45" t="s">
        <v>367</v>
      </c>
      <c r="D63" s="350" t="s">
        <v>369</v>
      </c>
    </row>
    <row r="64" spans="1:4" ht="15">
      <c r="A64" s="113"/>
      <c r="B64" s="347"/>
      <c r="C64" s="474" t="s">
        <v>875</v>
      </c>
      <c r="D64" s="470" t="s">
        <v>876</v>
      </c>
    </row>
    <row r="65" spans="1:4" s="45" customFormat="1" ht="21" customHeight="1">
      <c r="A65" s="47"/>
      <c r="D65" s="296"/>
    </row>
    <row r="66" spans="2:4" ht="12.75">
      <c r="B66" s="45"/>
      <c r="C66" s="45"/>
      <c r="D66" s="113"/>
    </row>
    <row r="67" spans="2:4" ht="12.75">
      <c r="B67" s="45"/>
      <c r="C67" s="45"/>
      <c r="D67" s="113"/>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2" location="'Nota 38'!A1" display="Nota 38"/>
    <hyperlink ref="D63" location="'Nota 39'!A1" display="Nota 39"/>
  </hyperlink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Hoja19"/>
  <dimension ref="A1:M248"/>
  <sheetViews>
    <sheetView showGridLines="0" workbookViewId="0" topLeftCell="A73">
      <selection activeCell="E80" sqref="E80"/>
    </sheetView>
  </sheetViews>
  <sheetFormatPr defaultColWidth="11.421875" defaultRowHeight="15"/>
  <cols>
    <col min="1" max="1" width="45.140625" style="0" customWidth="1"/>
    <col min="2" max="2" width="18.28125" style="0" customWidth="1"/>
    <col min="3" max="3" width="26.140625" style="0" customWidth="1"/>
    <col min="4" max="4" width="21.421875" style="322" customWidth="1"/>
    <col min="5" max="5" width="20.421875" style="0" customWidth="1"/>
    <col min="6" max="6" width="18.57421875" style="0" customWidth="1"/>
    <col min="7" max="7" width="2.7109375" style="0" customWidth="1"/>
    <col min="9" max="9" width="26.140625" style="322" bestFit="1" customWidth="1"/>
    <col min="10" max="10" width="21.421875" style="322" bestFit="1" customWidth="1"/>
    <col min="11" max="11" width="20.421875" style="0" bestFit="1" customWidth="1"/>
    <col min="12" max="12" width="17.7109375" style="0" customWidth="1"/>
  </cols>
  <sheetData>
    <row r="1" spans="1:12" ht="15" customHeight="1">
      <c r="A1" s="127" t="str">
        <f>Indice!C1</f>
        <v>IMPORT CENTER S.A.</v>
      </c>
      <c r="E1" s="176" t="s">
        <v>129</v>
      </c>
      <c r="L1" s="176" t="s">
        <v>129</v>
      </c>
    </row>
    <row r="2" ht="15" customHeight="1"/>
    <row r="3" ht="15" customHeight="1"/>
    <row r="4" spans="1:12" ht="15" customHeight="1">
      <c r="A4" s="355" t="s">
        <v>307</v>
      </c>
      <c r="B4" s="355"/>
      <c r="C4" s="355"/>
      <c r="D4" s="355"/>
      <c r="E4" s="355"/>
      <c r="F4" s="355"/>
      <c r="G4" s="355"/>
      <c r="H4" s="355"/>
      <c r="I4" s="355"/>
      <c r="J4" s="355"/>
      <c r="K4" s="355"/>
      <c r="L4" s="355"/>
    </row>
    <row r="5" ht="15" customHeight="1"/>
    <row r="6" ht="15" customHeight="1">
      <c r="A6" t="s">
        <v>834</v>
      </c>
    </row>
    <row r="7" spans="1:5" ht="15" customHeight="1">
      <c r="A7" t="s">
        <v>311</v>
      </c>
      <c r="E7" s="67"/>
    </row>
    <row r="8" s="322" customFormat="1" ht="15" customHeight="1">
      <c r="B8" s="67"/>
    </row>
    <row r="9" spans="1:12" ht="15" customHeight="1">
      <c r="A9" s="127" t="s">
        <v>65</v>
      </c>
      <c r="B9" s="269"/>
      <c r="C9" s="282"/>
      <c r="D9" s="282"/>
      <c r="E9" s="282"/>
      <c r="F9" s="269"/>
      <c r="H9" s="269"/>
      <c r="I9" s="282"/>
      <c r="J9" s="282"/>
      <c r="K9" s="282"/>
      <c r="L9" s="282"/>
    </row>
    <row r="10" spans="1:12" ht="15" customHeight="1">
      <c r="A10" s="26"/>
      <c r="B10" s="356"/>
      <c r="C10" s="444"/>
      <c r="D10" s="427">
        <f>_xlfn.IFERROR(IF(Indice!B6="","2XX2",YEAR(Indice!B6)),"2XX2")</f>
        <v>2022</v>
      </c>
      <c r="E10" s="444"/>
      <c r="F10" s="444"/>
      <c r="H10" s="444"/>
      <c r="I10" s="444"/>
      <c r="J10" s="427">
        <f>_xlfn.IFERROR(YEAR(Indice!B6-365),"2XX1")</f>
        <v>2021</v>
      </c>
      <c r="K10" s="444"/>
      <c r="L10" s="444"/>
    </row>
    <row r="11" spans="1:12" ht="15" customHeight="1">
      <c r="A11" s="162" t="s">
        <v>819</v>
      </c>
      <c r="B11" s="163" t="s">
        <v>116</v>
      </c>
      <c r="C11" s="339" t="s">
        <v>817</v>
      </c>
      <c r="D11" s="339" t="s">
        <v>308</v>
      </c>
      <c r="E11" s="162" t="s">
        <v>823</v>
      </c>
      <c r="F11" s="163" t="s">
        <v>118</v>
      </c>
      <c r="H11" s="163" t="s">
        <v>116</v>
      </c>
      <c r="I11" s="339" t="s">
        <v>817</v>
      </c>
      <c r="J11" s="339" t="s">
        <v>308</v>
      </c>
      <c r="K11" s="162" t="s">
        <v>823</v>
      </c>
      <c r="L11" s="163" t="s">
        <v>118</v>
      </c>
    </row>
    <row r="12" spans="1:12" s="533" customFormat="1" ht="15" customHeight="1">
      <c r="A12" s="547" t="s">
        <v>952</v>
      </c>
      <c r="B12" s="548"/>
      <c r="C12" s="549"/>
      <c r="D12" s="549"/>
      <c r="E12" s="547"/>
      <c r="F12" s="548"/>
      <c r="H12" s="548"/>
      <c r="I12" s="549"/>
      <c r="J12" s="549"/>
      <c r="K12" s="547"/>
      <c r="L12" s="548"/>
    </row>
    <row r="13" spans="1:12" ht="15" customHeight="1">
      <c r="A13" s="533" t="s">
        <v>928</v>
      </c>
      <c r="B13" s="545">
        <v>44750</v>
      </c>
      <c r="C13" s="336" t="s">
        <v>408</v>
      </c>
      <c r="D13" s="648" t="str">
        <f>_xlfn.IFERROR(VLOOKUP(C13,'Base de Monedas'!A:B,2,0),"")</f>
        <v>Guaraní</v>
      </c>
      <c r="E13" s="485">
        <v>0</v>
      </c>
      <c r="F13" s="648" t="s">
        <v>927</v>
      </c>
      <c r="H13" s="545"/>
      <c r="I13" s="336" t="s">
        <v>408</v>
      </c>
      <c r="J13" s="648">
        <f>_xlfn.IFERROR(VLOOKUP(I13,'Base de Monedas'!G:H,2,0),"")</f>
      </c>
      <c r="K13" s="485"/>
      <c r="L13" s="648" t="s">
        <v>927</v>
      </c>
    </row>
    <row r="14" spans="1:12" ht="15" customHeight="1">
      <c r="A14" s="643" t="s">
        <v>928</v>
      </c>
      <c r="B14" s="545">
        <v>44766</v>
      </c>
      <c r="C14" s="336" t="s">
        <v>408</v>
      </c>
      <c r="D14" s="648" t="str">
        <f>_xlfn.IFERROR(VLOOKUP(C14,'Base de Monedas'!A:B,2,0),"")</f>
        <v>Guaraní</v>
      </c>
      <c r="E14" s="485">
        <v>0</v>
      </c>
      <c r="F14" s="648" t="s">
        <v>927</v>
      </c>
      <c r="H14" s="545"/>
      <c r="I14" s="336" t="s">
        <v>408</v>
      </c>
      <c r="J14" s="648">
        <f>_xlfn.IFERROR(VLOOKUP(I14,'Base de Monedas'!G:H,2,0),"")</f>
      </c>
      <c r="K14" s="485"/>
      <c r="L14" s="648" t="s">
        <v>927</v>
      </c>
    </row>
    <row r="15" spans="1:12" ht="15" customHeight="1">
      <c r="A15" s="643" t="s">
        <v>928</v>
      </c>
      <c r="B15" s="545">
        <v>44809</v>
      </c>
      <c r="C15" s="336" t="s">
        <v>408</v>
      </c>
      <c r="D15" s="648" t="str">
        <f>_xlfn.IFERROR(VLOOKUP(C15,'Base de Monedas'!A:B,2,0),"")</f>
        <v>Guaraní</v>
      </c>
      <c r="E15" s="485">
        <v>0</v>
      </c>
      <c r="F15" s="648" t="s">
        <v>927</v>
      </c>
      <c r="H15" s="545"/>
      <c r="I15" s="336" t="s">
        <v>408</v>
      </c>
      <c r="J15" s="648">
        <f>_xlfn.IFERROR(VLOOKUP(I15,'Base de Monedas'!G:H,2,0),"")</f>
      </c>
      <c r="K15" s="485"/>
      <c r="L15" s="648" t="s">
        <v>927</v>
      </c>
    </row>
    <row r="16" spans="2:12" s="637" customFormat="1" ht="15" customHeight="1">
      <c r="B16" s="545"/>
      <c r="C16" s="336"/>
      <c r="D16" s="648"/>
      <c r="E16" s="485"/>
      <c r="F16" s="648"/>
      <c r="H16" s="545"/>
      <c r="I16" s="336" t="s">
        <v>408</v>
      </c>
      <c r="J16" s="648">
        <f>_xlfn.IFERROR(VLOOKUP(I16,'Base de Monedas'!G:H,2,0),"")</f>
      </c>
      <c r="K16" s="485"/>
      <c r="L16" s="648" t="s">
        <v>927</v>
      </c>
    </row>
    <row r="17" spans="1:12" s="533" customFormat="1" ht="15" customHeight="1">
      <c r="A17" s="533" t="s">
        <v>929</v>
      </c>
      <c r="B17" s="545">
        <v>44760</v>
      </c>
      <c r="C17" s="336" t="s">
        <v>408</v>
      </c>
      <c r="D17" s="648" t="str">
        <f>_xlfn.IFERROR(VLOOKUP(C17,'Base de Monedas'!A:B,2,0),"")</f>
        <v>Guaraní</v>
      </c>
      <c r="E17" s="485">
        <v>0</v>
      </c>
      <c r="F17" s="648" t="s">
        <v>927</v>
      </c>
      <c r="H17" s="545"/>
      <c r="I17" s="336" t="s">
        <v>408</v>
      </c>
      <c r="J17" s="648">
        <f>_xlfn.IFERROR(VLOOKUP(I17,'Base de Monedas'!G:H,2,0),"")</f>
      </c>
      <c r="K17" s="485">
        <v>0</v>
      </c>
      <c r="L17" s="648" t="s">
        <v>927</v>
      </c>
    </row>
    <row r="18" spans="1:12" s="533" customFormat="1" ht="15" customHeight="1">
      <c r="A18" s="357" t="s">
        <v>929</v>
      </c>
      <c r="B18" s="545">
        <v>44758</v>
      </c>
      <c r="C18" s="336" t="s">
        <v>408</v>
      </c>
      <c r="D18" s="648" t="str">
        <f>_xlfn.IFERROR(VLOOKUP(C18,'Base de Monedas'!A:B,2,0),"")</f>
        <v>Guaraní</v>
      </c>
      <c r="E18" s="485">
        <v>0</v>
      </c>
      <c r="F18" s="648" t="s">
        <v>927</v>
      </c>
      <c r="H18" s="545">
        <v>44547</v>
      </c>
      <c r="I18" s="336" t="s">
        <v>408</v>
      </c>
      <c r="J18" s="648">
        <f>_xlfn.IFERROR(VLOOKUP(I18,'Base de Monedas'!G:H,2,0),"")</f>
      </c>
      <c r="K18" s="485">
        <v>1000000</v>
      </c>
      <c r="L18" s="648" t="s">
        <v>927</v>
      </c>
    </row>
    <row r="19" spans="1:12" s="533" customFormat="1" ht="15" customHeight="1">
      <c r="A19" s="357" t="s">
        <v>929</v>
      </c>
      <c r="B19" s="545">
        <v>44822</v>
      </c>
      <c r="C19" s="336" t="s">
        <v>408</v>
      </c>
      <c r="D19" s="648" t="str">
        <f>_xlfn.IFERROR(VLOOKUP(C19,'Base de Monedas'!A:B,2,0),"")</f>
        <v>Guaraní</v>
      </c>
      <c r="E19" s="485">
        <v>0</v>
      </c>
      <c r="F19" s="648" t="s">
        <v>927</v>
      </c>
      <c r="H19" s="545"/>
      <c r="I19" s="336" t="s">
        <v>408</v>
      </c>
      <c r="J19" s="648">
        <f>_xlfn.IFERROR(VLOOKUP(I19,'Base de Monedas'!G:H,2,0),"")</f>
      </c>
      <c r="K19" s="485">
        <v>0</v>
      </c>
      <c r="L19" s="648" t="s">
        <v>927</v>
      </c>
    </row>
    <row r="20" spans="1:12" s="533" customFormat="1" ht="15" customHeight="1">
      <c r="A20" s="357"/>
      <c r="B20" s="545"/>
      <c r="C20" s="336"/>
      <c r="D20" s="648"/>
      <c r="E20" s="485"/>
      <c r="F20" s="648"/>
      <c r="H20" s="545"/>
      <c r="I20" s="336" t="s">
        <v>408</v>
      </c>
      <c r="J20" s="648">
        <f>_xlfn.IFERROR(VLOOKUP(I20,'Base de Monedas'!G:H,2,0),"")</f>
      </c>
      <c r="K20" s="485">
        <v>0</v>
      </c>
      <c r="L20" s="648" t="s">
        <v>927</v>
      </c>
    </row>
    <row r="21" spans="1:12" s="533" customFormat="1" ht="15" customHeight="1">
      <c r="A21" s="357" t="s">
        <v>930</v>
      </c>
      <c r="B21" s="545">
        <v>44833</v>
      </c>
      <c r="C21" s="336" t="s">
        <v>408</v>
      </c>
      <c r="D21" s="648" t="str">
        <f>_xlfn.IFERROR(VLOOKUP(C21,'Base de Monedas'!A:B,2,0),"")</f>
        <v>Guaraní</v>
      </c>
      <c r="E21" s="485">
        <v>0</v>
      </c>
      <c r="F21" s="648" t="s">
        <v>927</v>
      </c>
      <c r="H21" s="545">
        <v>44543</v>
      </c>
      <c r="I21" s="336" t="s">
        <v>408</v>
      </c>
      <c r="J21" s="648">
        <f>_xlfn.IFERROR(VLOOKUP(I21,'Base de Monedas'!G:H,2,0),"")</f>
      </c>
      <c r="K21" s="485">
        <v>100000</v>
      </c>
      <c r="L21" s="648" t="s">
        <v>927</v>
      </c>
    </row>
    <row r="22" spans="1:12" s="533" customFormat="1" ht="15" customHeight="1">
      <c r="A22" s="357" t="s">
        <v>930</v>
      </c>
      <c r="B22" s="545">
        <v>44849</v>
      </c>
      <c r="C22" s="336" t="s">
        <v>408</v>
      </c>
      <c r="D22" s="653" t="str">
        <f>_xlfn.IFERROR(VLOOKUP(C22,'Base de Monedas'!A:B,2,0),"")</f>
        <v>Guaraní</v>
      </c>
      <c r="E22" s="485">
        <v>900000</v>
      </c>
      <c r="F22" s="653" t="s">
        <v>927</v>
      </c>
      <c r="H22" s="545"/>
      <c r="I22" s="336" t="s">
        <v>408</v>
      </c>
      <c r="J22" s="648">
        <f>_xlfn.IFERROR(VLOOKUP(I22,'Base de Monedas'!G:H,2,0),"")</f>
      </c>
      <c r="K22" s="485">
        <v>0</v>
      </c>
      <c r="L22" s="648" t="s">
        <v>927</v>
      </c>
    </row>
    <row r="23" spans="1:12" s="533" customFormat="1" ht="15" customHeight="1">
      <c r="A23" s="357" t="s">
        <v>930</v>
      </c>
      <c r="B23" s="545">
        <v>44909</v>
      </c>
      <c r="C23" s="336" t="s">
        <v>408</v>
      </c>
      <c r="D23" s="648" t="str">
        <f>_xlfn.IFERROR(VLOOKUP(C23,'Base de Monedas'!A:B,2,0),"")</f>
        <v>Guaraní</v>
      </c>
      <c r="E23" s="485">
        <v>120000</v>
      </c>
      <c r="F23" s="648" t="s">
        <v>927</v>
      </c>
      <c r="H23" s="545"/>
      <c r="I23" s="336" t="s">
        <v>408</v>
      </c>
      <c r="J23" s="648">
        <f>_xlfn.IFERROR(VLOOKUP(I23,'Base de Monedas'!G:H,2,0),"")</f>
      </c>
      <c r="K23" s="485">
        <v>0</v>
      </c>
      <c r="L23" s="648" t="s">
        <v>927</v>
      </c>
    </row>
    <row r="24" spans="1:12" s="643" customFormat="1" ht="15" customHeight="1">
      <c r="A24" s="357"/>
      <c r="B24" s="545"/>
      <c r="C24" s="336"/>
      <c r="E24" s="485"/>
      <c r="H24" s="545"/>
      <c r="I24" s="336" t="s">
        <v>408</v>
      </c>
      <c r="J24" s="648">
        <f>_xlfn.IFERROR(VLOOKUP(I24,'Base de Monedas'!G:H,2,0),"")</f>
      </c>
      <c r="K24" s="485">
        <v>0</v>
      </c>
      <c r="L24" s="648" t="s">
        <v>927</v>
      </c>
    </row>
    <row r="25" spans="1:12" s="533" customFormat="1" ht="15" customHeight="1">
      <c r="A25" s="357"/>
      <c r="B25" s="652"/>
      <c r="C25" s="336"/>
      <c r="D25" s="648"/>
      <c r="E25" s="485"/>
      <c r="F25" s="648"/>
      <c r="H25" s="545"/>
      <c r="I25" s="336" t="s">
        <v>408</v>
      </c>
      <c r="J25" s="648">
        <f>_xlfn.IFERROR(VLOOKUP(I25,'Base de Monedas'!G:H,2,0),"")</f>
      </c>
      <c r="K25" s="485">
        <v>0</v>
      </c>
      <c r="L25" s="648" t="s">
        <v>927</v>
      </c>
    </row>
    <row r="26" spans="1:12" s="533" customFormat="1" ht="15" customHeight="1">
      <c r="A26" s="357" t="s">
        <v>931</v>
      </c>
      <c r="B26" s="545">
        <v>44792</v>
      </c>
      <c r="C26" s="336" t="s">
        <v>408</v>
      </c>
      <c r="D26" s="648" t="str">
        <f>_xlfn.IFERROR(VLOOKUP(C26,'Base de Monedas'!A:B,2,0),"")</f>
        <v>Guaraní</v>
      </c>
      <c r="E26" s="485">
        <v>0</v>
      </c>
      <c r="F26" s="648" t="s">
        <v>927</v>
      </c>
      <c r="H26" s="545">
        <v>44508</v>
      </c>
      <c r="I26" s="336" t="s">
        <v>408</v>
      </c>
      <c r="J26" s="648">
        <f>_xlfn.IFERROR(VLOOKUP(I26,'Base de Monedas'!G:H,2,0),"")</f>
      </c>
      <c r="K26" s="485">
        <v>900000</v>
      </c>
      <c r="L26" s="648" t="s">
        <v>927</v>
      </c>
    </row>
    <row r="27" spans="1:12" s="533" customFormat="1" ht="15" customHeight="1">
      <c r="A27" s="357" t="s">
        <v>931</v>
      </c>
      <c r="B27" s="545">
        <v>44830</v>
      </c>
      <c r="C27" s="336" t="s">
        <v>408</v>
      </c>
      <c r="D27" s="648" t="str">
        <f>_xlfn.IFERROR(VLOOKUP(C27,'Base de Monedas'!A:B,2,0),"")</f>
        <v>Guaraní</v>
      </c>
      <c r="E27" s="485">
        <v>0</v>
      </c>
      <c r="F27" s="648" t="s">
        <v>927</v>
      </c>
      <c r="H27" s="545"/>
      <c r="I27" s="336" t="s">
        <v>408</v>
      </c>
      <c r="J27" s="648">
        <f>_xlfn.IFERROR(VLOOKUP(I27,'Base de Monedas'!G:H,2,0),"")</f>
      </c>
      <c r="K27" s="485">
        <v>0</v>
      </c>
      <c r="L27" s="648" t="s">
        <v>927</v>
      </c>
    </row>
    <row r="28" spans="1:12" s="637" customFormat="1" ht="15" customHeight="1">
      <c r="A28" s="357" t="s">
        <v>931</v>
      </c>
      <c r="B28" s="545">
        <v>44869</v>
      </c>
      <c r="C28" s="336" t="s">
        <v>408</v>
      </c>
      <c r="D28" s="648" t="str">
        <f>_xlfn.IFERROR(VLOOKUP(C28,'Base de Monedas'!A:B,2,0),"")</f>
        <v>Guaraní</v>
      </c>
      <c r="E28" s="485">
        <v>1000000</v>
      </c>
      <c r="F28" s="648" t="s">
        <v>927</v>
      </c>
      <c r="H28" s="545"/>
      <c r="I28" s="336" t="s">
        <v>408</v>
      </c>
      <c r="J28" s="648">
        <f>_xlfn.IFERROR(VLOOKUP(I28,'Base de Monedas'!G:H,2,0),"")</f>
      </c>
      <c r="K28" s="485">
        <v>0</v>
      </c>
      <c r="L28" s="648" t="s">
        <v>927</v>
      </c>
    </row>
    <row r="29" spans="1:12" s="637" customFormat="1" ht="15" customHeight="1">
      <c r="A29" s="357" t="s">
        <v>931</v>
      </c>
      <c r="B29" s="545">
        <v>44886</v>
      </c>
      <c r="C29" s="336" t="s">
        <v>408</v>
      </c>
      <c r="D29" s="648" t="str">
        <f>_xlfn.IFERROR(VLOOKUP(C29,'Base de Monedas'!A:B,2,0),"")</f>
        <v>Guaraní</v>
      </c>
      <c r="E29" s="485">
        <v>2000000</v>
      </c>
      <c r="F29" s="648" t="s">
        <v>927</v>
      </c>
      <c r="H29" s="545"/>
      <c r="I29" s="336" t="s">
        <v>408</v>
      </c>
      <c r="J29" s="648">
        <f>_xlfn.IFERROR(VLOOKUP(I29,'Base de Monedas'!G:H,2,0),"")</f>
      </c>
      <c r="K29" s="485">
        <v>0</v>
      </c>
      <c r="L29" s="648" t="s">
        <v>927</v>
      </c>
    </row>
    <row r="30" spans="1:12" s="533" customFormat="1" ht="15" customHeight="1">
      <c r="A30" s="561" t="s">
        <v>942</v>
      </c>
      <c r="B30" s="552"/>
      <c r="C30" s="360"/>
      <c r="D30" s="359"/>
      <c r="E30" s="546"/>
      <c r="F30" s="359"/>
      <c r="G30" s="359"/>
      <c r="H30" s="552"/>
      <c r="I30" s="360"/>
      <c r="J30" s="359"/>
      <c r="K30" s="546"/>
      <c r="L30" s="359"/>
    </row>
    <row r="31" spans="1:11" s="533" customFormat="1" ht="15" customHeight="1">
      <c r="A31" s="357"/>
      <c r="B31" s="545"/>
      <c r="C31" s="336"/>
      <c r="E31" s="562">
        <f>SUM(E13:E30)</f>
        <v>4020000</v>
      </c>
      <c r="H31" s="545"/>
      <c r="I31" s="336"/>
      <c r="K31" s="562">
        <f>SUM(K13:K30)</f>
        <v>2000000</v>
      </c>
    </row>
    <row r="32" spans="1:11" s="533" customFormat="1" ht="15" customHeight="1">
      <c r="A32" s="547" t="s">
        <v>932</v>
      </c>
      <c r="B32" s="545"/>
      <c r="C32" s="336"/>
      <c r="D32" s="533">
        <f>_xlfn.IFERROR(VLOOKUP(C32,'Base de Monedas'!A:B,2,0),"")</f>
      </c>
      <c r="E32" s="485"/>
      <c r="H32" s="545"/>
      <c r="I32" s="336"/>
      <c r="K32" s="485"/>
    </row>
    <row r="33" spans="1:12" s="533" customFormat="1" ht="15" customHeight="1">
      <c r="A33" s="561" t="s">
        <v>933</v>
      </c>
      <c r="B33" s="552"/>
      <c r="C33" s="360" t="s">
        <v>408</v>
      </c>
      <c r="D33" s="359" t="str">
        <f>_xlfn.IFERROR(VLOOKUP(C33,'Base de Monedas'!A:B,2,0),"")</f>
        <v>Guaraní</v>
      </c>
      <c r="E33" s="546">
        <v>0</v>
      </c>
      <c r="F33" s="359" t="s">
        <v>927</v>
      </c>
      <c r="G33" s="359"/>
      <c r="H33" s="552"/>
      <c r="I33" s="360" t="s">
        <v>940</v>
      </c>
      <c r="J33" s="359" t="s">
        <v>941</v>
      </c>
      <c r="K33" s="546">
        <v>0</v>
      </c>
      <c r="L33" s="359" t="s">
        <v>927</v>
      </c>
    </row>
    <row r="34" spans="1:11" s="533" customFormat="1" ht="15" customHeight="1">
      <c r="A34" s="357"/>
      <c r="B34" s="545"/>
      <c r="C34" s="336"/>
      <c r="E34" s="485">
        <f>+E33</f>
        <v>0</v>
      </c>
      <c r="H34" s="545"/>
      <c r="I34" s="336"/>
      <c r="K34" s="562">
        <v>0</v>
      </c>
    </row>
    <row r="35" spans="1:11" s="533" customFormat="1" ht="15" customHeight="1">
      <c r="A35" s="357" t="s">
        <v>119</v>
      </c>
      <c r="C35" s="336"/>
      <c r="E35" s="485"/>
      <c r="H35" s="545"/>
      <c r="I35" s="336"/>
      <c r="K35" s="485"/>
    </row>
    <row r="36" spans="1:11" s="533" customFormat="1" ht="15" customHeight="1">
      <c r="A36" s="550"/>
      <c r="C36" s="336"/>
      <c r="E36" s="485"/>
      <c r="H36" s="550"/>
      <c r="I36" s="336"/>
      <c r="K36" s="485"/>
    </row>
    <row r="37" spans="1:12" s="533" customFormat="1" ht="15" customHeight="1">
      <c r="A37" s="542" t="s">
        <v>934</v>
      </c>
      <c r="C37" s="336"/>
      <c r="E37" s="485"/>
      <c r="H37" s="550"/>
      <c r="I37" s="336"/>
      <c r="J37" s="543"/>
      <c r="K37" s="485"/>
      <c r="L37" s="543"/>
    </row>
    <row r="38" spans="1:13" s="620" customFormat="1" ht="15" customHeight="1">
      <c r="A38" s="551" t="s">
        <v>1014</v>
      </c>
      <c r="B38" s="545"/>
      <c r="C38" s="336"/>
      <c r="E38" s="485"/>
      <c r="H38" s="545">
        <v>44488</v>
      </c>
      <c r="I38" s="336" t="s">
        <v>408</v>
      </c>
      <c r="J38" s="648"/>
      <c r="K38" s="485">
        <v>1400000</v>
      </c>
      <c r="L38" s="648"/>
      <c r="M38" s="648"/>
    </row>
    <row r="39" spans="1:13" s="533" customFormat="1" ht="15" customHeight="1">
      <c r="A39" s="644" t="s">
        <v>1003</v>
      </c>
      <c r="B39" s="545">
        <v>44917</v>
      </c>
      <c r="C39" s="336" t="s">
        <v>408</v>
      </c>
      <c r="D39" s="648" t="str">
        <f>_xlfn.IFERROR(VLOOKUP(C39,'Base de Monedas'!A:B,2,0),"")</f>
        <v>Guaraní</v>
      </c>
      <c r="E39" s="485">
        <v>1760000</v>
      </c>
      <c r="F39" s="648" t="s">
        <v>927</v>
      </c>
      <c r="H39" s="545"/>
      <c r="I39" s="336" t="s">
        <v>408</v>
      </c>
      <c r="J39" s="648">
        <f>_xlfn.IFERROR(VLOOKUP(I39,'Base de Monedas'!G:H,2,0),"")</f>
      </c>
      <c r="K39" s="485">
        <v>0</v>
      </c>
      <c r="L39" s="648" t="s">
        <v>927</v>
      </c>
      <c r="M39" s="648"/>
    </row>
    <row r="40" spans="1:12" s="533" customFormat="1" ht="15" customHeight="1">
      <c r="A40" s="550"/>
      <c r="B40" s="545"/>
      <c r="C40" s="336"/>
      <c r="E40" s="485"/>
      <c r="H40" s="545"/>
      <c r="I40" s="336"/>
      <c r="J40" s="543"/>
      <c r="K40" s="485"/>
      <c r="L40" s="543"/>
    </row>
    <row r="41" spans="1:12" ht="15" customHeight="1">
      <c r="A41" s="627"/>
      <c r="B41" s="628"/>
      <c r="C41" s="629"/>
      <c r="D41" s="628">
        <f>_xlfn.IFERROR(VLOOKUP(C41,'Base de Monedas'!A:B,2,0),"")</f>
      </c>
      <c r="E41" s="630">
        <f>SUM(E38:E40)</f>
        <v>1760000</v>
      </c>
      <c r="F41" s="628"/>
      <c r="G41" s="628"/>
      <c r="H41" s="631"/>
      <c r="I41" s="629"/>
      <c r="J41" s="628">
        <f>_xlfn.IFERROR(VLOOKUP(I41,'Base de Monedas'!A:B,2,0),"")</f>
      </c>
      <c r="K41" s="630">
        <f>+K38+K39</f>
        <v>1400000</v>
      </c>
      <c r="L41" s="628"/>
    </row>
    <row r="42" spans="1:11" ht="15" customHeight="1">
      <c r="A42" s="162" t="s">
        <v>818</v>
      </c>
      <c r="C42" s="336"/>
      <c r="D42" s="322">
        <f>_xlfn.IFERROR(VLOOKUP(C42,'Base de Monedas'!A:B,2,0),"")</f>
      </c>
      <c r="E42" s="485"/>
      <c r="H42" s="545"/>
      <c r="I42" s="336"/>
      <c r="J42" s="322">
        <f>_xlfn.IFERROR(VLOOKUP(I42,'Base de Monedas'!A:B,2,0),"")</f>
      </c>
      <c r="K42" s="485"/>
    </row>
    <row r="43" spans="1:11" ht="15" customHeight="1">
      <c r="A43" s="322" t="s">
        <v>816</v>
      </c>
      <c r="C43" s="336"/>
      <c r="D43" s="322">
        <f>_xlfn.IFERROR(VLOOKUP(C43,'Base de Monedas'!A:B,2,0),"")</f>
      </c>
      <c r="E43" s="485"/>
      <c r="H43" s="545"/>
      <c r="I43" s="336"/>
      <c r="J43" s="322">
        <f>_xlfn.IFERROR(VLOOKUP(I43,'Base de Monedas'!A:B,2,0),"")</f>
      </c>
      <c r="K43" s="485"/>
    </row>
    <row r="44" spans="1:11" ht="15" customHeight="1">
      <c r="A44" s="322" t="s">
        <v>816</v>
      </c>
      <c r="C44" s="336"/>
      <c r="D44" s="322">
        <f>_xlfn.IFERROR(VLOOKUP(C44,'Base de Monedas'!A:B,2,0),"")</f>
      </c>
      <c r="E44" s="485"/>
      <c r="H44" s="545"/>
      <c r="I44" s="336"/>
      <c r="J44" s="322">
        <f>_xlfn.IFERROR(VLOOKUP(I44,'Base de Monedas'!A:B,2,0),"")</f>
      </c>
      <c r="K44" s="485"/>
    </row>
    <row r="45" spans="1:11" ht="15" customHeight="1">
      <c r="A45" s="357" t="s">
        <v>119</v>
      </c>
      <c r="C45" s="336"/>
      <c r="D45" s="322">
        <f>_xlfn.IFERROR(VLOOKUP(C45,'Base de Monedas'!A:B,2,0),"")</f>
      </c>
      <c r="E45" s="485"/>
      <c r="H45" s="545"/>
      <c r="I45" s="336"/>
      <c r="J45" s="322">
        <f>_xlfn.IFERROR(VLOOKUP(I45,'Base de Monedas'!A:B,2,0),"")</f>
      </c>
      <c r="K45" s="485"/>
    </row>
    <row r="46" spans="1:11" ht="15" customHeight="1">
      <c r="A46" t="s">
        <v>237</v>
      </c>
      <c r="C46" s="336"/>
      <c r="D46" s="322">
        <f>_xlfn.IFERROR(VLOOKUP(C46,'Base de Monedas'!A:B,2,0),"")</f>
      </c>
      <c r="E46" s="485"/>
      <c r="H46" s="545"/>
      <c r="I46" s="336"/>
      <c r="J46" s="322">
        <f>_xlfn.IFERROR(VLOOKUP(I46,'Base de Monedas'!A:B,2,0),"")</f>
      </c>
      <c r="K46" s="485"/>
    </row>
    <row r="47" spans="1:11" ht="15" customHeight="1">
      <c r="A47" s="357" t="s">
        <v>120</v>
      </c>
      <c r="C47" s="336"/>
      <c r="D47" s="322">
        <f>_xlfn.IFERROR(VLOOKUP(C47,'Base de Monedas'!A:B,2,0),"")</f>
      </c>
      <c r="E47" s="485"/>
      <c r="H47" s="545"/>
      <c r="I47" s="336"/>
      <c r="J47" s="322">
        <f>_xlfn.IFERROR(VLOOKUP(I47,'Base de Monedas'!A:B,2,0),"")</f>
      </c>
      <c r="K47" s="485"/>
    </row>
    <row r="48" spans="1:11" s="533" customFormat="1" ht="15" customHeight="1">
      <c r="A48" s="357"/>
      <c r="C48" s="336"/>
      <c r="E48" s="485"/>
      <c r="H48" s="545"/>
      <c r="I48" s="336"/>
      <c r="K48" s="485"/>
    </row>
    <row r="49" spans="1:11" ht="15" customHeight="1">
      <c r="A49" s="127" t="s">
        <v>820</v>
      </c>
      <c r="C49" s="336"/>
      <c r="D49" s="322">
        <f>_xlfn.IFERROR(VLOOKUP(C49,'Base de Monedas'!A:B,2,0),"")</f>
      </c>
      <c r="E49" s="485"/>
      <c r="H49" s="545"/>
      <c r="I49" s="336"/>
      <c r="J49" s="322">
        <f>_xlfn.IFERROR(VLOOKUP(I49,'Base de Monedas'!A:B,2,0),"")</f>
      </c>
      <c r="K49" s="485"/>
    </row>
    <row r="50" spans="1:11" ht="15" customHeight="1">
      <c r="A50" s="127" t="s">
        <v>953</v>
      </c>
      <c r="C50" s="336"/>
      <c r="D50" s="322">
        <f>_xlfn.IFERROR(VLOOKUP(C50,'Base de Monedas'!A:B,2,0),"")</f>
      </c>
      <c r="E50" s="485"/>
      <c r="H50" s="545"/>
      <c r="I50" s="336"/>
      <c r="J50" s="322">
        <f>_xlfn.IFERROR(VLOOKUP(I50,'Base de Monedas'!A:B,2,0),"")</f>
      </c>
      <c r="K50" s="485"/>
    </row>
    <row r="51" spans="1:12" s="533" customFormat="1" ht="15" customHeight="1">
      <c r="A51" s="533" t="s">
        <v>943</v>
      </c>
      <c r="B51" s="545">
        <v>44900</v>
      </c>
      <c r="C51" s="336" t="s">
        <v>408</v>
      </c>
      <c r="D51" s="648" t="str">
        <f>_xlfn.IFERROR(VLOOKUP(C51,'Base de Monedas'!A:B,2,0),"")</f>
        <v>Guaraní</v>
      </c>
      <c r="E51" s="485">
        <v>32548</v>
      </c>
      <c r="F51" s="648" t="s">
        <v>927</v>
      </c>
      <c r="H51" s="545">
        <v>44539</v>
      </c>
      <c r="I51" s="336" t="s">
        <v>408</v>
      </c>
      <c r="J51" s="648">
        <f>_xlfn.IFERROR(VLOOKUP(I51,'Base de Monedas'!G:H,2,0),"")</f>
      </c>
      <c r="K51" s="485">
        <v>20342</v>
      </c>
      <c r="L51" s="648" t="s">
        <v>927</v>
      </c>
    </row>
    <row r="52" spans="1:12" s="533" customFormat="1" ht="15" customHeight="1">
      <c r="A52" s="533" t="s">
        <v>943</v>
      </c>
      <c r="B52" s="545">
        <v>44858</v>
      </c>
      <c r="C52" s="336" t="s">
        <v>408</v>
      </c>
      <c r="D52" s="648" t="str">
        <f>_xlfn.IFERROR(VLOOKUP(C52,'Base de Monedas'!A:B,2,0),"")</f>
        <v>Guaraní</v>
      </c>
      <c r="E52" s="485">
        <v>45974</v>
      </c>
      <c r="F52" s="648" t="s">
        <v>927</v>
      </c>
      <c r="H52" s="545">
        <v>44496</v>
      </c>
      <c r="I52" s="336" t="s">
        <v>408</v>
      </c>
      <c r="J52" s="648">
        <f>_xlfn.IFERROR(VLOOKUP(I52,'Base de Monedas'!G:H,2,0),"")</f>
      </c>
      <c r="K52" s="485">
        <v>30514</v>
      </c>
      <c r="L52" s="648" t="s">
        <v>927</v>
      </c>
    </row>
    <row r="53" spans="1:12" s="533" customFormat="1" ht="15" customHeight="1">
      <c r="A53" s="533" t="s">
        <v>943</v>
      </c>
      <c r="B53" s="545">
        <v>44750</v>
      </c>
      <c r="C53" s="336" t="s">
        <v>408</v>
      </c>
      <c r="D53" s="648" t="str">
        <f>_xlfn.IFERROR(VLOOKUP(C53,'Base de Monedas'!A:B,2,0),"")</f>
        <v>Guaraní</v>
      </c>
      <c r="E53" s="485">
        <v>30649</v>
      </c>
      <c r="F53" s="648" t="s">
        <v>927</v>
      </c>
      <c r="H53" s="545">
        <v>44480</v>
      </c>
      <c r="I53" s="336" t="s">
        <v>408</v>
      </c>
      <c r="J53" s="648">
        <f>_xlfn.IFERROR(VLOOKUP(I53,'Base de Monedas'!G:H,2,0),"")</f>
      </c>
      <c r="K53" s="485">
        <v>20342</v>
      </c>
      <c r="L53" s="648" t="s">
        <v>927</v>
      </c>
    </row>
    <row r="54" spans="1:12" s="637" customFormat="1" ht="15" customHeight="1">
      <c r="A54" s="653" t="s">
        <v>943</v>
      </c>
      <c r="B54" s="545">
        <v>44905</v>
      </c>
      <c r="C54" s="336" t="s">
        <v>408</v>
      </c>
      <c r="D54" s="653" t="str">
        <f>_xlfn.IFERROR(VLOOKUP(C54,'Base de Monedas'!A:B,2,0),"")</f>
        <v>Guaraní</v>
      </c>
      <c r="E54" s="485">
        <v>29293</v>
      </c>
      <c r="F54" s="653" t="s">
        <v>927</v>
      </c>
      <c r="H54" s="545"/>
      <c r="I54" s="336" t="s">
        <v>408</v>
      </c>
      <c r="J54" s="648">
        <f>_xlfn.IFERROR(VLOOKUP(I54,'Base de Monedas'!G:H,2,0),"")</f>
      </c>
      <c r="K54" s="485"/>
      <c r="L54" s="648" t="s">
        <v>927</v>
      </c>
    </row>
    <row r="55" spans="1:12" s="533" customFormat="1" ht="15" customHeight="1">
      <c r="A55" s="533" t="s">
        <v>929</v>
      </c>
      <c r="B55" s="545">
        <v>44914</v>
      </c>
      <c r="C55" s="336" t="s">
        <v>408</v>
      </c>
      <c r="D55" s="648" t="str">
        <f>_xlfn.IFERROR(VLOOKUP(C55,'Base de Monedas'!A:B,2,0),"")</f>
        <v>Guaraní</v>
      </c>
      <c r="E55" s="485">
        <v>44346</v>
      </c>
      <c r="F55" s="648" t="s">
        <v>927</v>
      </c>
      <c r="H55" s="545">
        <v>44553</v>
      </c>
      <c r="I55" s="336" t="s">
        <v>408</v>
      </c>
      <c r="J55" s="648">
        <f>_xlfn.IFERROR(VLOOKUP(I55,'Base de Monedas'!G:H,2,0),"")</f>
      </c>
      <c r="K55" s="485">
        <v>29918</v>
      </c>
      <c r="L55" s="648" t="s">
        <v>927</v>
      </c>
    </row>
    <row r="56" spans="1:12" s="533" customFormat="1" ht="15" customHeight="1">
      <c r="A56" s="357" t="s">
        <v>929</v>
      </c>
      <c r="B56" s="545"/>
      <c r="C56" s="336" t="s">
        <v>408</v>
      </c>
      <c r="D56" s="648" t="str">
        <f>_xlfn.IFERROR(VLOOKUP(C56,'Base de Monedas'!A:B,2,0),"")</f>
        <v>Guaraní</v>
      </c>
      <c r="E56" s="485">
        <v>0</v>
      </c>
      <c r="F56" s="648" t="s">
        <v>927</v>
      </c>
      <c r="H56" s="545">
        <v>44488</v>
      </c>
      <c r="I56" s="336" t="s">
        <v>408</v>
      </c>
      <c r="J56" s="648">
        <f>_xlfn.IFERROR(VLOOKUP(I56,'Base de Monedas'!G:H,2,0),"")</f>
      </c>
      <c r="K56" s="485">
        <v>20342</v>
      </c>
      <c r="L56" s="648" t="s">
        <v>927</v>
      </c>
    </row>
    <row r="57" spans="1:12" s="533" customFormat="1" ht="15" customHeight="1">
      <c r="A57" s="357" t="s">
        <v>929</v>
      </c>
      <c r="B57" s="545"/>
      <c r="C57" s="336" t="s">
        <v>408</v>
      </c>
      <c r="D57" s="648" t="str">
        <f>_xlfn.IFERROR(VLOOKUP(C57,'Base de Monedas'!A:B,2,0),"")</f>
        <v>Guaraní</v>
      </c>
      <c r="E57" s="485">
        <v>0</v>
      </c>
      <c r="F57" s="648" t="s">
        <v>927</v>
      </c>
      <c r="H57" s="545">
        <v>44547</v>
      </c>
      <c r="I57" s="336" t="s">
        <v>408</v>
      </c>
      <c r="J57" s="648">
        <f>_xlfn.IFERROR(VLOOKUP(I57,'Base de Monedas'!G:H,2,0),"")</f>
      </c>
      <c r="K57" s="485">
        <v>47466</v>
      </c>
      <c r="L57" s="648" t="s">
        <v>927</v>
      </c>
    </row>
    <row r="58" spans="1:12" s="533" customFormat="1" ht="15" customHeight="1">
      <c r="A58" s="357" t="s">
        <v>930</v>
      </c>
      <c r="B58" s="545">
        <v>44909</v>
      </c>
      <c r="C58" s="336" t="s">
        <v>408</v>
      </c>
      <c r="D58" s="650" t="str">
        <f>_xlfn.IFERROR(VLOOKUP(C58,'Base de Monedas'!A:B,2,0),"")</f>
        <v>Guaraní</v>
      </c>
      <c r="E58" s="485">
        <v>72907</v>
      </c>
      <c r="F58" s="650" t="s">
        <v>927</v>
      </c>
      <c r="H58" s="545">
        <v>44543</v>
      </c>
      <c r="I58" s="336" t="s">
        <v>408</v>
      </c>
      <c r="J58" s="648">
        <f>_xlfn.IFERROR(VLOOKUP(I58,'Base de Monedas'!G:H,2,0),"")</f>
      </c>
      <c r="K58" s="485">
        <v>46849</v>
      </c>
      <c r="L58" s="648" t="s">
        <v>927</v>
      </c>
    </row>
    <row r="59" spans="1:12" s="533" customFormat="1" ht="15" customHeight="1">
      <c r="A59" s="357" t="s">
        <v>930</v>
      </c>
      <c r="B59" s="545"/>
      <c r="C59" s="336" t="s">
        <v>408</v>
      </c>
      <c r="D59" s="650" t="str">
        <f>_xlfn.IFERROR(VLOOKUP(C59,'Base de Monedas'!A:B,2,0),"")</f>
        <v>Guaraní</v>
      </c>
      <c r="E59" s="485">
        <v>0</v>
      </c>
      <c r="F59" s="650" t="s">
        <v>927</v>
      </c>
      <c r="H59" s="545"/>
      <c r="I59" s="336" t="s">
        <v>408</v>
      </c>
      <c r="J59" s="648">
        <f>_xlfn.IFERROR(VLOOKUP(I59,'Base de Monedas'!G:H,2,0),"")</f>
      </c>
      <c r="K59" s="485">
        <v>0</v>
      </c>
      <c r="L59" s="648" t="s">
        <v>927</v>
      </c>
    </row>
    <row r="60" spans="1:12" s="533" customFormat="1" ht="15" customHeight="1">
      <c r="A60" s="357" t="s">
        <v>930</v>
      </c>
      <c r="B60" s="545">
        <v>44849</v>
      </c>
      <c r="C60" s="336" t="s">
        <v>408</v>
      </c>
      <c r="D60" s="650" t="str">
        <f>_xlfn.IFERROR(VLOOKUP(C60,'Base de Monedas'!A:B,2,0),"")</f>
        <v>Guaraní</v>
      </c>
      <c r="E60" s="485">
        <f>45160</f>
        <v>45160</v>
      </c>
      <c r="F60" s="650" t="s">
        <v>927</v>
      </c>
      <c r="H60" s="545"/>
      <c r="I60" s="336" t="s">
        <v>408</v>
      </c>
      <c r="J60" s="648">
        <f>_xlfn.IFERROR(VLOOKUP(I60,'Base de Monedas'!G:H,2,0),"")</f>
      </c>
      <c r="K60" s="485">
        <v>0</v>
      </c>
      <c r="L60" s="648" t="s">
        <v>927</v>
      </c>
    </row>
    <row r="61" spans="1:12" s="533" customFormat="1" ht="15" customHeight="1">
      <c r="A61" s="357" t="s">
        <v>930</v>
      </c>
      <c r="B61" s="545"/>
      <c r="C61" s="336"/>
      <c r="E61" s="485"/>
      <c r="H61" s="545"/>
      <c r="I61" s="336"/>
      <c r="J61" s="648"/>
      <c r="K61" s="485"/>
      <c r="L61" s="648"/>
    </row>
    <row r="62" spans="1:12" s="533" customFormat="1" ht="15" customHeight="1">
      <c r="A62" s="357" t="s">
        <v>931</v>
      </c>
      <c r="B62" s="545"/>
      <c r="C62" s="336" t="s">
        <v>408</v>
      </c>
      <c r="D62" s="648" t="str">
        <f>_xlfn.IFERROR(VLOOKUP(C62,'Base de Monedas'!A:B,2,0),"")</f>
        <v>Guaraní</v>
      </c>
      <c r="E62" s="485">
        <v>0</v>
      </c>
      <c r="F62" s="648" t="s">
        <v>927</v>
      </c>
      <c r="H62" s="545">
        <v>44508</v>
      </c>
      <c r="I62" s="336" t="s">
        <v>408</v>
      </c>
      <c r="J62" s="648">
        <f>_xlfn.IFERROR(VLOOKUP(I62,'Base de Monedas'!G:H,2,0),"")</f>
      </c>
      <c r="K62" s="485">
        <v>95203</v>
      </c>
      <c r="L62" s="648" t="s">
        <v>927</v>
      </c>
    </row>
    <row r="63" spans="1:12" s="637" customFormat="1" ht="15" customHeight="1">
      <c r="A63" s="357" t="s">
        <v>931</v>
      </c>
      <c r="B63" s="545"/>
      <c r="C63" s="336" t="s">
        <v>408</v>
      </c>
      <c r="D63" s="648" t="str">
        <f>_xlfn.IFERROR(VLOOKUP(C63,'Base de Monedas'!A:B,2,0),"")</f>
        <v>Guaraní</v>
      </c>
      <c r="E63" s="485">
        <v>0</v>
      </c>
      <c r="F63" s="648" t="s">
        <v>927</v>
      </c>
      <c r="H63" s="545"/>
      <c r="I63" s="336" t="s">
        <v>408</v>
      </c>
      <c r="J63" s="648">
        <f>_xlfn.IFERROR(VLOOKUP(I63,'Base de Monedas'!G:H,2,0),"")</f>
      </c>
      <c r="K63" s="485"/>
      <c r="L63" s="648" t="s">
        <v>927</v>
      </c>
    </row>
    <row r="64" spans="1:12" s="533" customFormat="1" ht="15" customHeight="1">
      <c r="A64" s="357" t="s">
        <v>931</v>
      </c>
      <c r="B64" s="545">
        <v>44869</v>
      </c>
      <c r="C64" s="336" t="s">
        <v>408</v>
      </c>
      <c r="D64" s="648" t="str">
        <f>_xlfn.IFERROR(VLOOKUP(C64,'Base de Monedas'!A:B,2,0),"")</f>
        <v>Guaraní</v>
      </c>
      <c r="E64" s="485">
        <v>108192</v>
      </c>
      <c r="F64" s="648" t="s">
        <v>927</v>
      </c>
      <c r="H64" s="545"/>
      <c r="I64" s="336" t="s">
        <v>408</v>
      </c>
      <c r="J64" s="648">
        <f>_xlfn.IFERROR(VLOOKUP(I64,'Base de Monedas'!G:H,2,0),"")</f>
      </c>
      <c r="K64" s="485"/>
      <c r="L64" s="648" t="s">
        <v>927</v>
      </c>
    </row>
    <row r="65" spans="1:12" s="533" customFormat="1" ht="15" customHeight="1">
      <c r="A65" s="357" t="s">
        <v>931</v>
      </c>
      <c r="B65" s="545">
        <v>44886</v>
      </c>
      <c r="C65" s="336" t="s">
        <v>408</v>
      </c>
      <c r="D65" s="648" t="str">
        <f>_xlfn.IFERROR(VLOOKUP(C65,'Base de Monedas'!A:B,2,0),"")</f>
        <v>Guaraní</v>
      </c>
      <c r="E65" s="485">
        <v>216986</v>
      </c>
      <c r="F65" s="648" t="s">
        <v>927</v>
      </c>
      <c r="H65" s="545"/>
      <c r="I65" s="336" t="s">
        <v>408</v>
      </c>
      <c r="J65" s="648">
        <f>_xlfn.IFERROR(VLOOKUP(I65,'Base de Monedas'!G:H,2,0),"")</f>
      </c>
      <c r="K65" s="485"/>
      <c r="L65" s="648" t="s">
        <v>927</v>
      </c>
    </row>
    <row r="66" spans="1:12" s="637" customFormat="1" ht="15" customHeight="1">
      <c r="A66" s="357" t="s">
        <v>931</v>
      </c>
      <c r="B66" s="545"/>
      <c r="C66" s="336" t="s">
        <v>408</v>
      </c>
      <c r="D66" s="648" t="str">
        <f>_xlfn.IFERROR(VLOOKUP(C66,'Base de Monedas'!A:B,2,0),"")</f>
        <v>Guaraní</v>
      </c>
      <c r="E66" s="485"/>
      <c r="F66" s="643"/>
      <c r="H66" s="545"/>
      <c r="I66" s="336" t="s">
        <v>408</v>
      </c>
      <c r="J66" s="648">
        <f>_xlfn.IFERROR(VLOOKUP(I66,'Base de Monedas'!G:H,2,0),"")</f>
      </c>
      <c r="K66" s="485"/>
      <c r="L66" s="648" t="s">
        <v>927</v>
      </c>
    </row>
    <row r="67" spans="1:12" s="543" customFormat="1" ht="15" customHeight="1">
      <c r="A67" s="561" t="s">
        <v>942</v>
      </c>
      <c r="B67" s="552"/>
      <c r="C67" s="360"/>
      <c r="D67" s="359"/>
      <c r="E67" s="546"/>
      <c r="F67" s="359"/>
      <c r="G67" s="359"/>
      <c r="H67" s="552"/>
      <c r="I67" s="360"/>
      <c r="J67" s="359"/>
      <c r="K67" s="546"/>
      <c r="L67" s="359"/>
    </row>
    <row r="68" spans="1:11" s="543" customFormat="1" ht="15" customHeight="1">
      <c r="A68" s="357"/>
      <c r="B68" s="545"/>
      <c r="C68" s="336"/>
      <c r="E68" s="562">
        <f>SUM(E51:E67)+3</f>
        <v>626058</v>
      </c>
      <c r="H68" s="545"/>
      <c r="I68" s="336"/>
      <c r="K68" s="562">
        <f>SUM(K51:K67)</f>
        <v>310976</v>
      </c>
    </row>
    <row r="69" spans="1:11" s="543" customFormat="1" ht="15" customHeight="1">
      <c r="A69" s="127" t="s">
        <v>944</v>
      </c>
      <c r="B69" s="545"/>
      <c r="C69" s="336"/>
      <c r="E69" s="485"/>
      <c r="H69" s="545"/>
      <c r="I69" s="336"/>
      <c r="K69" s="485"/>
    </row>
    <row r="70" spans="1:12" s="543" customFormat="1" ht="15" customHeight="1">
      <c r="A70" s="561" t="s">
        <v>933</v>
      </c>
      <c r="B70" s="552">
        <v>44925</v>
      </c>
      <c r="C70" s="360" t="s">
        <v>408</v>
      </c>
      <c r="D70" s="359" t="str">
        <f>_xlfn.IFERROR(VLOOKUP(C70,'Base de Monedas'!A:B,2,0),"")</f>
        <v>Guaraní</v>
      </c>
      <c r="E70" s="546">
        <v>78000</v>
      </c>
      <c r="F70" s="359" t="s">
        <v>927</v>
      </c>
      <c r="G70" s="359"/>
      <c r="H70" s="552">
        <v>44925</v>
      </c>
      <c r="I70" s="360" t="s">
        <v>408</v>
      </c>
      <c r="J70" s="359">
        <f>_xlfn.IFERROR(VLOOKUP(I70,'Base de Monedas'!G:H,2,0),"")</f>
      </c>
      <c r="K70" s="546">
        <v>78000</v>
      </c>
      <c r="L70" s="359" t="s">
        <v>927</v>
      </c>
    </row>
    <row r="71" spans="1:11" s="543" customFormat="1" ht="15" customHeight="1">
      <c r="A71" s="357"/>
      <c r="B71" s="545"/>
      <c r="C71" s="336"/>
      <c r="E71" s="562">
        <f>+E70</f>
        <v>78000</v>
      </c>
      <c r="H71" s="545"/>
      <c r="I71" s="336"/>
      <c r="K71" s="562">
        <f>+K70</f>
        <v>78000</v>
      </c>
    </row>
    <row r="72" spans="1:11" s="543" customFormat="1" ht="15" customHeight="1">
      <c r="A72" s="127" t="s">
        <v>945</v>
      </c>
      <c r="B72" s="545"/>
      <c r="C72" s="336"/>
      <c r="E72" s="485"/>
      <c r="H72" s="545"/>
      <c r="I72" s="336"/>
      <c r="K72" s="485"/>
    </row>
    <row r="73" spans="1:12" s="543" customFormat="1" ht="15" customHeight="1">
      <c r="A73" s="550" t="s">
        <v>935</v>
      </c>
      <c r="B73" s="161"/>
      <c r="C73" s="556"/>
      <c r="D73" s="161"/>
      <c r="E73" s="539"/>
      <c r="F73" s="161"/>
      <c r="H73" s="550" t="s">
        <v>935</v>
      </c>
      <c r="I73" s="336"/>
      <c r="J73" s="553"/>
      <c r="K73" s="485"/>
      <c r="L73" s="553"/>
    </row>
    <row r="74" spans="1:12" s="543" customFormat="1" ht="15" customHeight="1">
      <c r="A74" s="551" t="s">
        <v>937</v>
      </c>
      <c r="B74" s="545"/>
      <c r="C74" s="336"/>
      <c r="D74" s="620"/>
      <c r="E74" s="485"/>
      <c r="H74" s="545">
        <v>44488</v>
      </c>
      <c r="I74" s="336" t="s">
        <v>408</v>
      </c>
      <c r="J74" s="648">
        <f>_xlfn.IFERROR(VLOOKUP(I74,'Base de Monedas'!G:H,2,0),"")</f>
      </c>
      <c r="K74" s="485">
        <v>45375</v>
      </c>
      <c r="L74" s="648" t="s">
        <v>927</v>
      </c>
    </row>
    <row r="75" spans="1:12" s="543" customFormat="1" ht="15" customHeight="1">
      <c r="A75" s="127"/>
      <c r="B75" s="545"/>
      <c r="C75" s="336"/>
      <c r="E75" s="485"/>
      <c r="H75" s="545"/>
      <c r="I75" s="336"/>
      <c r="J75" s="553"/>
      <c r="K75" s="485"/>
      <c r="L75" s="553"/>
    </row>
    <row r="76" spans="1:12" s="543" customFormat="1" ht="15" customHeight="1">
      <c r="A76" s="550" t="s">
        <v>936</v>
      </c>
      <c r="B76" s="545"/>
      <c r="C76" s="336"/>
      <c r="E76" s="485"/>
      <c r="H76" s="550"/>
      <c r="I76" s="336"/>
      <c r="J76" s="553"/>
      <c r="K76" s="485"/>
      <c r="L76" s="553"/>
    </row>
    <row r="77" spans="1:12" s="543" customFormat="1" ht="15" customHeight="1">
      <c r="A77" s="649" t="s">
        <v>1006</v>
      </c>
      <c r="B77" s="552">
        <v>44917</v>
      </c>
      <c r="C77" s="360" t="s">
        <v>408</v>
      </c>
      <c r="D77" s="359" t="str">
        <f>_xlfn.IFERROR(VLOOKUP(C77,'Base de Monedas'!A:B,2,0),"")</f>
        <v>Guaraní</v>
      </c>
      <c r="E77" s="546">
        <f>(49328+51570+60539)</f>
        <v>161437</v>
      </c>
      <c r="F77" s="359" t="s">
        <v>927</v>
      </c>
      <c r="H77" s="563">
        <v>44551</v>
      </c>
      <c r="I77" s="556" t="s">
        <v>408</v>
      </c>
      <c r="J77" s="161">
        <f>_xlfn.IFERROR(VLOOKUP(I77,'Base de Monedas'!G:H,2,0),"")</f>
      </c>
      <c r="K77" s="539">
        <v>157965</v>
      </c>
      <c r="L77" s="161" t="s">
        <v>927</v>
      </c>
    </row>
    <row r="78" spans="1:11" s="648" customFormat="1" ht="15" customHeight="1">
      <c r="A78" s="661"/>
      <c r="B78" s="563"/>
      <c r="C78" s="556"/>
      <c r="D78" s="161"/>
      <c r="E78" s="539"/>
      <c r="H78" s="563"/>
      <c r="I78" s="556"/>
      <c r="J78" s="161"/>
      <c r="K78" s="539"/>
    </row>
    <row r="79" spans="1:12" s="543" customFormat="1" ht="15" customHeight="1">
      <c r="A79" s="560"/>
      <c r="B79" s="552"/>
      <c r="C79" s="360"/>
      <c r="D79" s="359"/>
      <c r="E79" s="546"/>
      <c r="F79" s="359"/>
      <c r="G79" s="359"/>
      <c r="H79" s="552"/>
      <c r="I79" s="360"/>
      <c r="J79" s="359">
        <f>_xlfn.IFERROR(VLOOKUP(I79,'Base de Monedas'!G:H,2,0),"")</f>
      </c>
      <c r="K79" s="546"/>
      <c r="L79" s="359"/>
    </row>
    <row r="80" spans="1:12" s="543" customFormat="1" ht="15" customHeight="1">
      <c r="A80" s="357"/>
      <c r="B80" s="545"/>
      <c r="C80" s="336"/>
      <c r="E80" s="562">
        <f>SUM(E74:E79)</f>
        <v>161437</v>
      </c>
      <c r="H80" s="563"/>
      <c r="I80" s="556"/>
      <c r="J80" s="161"/>
      <c r="K80" s="565">
        <f>SUM(K74:K79)+1</f>
        <v>203341</v>
      </c>
      <c r="L80" s="161"/>
    </row>
    <row r="81" spans="3:11" s="533" customFormat="1" ht="15" customHeight="1">
      <c r="C81" s="336"/>
      <c r="E81" s="485"/>
      <c r="H81" s="545"/>
      <c r="I81" s="336"/>
      <c r="K81" s="562"/>
    </row>
    <row r="82" spans="1:11" s="322" customFormat="1" ht="15" customHeight="1">
      <c r="A82" s="127" t="s">
        <v>951</v>
      </c>
      <c r="C82" s="336"/>
      <c r="E82" s="485"/>
      <c r="H82" s="545"/>
      <c r="I82" s="336"/>
      <c r="K82" s="485"/>
    </row>
    <row r="83" spans="1:13" s="533" customFormat="1" ht="15" customHeight="1">
      <c r="A83" s="543" t="s">
        <v>943</v>
      </c>
      <c r="B83" s="545">
        <v>44900</v>
      </c>
      <c r="C83" s="336" t="s">
        <v>408</v>
      </c>
      <c r="D83" s="648" t="str">
        <f>_xlfn.IFERROR(VLOOKUP(C83,'Base de Monedas'!A:B,2,0),"")</f>
        <v>Guaraní</v>
      </c>
      <c r="E83" s="485">
        <v>-32548</v>
      </c>
      <c r="F83" s="648" t="s">
        <v>927</v>
      </c>
      <c r="H83" s="545">
        <v>44480</v>
      </c>
      <c r="I83" s="336" t="s">
        <v>408</v>
      </c>
      <c r="J83" s="648">
        <f>_xlfn.IFERROR(VLOOKUP(I83,'Base de Monedas'!G:H,2,0),"")</f>
      </c>
      <c r="K83" s="485">
        <v>-20342</v>
      </c>
      <c r="L83" s="648" t="s">
        <v>927</v>
      </c>
      <c r="M83" s="648"/>
    </row>
    <row r="84" spans="1:13" s="533" customFormat="1" ht="15" customHeight="1">
      <c r="A84" s="543" t="s">
        <v>943</v>
      </c>
      <c r="B84" s="545">
        <v>44585</v>
      </c>
      <c r="C84" s="336" t="s">
        <v>408</v>
      </c>
      <c r="D84" s="648" t="str">
        <f>_xlfn.IFERROR(VLOOKUP(C84,'Base de Monedas'!A:B,2,0),"")</f>
        <v>Guaraní</v>
      </c>
      <c r="E84" s="566">
        <v>-45974</v>
      </c>
      <c r="F84" s="648" t="s">
        <v>927</v>
      </c>
      <c r="H84" s="545">
        <v>44496</v>
      </c>
      <c r="I84" s="336" t="s">
        <v>408</v>
      </c>
      <c r="J84" s="648">
        <f>_xlfn.IFERROR(VLOOKUP(I84,'Base de Monedas'!G:H,2,0),"")</f>
      </c>
      <c r="K84" s="566">
        <v>-30514</v>
      </c>
      <c r="L84" s="648" t="s">
        <v>927</v>
      </c>
      <c r="M84" s="648"/>
    </row>
    <row r="85" spans="1:13" s="533" customFormat="1" ht="15" customHeight="1">
      <c r="A85" s="543" t="s">
        <v>943</v>
      </c>
      <c r="B85" s="545">
        <v>44840</v>
      </c>
      <c r="C85" s="336" t="s">
        <v>408</v>
      </c>
      <c r="D85" s="648" t="str">
        <f>_xlfn.IFERROR(VLOOKUP(C85,'Base de Monedas'!A:B,2,0),"")</f>
        <v>Guaraní</v>
      </c>
      <c r="E85" s="566">
        <v>-30649</v>
      </c>
      <c r="F85" s="648" t="s">
        <v>927</v>
      </c>
      <c r="H85" s="545">
        <v>44539</v>
      </c>
      <c r="I85" s="336" t="s">
        <v>408</v>
      </c>
      <c r="J85" s="648">
        <f>_xlfn.IFERROR(VLOOKUP(I85,'Base de Monedas'!G:H,2,0),"")</f>
      </c>
      <c r="K85" s="566">
        <v>-20342</v>
      </c>
      <c r="L85" s="648" t="s">
        <v>927</v>
      </c>
      <c r="M85" s="648"/>
    </row>
    <row r="86" spans="1:13" s="533" customFormat="1" ht="15" customHeight="1">
      <c r="A86" s="543" t="s">
        <v>943</v>
      </c>
      <c r="B86" s="545">
        <v>44905</v>
      </c>
      <c r="C86" s="336" t="s">
        <v>408</v>
      </c>
      <c r="D86" s="648" t="str">
        <f>_xlfn.IFERROR(VLOOKUP(C86,'Base de Monedas'!A:B,2,0),"")</f>
        <v>Guaraní</v>
      </c>
      <c r="E86" s="566">
        <v>-29293</v>
      </c>
      <c r="F86" s="648" t="s">
        <v>927</v>
      </c>
      <c r="H86" s="545"/>
      <c r="I86" s="336" t="s">
        <v>408</v>
      </c>
      <c r="J86" s="648">
        <f>_xlfn.IFERROR(VLOOKUP(I86,'Base de Monedas'!G:H,2,0),"")</f>
      </c>
      <c r="K86" s="566"/>
      <c r="L86" s="648" t="s">
        <v>927</v>
      </c>
      <c r="M86" s="648"/>
    </row>
    <row r="87" spans="2:13" s="543" customFormat="1" ht="15" customHeight="1">
      <c r="B87" s="545"/>
      <c r="C87" s="336"/>
      <c r="E87" s="485"/>
      <c r="H87" s="545"/>
      <c r="I87" s="336"/>
      <c r="J87" s="648"/>
      <c r="K87" s="485"/>
      <c r="L87" s="648"/>
      <c r="M87" s="648"/>
    </row>
    <row r="88" spans="1:13" s="533" customFormat="1" ht="15" customHeight="1">
      <c r="A88" s="543" t="s">
        <v>929</v>
      </c>
      <c r="B88" s="545">
        <v>44914</v>
      </c>
      <c r="C88" s="336" t="s">
        <v>408</v>
      </c>
      <c r="D88" s="648" t="str">
        <f>_xlfn.IFERROR(VLOOKUP(C88,'Base de Monedas'!A:B,2,0),"")</f>
        <v>Guaraní</v>
      </c>
      <c r="E88" s="485">
        <v>-44346</v>
      </c>
      <c r="F88" s="648" t="s">
        <v>927</v>
      </c>
      <c r="H88" s="545">
        <v>44553</v>
      </c>
      <c r="I88" s="336" t="s">
        <v>408</v>
      </c>
      <c r="J88" s="648">
        <f>_xlfn.IFERROR(VLOOKUP(I88,'Base de Monedas'!G:H,2,0),"")</f>
      </c>
      <c r="K88" s="485">
        <v>-29589</v>
      </c>
      <c r="L88" s="648" t="s">
        <v>927</v>
      </c>
      <c r="M88" s="648"/>
    </row>
    <row r="89" spans="1:13" s="533" customFormat="1" ht="15" customHeight="1">
      <c r="A89" s="357" t="s">
        <v>929</v>
      </c>
      <c r="B89" s="545">
        <v>45001</v>
      </c>
      <c r="C89" s="336" t="s">
        <v>408</v>
      </c>
      <c r="D89" s="648" t="str">
        <f>_xlfn.IFERROR(VLOOKUP(C89,'Base de Monedas'!A:B,2,0),"")</f>
        <v>Guaraní</v>
      </c>
      <c r="E89" s="485">
        <v>-25270</v>
      </c>
      <c r="F89" s="648" t="s">
        <v>927</v>
      </c>
      <c r="H89" s="545">
        <v>44488</v>
      </c>
      <c r="I89" s="336" t="s">
        <v>408</v>
      </c>
      <c r="J89" s="648">
        <f>_xlfn.IFERROR(VLOOKUP(I89,'Base de Monedas'!G:H,2,0),"")</f>
      </c>
      <c r="K89" s="485">
        <v>-20342</v>
      </c>
      <c r="L89" s="648" t="s">
        <v>927</v>
      </c>
      <c r="M89" s="648"/>
    </row>
    <row r="90" spans="1:13" s="533" customFormat="1" ht="15" customHeight="1">
      <c r="A90" s="357" t="s">
        <v>929</v>
      </c>
      <c r="B90" s="545">
        <v>44967</v>
      </c>
      <c r="C90" s="336" t="s">
        <v>408</v>
      </c>
      <c r="D90" s="648" t="str">
        <f>_xlfn.IFERROR(VLOOKUP(C90,'Base de Monedas'!A:B,2,0),"")</f>
        <v>Guaraní</v>
      </c>
      <c r="E90" s="485">
        <v>-29158</v>
      </c>
      <c r="F90" s="648" t="s">
        <v>927</v>
      </c>
      <c r="H90" s="545">
        <v>44547</v>
      </c>
      <c r="I90" s="336" t="s">
        <v>408</v>
      </c>
      <c r="J90" s="648">
        <f>_xlfn.IFERROR(VLOOKUP(I90,'Base de Monedas'!G:H,2,0),"")</f>
      </c>
      <c r="K90" s="485">
        <v>-20342</v>
      </c>
      <c r="L90" s="648" t="s">
        <v>927</v>
      </c>
      <c r="M90" s="648"/>
    </row>
    <row r="91" spans="1:13" s="533" customFormat="1" ht="15" customHeight="1">
      <c r="A91" s="357" t="s">
        <v>930</v>
      </c>
      <c r="B91" s="545">
        <v>44909</v>
      </c>
      <c r="C91" s="336" t="s">
        <v>408</v>
      </c>
      <c r="D91" s="648" t="str">
        <f>_xlfn.IFERROR(VLOOKUP(C91,'Base de Monedas'!A:B,2,0),"")</f>
        <v>Guaraní</v>
      </c>
      <c r="E91" s="485">
        <v>-34813</v>
      </c>
      <c r="F91" s="648" t="s">
        <v>927</v>
      </c>
      <c r="H91" s="545">
        <v>44553</v>
      </c>
      <c r="I91" s="336" t="s">
        <v>408</v>
      </c>
      <c r="J91" s="648">
        <f>_xlfn.IFERROR(VLOOKUP(I91,'Base de Monedas'!G:H,2,0),"")</f>
      </c>
      <c r="K91" s="485">
        <v>-24801</v>
      </c>
      <c r="L91" s="648" t="s">
        <v>927</v>
      </c>
      <c r="M91" s="648"/>
    </row>
    <row r="92" spans="1:13" s="533" customFormat="1" ht="15" customHeight="1">
      <c r="A92" s="357" t="s">
        <v>930</v>
      </c>
      <c r="B92" s="545"/>
      <c r="C92" s="336" t="s">
        <v>408</v>
      </c>
      <c r="D92" s="648" t="str">
        <f>_xlfn.IFERROR(VLOOKUP(C92,'Base de Monedas'!A:B,2,0),"")</f>
        <v>Guaraní</v>
      </c>
      <c r="E92" s="485">
        <v>0</v>
      </c>
      <c r="F92" s="648" t="s">
        <v>927</v>
      </c>
      <c r="H92" s="545">
        <v>44543</v>
      </c>
      <c r="I92" s="336" t="s">
        <v>408</v>
      </c>
      <c r="J92" s="648">
        <f>_xlfn.IFERROR(VLOOKUP(I92,'Base de Monedas'!G:H,2,0),"")</f>
      </c>
      <c r="K92" s="485">
        <v>-22546</v>
      </c>
      <c r="L92" s="648" t="s">
        <v>927</v>
      </c>
      <c r="M92" s="648"/>
    </row>
    <row r="93" spans="1:13" s="533" customFormat="1" ht="15" customHeight="1">
      <c r="A93" s="357" t="s">
        <v>930</v>
      </c>
      <c r="B93" s="545">
        <v>44849</v>
      </c>
      <c r="C93" s="336" t="s">
        <v>408</v>
      </c>
      <c r="D93" s="648" t="str">
        <f>_xlfn.IFERROR(VLOOKUP(C93,'Base de Monedas'!A:B,2,0),"")</f>
        <v>Guaraní</v>
      </c>
      <c r="E93" s="485">
        <v>-7832</v>
      </c>
      <c r="F93" s="648" t="s">
        <v>927</v>
      </c>
      <c r="H93" s="545"/>
      <c r="I93" s="336" t="s">
        <v>408</v>
      </c>
      <c r="J93" s="648">
        <f>_xlfn.IFERROR(VLOOKUP(I93,'Base de Monedas'!G:H,2,0),"")</f>
      </c>
      <c r="K93" s="485"/>
      <c r="L93" s="648" t="s">
        <v>927</v>
      </c>
      <c r="M93" s="648"/>
    </row>
    <row r="94" spans="1:13" s="533" customFormat="1" ht="15" customHeight="1">
      <c r="A94" s="357" t="s">
        <v>930</v>
      </c>
      <c r="B94" s="545"/>
      <c r="C94" s="336"/>
      <c r="D94" s="543"/>
      <c r="E94" s="485"/>
      <c r="F94" s="543"/>
      <c r="H94" s="545"/>
      <c r="I94" s="336"/>
      <c r="J94" s="648"/>
      <c r="K94" s="485"/>
      <c r="L94" s="648"/>
      <c r="M94" s="648"/>
    </row>
    <row r="95" spans="1:13" s="543" customFormat="1" ht="15" customHeight="1">
      <c r="A95" s="357" t="s">
        <v>931</v>
      </c>
      <c r="B95" s="545">
        <v>44886</v>
      </c>
      <c r="C95" s="336" t="s">
        <v>408</v>
      </c>
      <c r="D95" s="648" t="str">
        <f>_xlfn.IFERROR(VLOOKUP(C95,'Base de Monedas'!A:B,2,0),"")</f>
        <v>Guaraní</v>
      </c>
      <c r="E95" s="660">
        <v>-36164</v>
      </c>
      <c r="F95" s="648" t="s">
        <v>927</v>
      </c>
      <c r="H95" s="545">
        <v>44549</v>
      </c>
      <c r="I95" s="336" t="s">
        <v>408</v>
      </c>
      <c r="J95" s="648">
        <f>_xlfn.IFERROR(VLOOKUP(I95,'Base de Monedas'!G:H,2,0),"")</f>
      </c>
      <c r="K95" s="485">
        <v>-26125</v>
      </c>
      <c r="L95" s="648" t="s">
        <v>927</v>
      </c>
      <c r="M95" s="648"/>
    </row>
    <row r="96" spans="1:12" s="657" customFormat="1" ht="15" customHeight="1">
      <c r="A96" s="357" t="s">
        <v>931</v>
      </c>
      <c r="B96" s="545">
        <v>45191</v>
      </c>
      <c r="C96" s="336" t="s">
        <v>408</v>
      </c>
      <c r="D96" s="657" t="str">
        <f>_xlfn.IFERROR(VLOOKUP(C96,'Base de Monedas'!A:B,2,0),"")</f>
        <v>Guaraní</v>
      </c>
      <c r="E96" s="660">
        <v>-33904</v>
      </c>
      <c r="F96" s="657" t="s">
        <v>927</v>
      </c>
      <c r="H96" s="545">
        <v>44541</v>
      </c>
      <c r="I96" s="336" t="s">
        <v>408</v>
      </c>
      <c r="K96" s="485">
        <v>-25696</v>
      </c>
      <c r="L96" s="657" t="s">
        <v>927</v>
      </c>
    </row>
    <row r="97" spans="1:13" s="533" customFormat="1" ht="15" customHeight="1">
      <c r="A97" s="357" t="s">
        <v>931</v>
      </c>
      <c r="B97" s="545">
        <v>45152</v>
      </c>
      <c r="C97" s="336" t="s">
        <v>408</v>
      </c>
      <c r="D97" s="648" t="str">
        <f>_xlfn.IFERROR(VLOOKUP(C97,'Base de Monedas'!A:B,2,0),"")</f>
        <v>Guaraní</v>
      </c>
      <c r="E97" s="660">
        <v>-32548</v>
      </c>
      <c r="F97" s="648" t="s">
        <v>927</v>
      </c>
      <c r="H97" s="545">
        <v>44470</v>
      </c>
      <c r="I97" s="336" t="s">
        <v>408</v>
      </c>
      <c r="J97" s="648">
        <f>_xlfn.IFERROR(VLOOKUP(I97,'Base de Monedas'!G:H,2,0),"")</f>
      </c>
      <c r="K97" s="485">
        <v>-22649</v>
      </c>
      <c r="L97" s="648" t="s">
        <v>927</v>
      </c>
      <c r="M97" s="648"/>
    </row>
    <row r="98" spans="1:13" s="533" customFormat="1" ht="15" customHeight="1">
      <c r="A98" s="357" t="s">
        <v>931</v>
      </c>
      <c r="B98" s="545">
        <v>44869</v>
      </c>
      <c r="C98" s="336" t="s">
        <v>408</v>
      </c>
      <c r="D98" s="648" t="str">
        <f>_xlfn.IFERROR(VLOOKUP(C98,'Base de Monedas'!A:B,2,0),"")</f>
        <v>Guaraní</v>
      </c>
      <c r="E98" s="660">
        <v>-18032</v>
      </c>
      <c r="F98" s="648" t="s">
        <v>927</v>
      </c>
      <c r="H98" s="545"/>
      <c r="I98" s="336" t="s">
        <v>408</v>
      </c>
      <c r="J98" s="648">
        <f>_xlfn.IFERROR(VLOOKUP(I98,'Base de Monedas'!G:H,2,0),"")</f>
      </c>
      <c r="K98" s="485">
        <v>0</v>
      </c>
      <c r="L98" s="648" t="s">
        <v>927</v>
      </c>
      <c r="M98" s="648"/>
    </row>
    <row r="99" spans="1:13" s="533" customFormat="1" ht="15" customHeight="1">
      <c r="A99" s="357" t="s">
        <v>931</v>
      </c>
      <c r="B99" s="545"/>
      <c r="C99" s="336" t="s">
        <v>408</v>
      </c>
      <c r="D99" s="648" t="str">
        <f>_xlfn.IFERROR(VLOOKUP(C99,'Base de Monedas'!A:B,2,0),"")</f>
        <v>Guaraní</v>
      </c>
      <c r="E99" s="660"/>
      <c r="F99" s="648" t="s">
        <v>927</v>
      </c>
      <c r="H99" s="545"/>
      <c r="I99" s="336" t="s">
        <v>408</v>
      </c>
      <c r="J99" s="648">
        <f>_xlfn.IFERROR(VLOOKUP(I99,'Base de Monedas'!G:H,2,0),"")</f>
      </c>
      <c r="K99" s="485">
        <v>0</v>
      </c>
      <c r="L99" s="648" t="s">
        <v>927</v>
      </c>
      <c r="M99" s="648"/>
    </row>
    <row r="100" spans="1:13" s="543" customFormat="1" ht="15" customHeight="1">
      <c r="A100" s="357" t="s">
        <v>931</v>
      </c>
      <c r="B100" s="545">
        <v>44966</v>
      </c>
      <c r="C100" s="336" t="s">
        <v>408</v>
      </c>
      <c r="D100" s="648" t="str">
        <f>_xlfn.IFERROR(VLOOKUP(C100,'Base de Monedas'!A:B,2,0),"")</f>
        <v>Guaraní</v>
      </c>
      <c r="E100" s="485">
        <v>-31192</v>
      </c>
      <c r="F100" s="648" t="s">
        <v>927</v>
      </c>
      <c r="H100" s="545"/>
      <c r="I100" s="336" t="s">
        <v>408</v>
      </c>
      <c r="J100" s="648">
        <f>_xlfn.IFERROR(VLOOKUP(I100,'Base de Monedas'!G:H,2,0),"")</f>
      </c>
      <c r="K100" s="485">
        <v>0</v>
      </c>
      <c r="L100" s="648" t="s">
        <v>927</v>
      </c>
      <c r="M100" s="648"/>
    </row>
    <row r="101" spans="1:13" s="543" customFormat="1" ht="15" customHeight="1">
      <c r="A101" s="561" t="s">
        <v>942</v>
      </c>
      <c r="B101" s="552"/>
      <c r="C101" s="360"/>
      <c r="D101" s="359"/>
      <c r="E101" s="546"/>
      <c r="F101" s="359"/>
      <c r="H101" s="552"/>
      <c r="I101" s="360"/>
      <c r="J101" s="359"/>
      <c r="K101" s="546"/>
      <c r="L101" s="359"/>
      <c r="M101" s="648"/>
    </row>
    <row r="102" spans="1:11" s="543" customFormat="1" ht="15" customHeight="1">
      <c r="A102" s="357"/>
      <c r="B102" s="545"/>
      <c r="C102" s="336"/>
      <c r="E102" s="638">
        <f>SUM(E83:E100)</f>
        <v>-431723</v>
      </c>
      <c r="H102" s="545"/>
      <c r="I102" s="336"/>
      <c r="K102" s="562">
        <f>SUM(K83:K101)</f>
        <v>-263288</v>
      </c>
    </row>
    <row r="103" spans="3:11" s="533" customFormat="1" ht="15" customHeight="1">
      <c r="C103" s="336"/>
      <c r="E103" s="485"/>
      <c r="H103" s="545"/>
      <c r="I103" s="336"/>
      <c r="K103" s="485"/>
    </row>
    <row r="104" spans="1:11" s="533" customFormat="1" ht="15" customHeight="1">
      <c r="A104" s="127" t="s">
        <v>946</v>
      </c>
      <c r="C104" s="336"/>
      <c r="E104" s="485"/>
      <c r="H104" s="545"/>
      <c r="I104" s="336"/>
      <c r="K104" s="485">
        <v>0</v>
      </c>
    </row>
    <row r="105" spans="1:12" s="543" customFormat="1" ht="15" customHeight="1">
      <c r="A105" s="560" t="s">
        <v>947</v>
      </c>
      <c r="B105" s="552">
        <v>44925</v>
      </c>
      <c r="C105" s="360" t="s">
        <v>408</v>
      </c>
      <c r="D105" s="359" t="str">
        <f>_xlfn.IFERROR(VLOOKUP(C105,'Base de Monedas'!A:B,2,0),"")</f>
        <v>Guaraní</v>
      </c>
      <c r="E105" s="546">
        <v>-19500</v>
      </c>
      <c r="F105" s="359" t="s">
        <v>927</v>
      </c>
      <c r="G105" s="359"/>
      <c r="H105" s="552">
        <v>44563</v>
      </c>
      <c r="I105" s="360" t="s">
        <v>408</v>
      </c>
      <c r="J105" s="359">
        <f>_xlfn.IFERROR(VLOOKUP(I105,'Base de Monedas'!G:H,2,0),"")</f>
      </c>
      <c r="K105" s="546">
        <v>-19500</v>
      </c>
      <c r="L105" s="359" t="s">
        <v>927</v>
      </c>
    </row>
    <row r="106" spans="1:11" s="543" customFormat="1" ht="15" customHeight="1">
      <c r="A106" s="544"/>
      <c r="C106" s="336"/>
      <c r="E106" s="562">
        <f>+E105</f>
        <v>-19500</v>
      </c>
      <c r="H106" s="545"/>
      <c r="I106" s="336"/>
      <c r="K106" s="562">
        <f>+K105</f>
        <v>-19500</v>
      </c>
    </row>
    <row r="107" spans="1:11" s="533" customFormat="1" ht="15" customHeight="1">
      <c r="A107" s="557" t="s">
        <v>948</v>
      </c>
      <c r="C107" s="336"/>
      <c r="E107" s="485"/>
      <c r="H107" s="545"/>
      <c r="I107" s="336"/>
      <c r="K107" s="485"/>
    </row>
    <row r="108" spans="1:11" s="543" customFormat="1" ht="15" customHeight="1">
      <c r="A108" s="161"/>
      <c r="C108" s="336"/>
      <c r="E108" s="485"/>
      <c r="H108" s="545"/>
      <c r="I108" s="336"/>
      <c r="K108" s="485"/>
    </row>
    <row r="109" spans="1:12" s="543" customFormat="1" ht="15" customHeight="1">
      <c r="A109" s="550" t="s">
        <v>935</v>
      </c>
      <c r="B109" s="161"/>
      <c r="C109" s="556"/>
      <c r="D109" s="161"/>
      <c r="E109" s="485"/>
      <c r="H109" s="161"/>
      <c r="I109" s="556"/>
      <c r="J109" s="161"/>
      <c r="K109" s="485"/>
      <c r="L109" s="648"/>
    </row>
    <row r="110" spans="1:12" s="543" customFormat="1" ht="15" customHeight="1">
      <c r="A110" s="623" t="s">
        <v>992</v>
      </c>
      <c r="B110" s="545"/>
      <c r="C110" s="336" t="s">
        <v>408</v>
      </c>
      <c r="D110" s="637" t="str">
        <f>_xlfn.IFERROR(VLOOKUP(C110,'Base de Monedas'!A:B,2,0),"")</f>
        <v>Guaraní</v>
      </c>
      <c r="E110" s="485">
        <v>0</v>
      </c>
      <c r="F110" s="637" t="s">
        <v>927</v>
      </c>
      <c r="H110" s="545">
        <v>44488</v>
      </c>
      <c r="I110" s="336" t="s">
        <v>408</v>
      </c>
      <c r="J110" s="648">
        <f>_xlfn.IFERROR(VLOOKUP(I110,'Base de Monedas'!G:H,2,0),"")</f>
      </c>
      <c r="K110" s="485">
        <v>-22937</v>
      </c>
      <c r="L110" s="648" t="s">
        <v>927</v>
      </c>
    </row>
    <row r="111" spans="1:12" s="543" customFormat="1" ht="15" customHeight="1">
      <c r="A111" s="551" t="s">
        <v>937</v>
      </c>
      <c r="B111" s="545"/>
      <c r="C111" s="336"/>
      <c r="E111" s="485"/>
      <c r="H111" s="545"/>
      <c r="I111" s="336"/>
      <c r="J111" s="648"/>
      <c r="K111" s="485"/>
      <c r="L111" s="648"/>
    </row>
    <row r="112" spans="1:12" s="543" customFormat="1" ht="15" customHeight="1">
      <c r="A112" s="551"/>
      <c r="B112" s="545"/>
      <c r="C112" s="336"/>
      <c r="E112" s="485"/>
      <c r="H112" s="545"/>
      <c r="I112" s="336"/>
      <c r="J112" s="648"/>
      <c r="K112" s="485"/>
      <c r="L112" s="648"/>
    </row>
    <row r="113" spans="1:12" s="543" customFormat="1" ht="15" customHeight="1">
      <c r="A113" s="555"/>
      <c r="B113" s="545"/>
      <c r="C113" s="336"/>
      <c r="E113" s="485"/>
      <c r="H113" s="545"/>
      <c r="I113" s="336"/>
      <c r="J113" s="648"/>
      <c r="K113" s="485"/>
      <c r="L113" s="648"/>
    </row>
    <row r="114" spans="1:12" s="543" customFormat="1" ht="15" customHeight="1">
      <c r="A114" s="550" t="s">
        <v>936</v>
      </c>
      <c r="B114" s="545"/>
      <c r="C114" s="336"/>
      <c r="E114" s="485"/>
      <c r="H114" s="545"/>
      <c r="I114" s="336"/>
      <c r="J114" s="648"/>
      <c r="K114" s="485"/>
      <c r="L114" s="648"/>
    </row>
    <row r="115" spans="1:12" s="543" customFormat="1" ht="15" customHeight="1">
      <c r="A115" s="544" t="s">
        <v>938</v>
      </c>
      <c r="B115" s="545"/>
      <c r="C115" s="336" t="s">
        <v>408</v>
      </c>
      <c r="D115" s="543" t="str">
        <f>_xlfn.IFERROR(VLOOKUP(C115,'Base de Monedas'!A:B,2,0),"")</f>
        <v>Guaraní</v>
      </c>
      <c r="E115" s="485">
        <v>0</v>
      </c>
      <c r="F115" s="543" t="s">
        <v>927</v>
      </c>
      <c r="H115" s="545"/>
      <c r="I115" s="336" t="s">
        <v>408</v>
      </c>
      <c r="J115" s="648">
        <f>_xlfn.IFERROR(VLOOKUP(I115,'Base de Monedas'!G:H,2,0),"")</f>
      </c>
      <c r="K115" s="485">
        <v>0</v>
      </c>
      <c r="L115" s="648" t="s">
        <v>927</v>
      </c>
    </row>
    <row r="116" spans="1:12" s="543" customFormat="1" ht="15" customHeight="1">
      <c r="A116" s="544" t="s">
        <v>938</v>
      </c>
      <c r="B116" s="545">
        <v>44917</v>
      </c>
      <c r="C116" s="336" t="s">
        <v>408</v>
      </c>
      <c r="D116" s="543" t="str">
        <f>_xlfn.IFERROR(VLOOKUP(C116,'Base de Monedas'!A:B,2,0),"")</f>
        <v>Guaraní</v>
      </c>
      <c r="E116" s="485">
        <f>-59319-50554-48400</f>
        <v>-158273</v>
      </c>
      <c r="F116" s="543" t="s">
        <v>927</v>
      </c>
      <c r="H116" s="545">
        <v>44551</v>
      </c>
      <c r="I116" s="336" t="s">
        <v>408</v>
      </c>
      <c r="J116" s="648">
        <f>_xlfn.IFERROR(VLOOKUP(I116,'Base de Monedas'!G:H,2,0),"")</f>
      </c>
      <c r="K116" s="485">
        <v>-158272</v>
      </c>
      <c r="L116" s="648" t="s">
        <v>927</v>
      </c>
    </row>
    <row r="117" spans="1:12" s="553" customFormat="1" ht="15" customHeight="1">
      <c r="A117" s="560"/>
      <c r="B117" s="552"/>
      <c r="C117" s="360"/>
      <c r="D117" s="359"/>
      <c r="E117" s="546"/>
      <c r="F117" s="359"/>
      <c r="G117" s="359"/>
      <c r="H117" s="552"/>
      <c r="I117" s="360"/>
      <c r="J117" s="359"/>
      <c r="K117" s="546"/>
      <c r="L117" s="359"/>
    </row>
    <row r="118" spans="1:11" s="322" customFormat="1" ht="15" customHeight="1">
      <c r="A118" s="127" t="s">
        <v>3</v>
      </c>
      <c r="C118" s="336"/>
      <c r="D118" s="322">
        <f>_xlfn.IFERROR(VLOOKUP(C118,'Base de Monedas'!A:B,2,0),"")</f>
      </c>
      <c r="E118" s="562">
        <f>SUM(E110:E116)+1</f>
        <v>-158272</v>
      </c>
      <c r="H118" s="545"/>
      <c r="I118" s="336"/>
      <c r="J118" s="322">
        <f>_xlfn.IFERROR(VLOOKUP(I118,'Base de Monedas'!A:B,2,0),"")</f>
      </c>
      <c r="K118" s="562">
        <f>SUM(K110:K117)-1</f>
        <v>-181210</v>
      </c>
    </row>
    <row r="119" spans="1:11" s="533" customFormat="1" ht="15" customHeight="1">
      <c r="A119" s="127" t="s">
        <v>969</v>
      </c>
      <c r="C119" s="336"/>
      <c r="E119" s="562">
        <f>+E31+E41+E68+E71+E80+E102+E106+E118</f>
        <v>6036000</v>
      </c>
      <c r="H119" s="127"/>
      <c r="I119" s="336"/>
      <c r="K119" s="562">
        <f>+K31+K41+K68+K71+K80+K102+K106+K118+2</f>
        <v>3528321</v>
      </c>
    </row>
    <row r="120" spans="1:11" s="533" customFormat="1" ht="15" customHeight="1">
      <c r="A120"/>
      <c r="B120" s="545"/>
      <c r="C120" s="545"/>
      <c r="D120" s="336"/>
      <c r="F120" s="485"/>
      <c r="H120" s="545"/>
      <c r="I120" s="336"/>
      <c r="K120" s="485"/>
    </row>
    <row r="121" spans="1:11" s="533" customFormat="1" ht="15" customHeight="1">
      <c r="A121" s="127" t="s">
        <v>813</v>
      </c>
      <c r="B121" s="545"/>
      <c r="C121" s="545"/>
      <c r="D121" s="336"/>
      <c r="F121" s="485"/>
      <c r="H121" s="545"/>
      <c r="I121" s="336"/>
      <c r="K121" s="485"/>
    </row>
    <row r="122" spans="1:11" s="533" customFormat="1" ht="15" customHeight="1">
      <c r="A122" s="26"/>
      <c r="B122" s="545"/>
      <c r="C122" s="545"/>
      <c r="D122" s="336"/>
      <c r="F122" s="485"/>
      <c r="H122" s="545"/>
      <c r="I122" s="336"/>
      <c r="K122" s="485"/>
    </row>
    <row r="123" spans="1:11" s="533" customFormat="1" ht="15" customHeight="1">
      <c r="A123" s="162" t="s">
        <v>819</v>
      </c>
      <c r="B123" s="545"/>
      <c r="C123" s="545"/>
      <c r="D123" s="336"/>
      <c r="F123" s="485"/>
      <c r="H123" s="545"/>
      <c r="I123" s="336"/>
      <c r="K123" s="485"/>
    </row>
    <row r="124" spans="1:12" s="533" customFormat="1" ht="15" customHeight="1">
      <c r="A124" s="533" t="s">
        <v>931</v>
      </c>
      <c r="B124" s="545">
        <v>44966</v>
      </c>
      <c r="C124" s="336" t="s">
        <v>408</v>
      </c>
      <c r="D124" s="648" t="str">
        <f>_xlfn.IFERROR(VLOOKUP(C124,'Base de Monedas'!A:B,2,0),"")</f>
        <v>Guaraní</v>
      </c>
      <c r="E124" s="485">
        <v>1000000</v>
      </c>
      <c r="F124" s="648" t="s">
        <v>927</v>
      </c>
      <c r="H124" s="545">
        <v>44792</v>
      </c>
      <c r="I124" s="336" t="s">
        <v>408</v>
      </c>
      <c r="J124" s="648">
        <f>_xlfn.IFERROR(VLOOKUP(I124,'Base de Monedas'!G:H,2,0),"")</f>
      </c>
      <c r="K124" s="485">
        <v>1000000</v>
      </c>
      <c r="L124" s="648" t="s">
        <v>927</v>
      </c>
    </row>
    <row r="125" spans="1:12" s="625" customFormat="1" ht="15" customHeight="1">
      <c r="A125" s="625" t="s">
        <v>931</v>
      </c>
      <c r="B125" s="545">
        <v>45152</v>
      </c>
      <c r="C125" s="336" t="s">
        <v>408</v>
      </c>
      <c r="D125" s="657" t="str">
        <f>_xlfn.IFERROR(VLOOKUP(C125,'Base de Monedas'!A:B,2,0),"")</f>
        <v>Guaraní</v>
      </c>
      <c r="E125" s="485">
        <v>1000000</v>
      </c>
      <c r="F125" s="657" t="s">
        <v>927</v>
      </c>
      <c r="H125" s="545">
        <v>44603</v>
      </c>
      <c r="I125" s="336" t="s">
        <v>408</v>
      </c>
      <c r="J125" s="648">
        <f>_xlfn.IFERROR(VLOOKUP(I125,'Base de Monedas'!G:H,2,0),"")</f>
      </c>
      <c r="K125" s="485">
        <v>1000000</v>
      </c>
      <c r="L125" s="648" t="s">
        <v>927</v>
      </c>
    </row>
    <row r="126" spans="1:11" s="657" customFormat="1" ht="15" customHeight="1">
      <c r="A126" s="657" t="s">
        <v>931</v>
      </c>
      <c r="B126" s="545">
        <v>45191</v>
      </c>
      <c r="C126" s="336" t="s">
        <v>408</v>
      </c>
      <c r="D126" s="657" t="str">
        <f>_xlfn.IFERROR(VLOOKUP(C126,'Base de Monedas'!A:B,2,0),"")</f>
        <v>Guaraní</v>
      </c>
      <c r="E126" s="485">
        <v>1000000</v>
      </c>
      <c r="F126" s="657" t="s">
        <v>927</v>
      </c>
      <c r="H126" s="545"/>
      <c r="I126" s="336"/>
      <c r="K126" s="485"/>
    </row>
    <row r="127" spans="1:12" s="625" customFormat="1" ht="15" customHeight="1">
      <c r="A127" s="625" t="s">
        <v>943</v>
      </c>
      <c r="B127" s="545">
        <v>45170</v>
      </c>
      <c r="C127" s="336" t="s">
        <v>408</v>
      </c>
      <c r="D127" s="653" t="str">
        <f>_xlfn.IFERROR(VLOOKUP(C127,'Base de Monedas'!A:B,2,0),"")</f>
        <v>Guaraní</v>
      </c>
      <c r="E127" s="485">
        <v>1000000</v>
      </c>
      <c r="F127" s="653" t="s">
        <v>927</v>
      </c>
      <c r="H127" s="545">
        <v>44809</v>
      </c>
      <c r="I127" s="336" t="s">
        <v>408</v>
      </c>
      <c r="J127" s="648">
        <f>_xlfn.IFERROR(VLOOKUP(I127,'Base de Monedas'!G:H,2,0),"")</f>
      </c>
      <c r="K127" s="485">
        <v>1000000</v>
      </c>
      <c r="L127" s="648" t="s">
        <v>927</v>
      </c>
    </row>
    <row r="128" spans="1:12" s="637" customFormat="1" ht="15" customHeight="1">
      <c r="A128" s="637" t="s">
        <v>943</v>
      </c>
      <c r="B128" s="545">
        <v>45128</v>
      </c>
      <c r="C128" s="336" t="s">
        <v>408</v>
      </c>
      <c r="D128" s="657" t="str">
        <f>_xlfn.IFERROR(VLOOKUP(C128,'Base de Monedas'!A:B,2,0),"")</f>
        <v>Guaraní</v>
      </c>
      <c r="E128" s="485">
        <v>1500000</v>
      </c>
      <c r="F128" s="657" t="s">
        <v>927</v>
      </c>
      <c r="H128" s="545">
        <v>44766</v>
      </c>
      <c r="I128" s="336" t="s">
        <v>408</v>
      </c>
      <c r="J128" s="648">
        <f>_xlfn.IFERROR(VLOOKUP(I128,'Base de Monedas'!G:H,2,0),"")</f>
      </c>
      <c r="K128" s="485">
        <v>1500000</v>
      </c>
      <c r="L128" s="648" t="s">
        <v>927</v>
      </c>
    </row>
    <row r="129" spans="1:12" s="625" customFormat="1" ht="15" customHeight="1">
      <c r="A129" s="637" t="s">
        <v>943</v>
      </c>
      <c r="B129" s="545">
        <v>45110</v>
      </c>
      <c r="C129" s="336" t="s">
        <v>408</v>
      </c>
      <c r="D129" s="657" t="str">
        <f>_xlfn.IFERROR(VLOOKUP(C129,'Base de Monedas'!A:B,2,0),"")</f>
        <v>Guaraní</v>
      </c>
      <c r="E129" s="485">
        <v>1000000</v>
      </c>
      <c r="F129" s="657" t="s">
        <v>927</v>
      </c>
      <c r="H129" s="545">
        <v>44750</v>
      </c>
      <c r="I129" s="336" t="s">
        <v>408</v>
      </c>
      <c r="J129" s="648">
        <f>_xlfn.IFERROR(VLOOKUP(I129,'Base de Monedas'!G:H,2,0),"")</f>
      </c>
      <c r="K129" s="485">
        <v>1000000</v>
      </c>
      <c r="L129" s="648" t="s">
        <v>927</v>
      </c>
    </row>
    <row r="130" spans="1:11" s="657" customFormat="1" ht="15" customHeight="1">
      <c r="A130" s="657" t="s">
        <v>943</v>
      </c>
      <c r="B130" s="545">
        <v>44720</v>
      </c>
      <c r="C130" s="336" t="s">
        <v>408</v>
      </c>
      <c r="D130" s="657" t="str">
        <f>_xlfn.IFERROR(VLOOKUP(C130,'Base de Monedas'!A:B,2,0),"")</f>
        <v>Guaraní</v>
      </c>
      <c r="E130" s="485">
        <v>1000000</v>
      </c>
      <c r="F130" s="657" t="s">
        <v>927</v>
      </c>
      <c r="H130" s="545"/>
      <c r="I130" s="336"/>
      <c r="K130" s="485"/>
    </row>
    <row r="131" spans="1:12" s="637" customFormat="1" ht="15" customHeight="1">
      <c r="A131" s="637" t="s">
        <v>929</v>
      </c>
      <c r="B131" s="545">
        <v>45184</v>
      </c>
      <c r="C131" s="336" t="s">
        <v>408</v>
      </c>
      <c r="D131" s="657" t="str">
        <f>_xlfn.IFERROR(VLOOKUP(C131,'Base de Monedas'!A:B,2,0),"")</f>
        <v>Guaraní</v>
      </c>
      <c r="E131" s="485">
        <v>1500000</v>
      </c>
      <c r="F131" s="657" t="s">
        <v>927</v>
      </c>
      <c r="H131" s="545">
        <v>44822</v>
      </c>
      <c r="I131" s="336" t="s">
        <v>408</v>
      </c>
      <c r="J131" s="648">
        <f>_xlfn.IFERROR(VLOOKUP(I131,'Base de Monedas'!G:H,2,0),"")</f>
      </c>
      <c r="K131" s="485">
        <v>1500000</v>
      </c>
      <c r="L131" s="648" t="s">
        <v>927</v>
      </c>
    </row>
    <row r="132" spans="1:12" s="657" customFormat="1" ht="15" customHeight="1">
      <c r="A132" s="657" t="s">
        <v>929</v>
      </c>
      <c r="B132" s="545">
        <v>45001</v>
      </c>
      <c r="C132" s="336" t="s">
        <v>408</v>
      </c>
      <c r="D132" s="657" t="str">
        <f>_xlfn.IFERROR(VLOOKUP(C132,'Base de Monedas'!A:B,2,0),"")</f>
        <v>Guaraní</v>
      </c>
      <c r="E132" s="485">
        <v>1300000</v>
      </c>
      <c r="F132" s="657" t="s">
        <v>927</v>
      </c>
      <c r="H132" s="545">
        <v>44758</v>
      </c>
      <c r="I132" s="336" t="s">
        <v>408</v>
      </c>
      <c r="K132" s="485">
        <v>1000000</v>
      </c>
      <c r="L132" s="657" t="s">
        <v>927</v>
      </c>
    </row>
    <row r="133" spans="1:12" s="637" customFormat="1" ht="15" customHeight="1">
      <c r="A133" s="637" t="s">
        <v>929</v>
      </c>
      <c r="B133" s="545">
        <v>44967</v>
      </c>
      <c r="C133" s="336" t="s">
        <v>408</v>
      </c>
      <c r="D133" s="657" t="str">
        <f>_xlfn.IFERROR(VLOOKUP(C133,'Base de Monedas'!A:B,2,0),"")</f>
        <v>Guaraní</v>
      </c>
      <c r="E133" s="485">
        <v>1000000</v>
      </c>
      <c r="F133" s="657" t="s">
        <v>927</v>
      </c>
      <c r="H133" s="545"/>
      <c r="I133" s="336" t="s">
        <v>408</v>
      </c>
      <c r="J133" s="648">
        <f>_xlfn.IFERROR(VLOOKUP(I133,'Base de Monedas'!G:H,2,0),"")</f>
      </c>
      <c r="K133" s="485"/>
      <c r="L133" s="648" t="s">
        <v>927</v>
      </c>
    </row>
    <row r="134" spans="1:12" s="625" customFormat="1" ht="15" customHeight="1">
      <c r="A134" s="625" t="s">
        <v>991</v>
      </c>
      <c r="B134" s="545">
        <v>45091</v>
      </c>
      <c r="C134" s="336" t="s">
        <v>408</v>
      </c>
      <c r="D134" s="653" t="str">
        <f>_xlfn.IFERROR(VLOOKUP(C134,'Base de Monedas'!A:B,2,0),"")</f>
        <v>Guaraní</v>
      </c>
      <c r="E134" s="485">
        <v>1080000</v>
      </c>
      <c r="F134" s="653" t="s">
        <v>927</v>
      </c>
      <c r="H134" s="545">
        <v>44833</v>
      </c>
      <c r="I134" s="336" t="s">
        <v>408</v>
      </c>
      <c r="J134" s="648">
        <f>_xlfn.IFERROR(VLOOKUP(I134,'Base de Monedas'!G:H,2,0),"")</f>
      </c>
      <c r="K134" s="485">
        <v>1000000</v>
      </c>
      <c r="L134" s="648" t="s">
        <v>927</v>
      </c>
    </row>
    <row r="135" spans="1:12" s="533" customFormat="1" ht="15" customHeight="1">
      <c r="A135" s="561" t="s">
        <v>991</v>
      </c>
      <c r="B135" s="552"/>
      <c r="C135" s="360"/>
      <c r="D135" s="359"/>
      <c r="E135" s="546"/>
      <c r="F135" s="359"/>
      <c r="G135" s="359"/>
      <c r="H135" s="552">
        <v>44728</v>
      </c>
      <c r="I135" s="360" t="s">
        <v>408</v>
      </c>
      <c r="J135" s="359">
        <f>_xlfn.IFERROR(VLOOKUP(I135,'Base de Monedas'!G:H,2,0),"")</f>
      </c>
      <c r="K135" s="546">
        <v>900000</v>
      </c>
      <c r="L135" s="359" t="s">
        <v>927</v>
      </c>
    </row>
    <row r="136" spans="1:11" s="533" customFormat="1" ht="15" customHeight="1">
      <c r="A136" s="357"/>
      <c r="B136" s="545"/>
      <c r="C136" s="545"/>
      <c r="D136" s="336"/>
      <c r="E136" s="562">
        <f>SUM(E124:E135)</f>
        <v>12380000</v>
      </c>
      <c r="F136" s="485"/>
      <c r="H136" s="545"/>
      <c r="I136" s="336"/>
      <c r="K136" s="485">
        <f>SUM(K124:K135)</f>
        <v>9900000</v>
      </c>
    </row>
    <row r="137" spans="1:11" s="553" customFormat="1" ht="15" customHeight="1">
      <c r="A137" s="357"/>
      <c r="B137" s="545"/>
      <c r="C137" s="545"/>
      <c r="D137" s="336"/>
      <c r="E137" s="485"/>
      <c r="F137" s="485"/>
      <c r="H137" s="545"/>
      <c r="I137" s="336"/>
      <c r="K137" s="485"/>
    </row>
    <row r="138" spans="1:11" s="533" customFormat="1" ht="15" customHeight="1">
      <c r="A138" s="547" t="s">
        <v>932</v>
      </c>
      <c r="B138" s="545"/>
      <c r="C138" s="545"/>
      <c r="D138" s="336"/>
      <c r="E138" s="485"/>
      <c r="F138" s="485"/>
      <c r="H138" s="545"/>
      <c r="I138" s="336"/>
      <c r="K138" s="485"/>
    </row>
    <row r="139" spans="1:12" s="533" customFormat="1" ht="15" customHeight="1">
      <c r="A139" s="561" t="s">
        <v>933</v>
      </c>
      <c r="B139" s="552">
        <v>45290</v>
      </c>
      <c r="C139" s="360" t="s">
        <v>408</v>
      </c>
      <c r="D139" s="359" t="str">
        <f>_xlfn.IFERROR(VLOOKUP(C139,'Base de Monedas'!A:B,2,0),"")</f>
        <v>Guaraní</v>
      </c>
      <c r="E139" s="546">
        <v>650000</v>
      </c>
      <c r="F139" s="359" t="s">
        <v>927</v>
      </c>
      <c r="G139" s="359"/>
      <c r="H139" s="552">
        <v>44563</v>
      </c>
      <c r="I139" s="360" t="s">
        <v>408</v>
      </c>
      <c r="J139" s="359">
        <f>_xlfn.IFERROR(VLOOKUP(I139,'Base de Monedas'!G:H,2,0),"")</f>
      </c>
      <c r="K139" s="546">
        <v>650000</v>
      </c>
      <c r="L139" s="359" t="s">
        <v>927</v>
      </c>
    </row>
    <row r="140" spans="1:11" s="533" customFormat="1" ht="15" customHeight="1">
      <c r="A140" s="357"/>
      <c r="B140" s="545"/>
      <c r="C140" s="545"/>
      <c r="D140" s="336"/>
      <c r="E140" s="562">
        <f>+E139</f>
        <v>650000</v>
      </c>
      <c r="F140" s="485"/>
      <c r="H140" s="545"/>
      <c r="I140" s="336"/>
      <c r="K140" s="562">
        <f>+K139</f>
        <v>650000</v>
      </c>
    </row>
    <row r="141" spans="1:11" s="553" customFormat="1" ht="15" customHeight="1">
      <c r="A141" s="357"/>
      <c r="B141" s="545"/>
      <c r="C141" s="545"/>
      <c r="D141" s="336"/>
      <c r="E141" s="562"/>
      <c r="F141" s="485"/>
      <c r="H141" s="545"/>
      <c r="I141" s="336"/>
      <c r="K141" s="485"/>
    </row>
    <row r="142" spans="1:11" s="533" customFormat="1" ht="15" customHeight="1">
      <c r="A142" s="532" t="s">
        <v>934</v>
      </c>
      <c r="B142" s="545"/>
      <c r="C142" s="545"/>
      <c r="D142" s="336"/>
      <c r="E142" s="485"/>
      <c r="F142" s="485"/>
      <c r="H142" s="545"/>
      <c r="I142" s="336"/>
      <c r="K142" s="485"/>
    </row>
    <row r="143" spans="1:11" s="625" customFormat="1" ht="15" customHeight="1">
      <c r="A143" s="624"/>
      <c r="B143" s="545"/>
      <c r="C143" s="545"/>
      <c r="D143" s="336"/>
      <c r="E143" s="485"/>
      <c r="F143" s="485"/>
      <c r="H143" s="545"/>
      <c r="I143" s="336"/>
      <c r="K143" s="485"/>
    </row>
    <row r="144" spans="1:11" s="625" customFormat="1" ht="15" customHeight="1">
      <c r="A144" s="127" t="s">
        <v>936</v>
      </c>
      <c r="B144" s="545"/>
      <c r="C144" s="545"/>
      <c r="D144" s="336"/>
      <c r="E144" s="485"/>
      <c r="F144" s="485"/>
      <c r="H144" s="127" t="s">
        <v>935</v>
      </c>
      <c r="I144" s="336"/>
      <c r="K144" s="485"/>
    </row>
    <row r="145" spans="1:12" s="625" customFormat="1" ht="15" customHeight="1">
      <c r="A145" s="649" t="s">
        <v>1007</v>
      </c>
      <c r="B145" s="545">
        <v>45281</v>
      </c>
      <c r="C145" s="336" t="s">
        <v>408</v>
      </c>
      <c r="D145" s="648" t="str">
        <f>_xlfn.IFERROR(VLOOKUP(C145,'Base de Monedas'!A:B,2,0),"")</f>
        <v>Guaraní</v>
      </c>
      <c r="E145" s="485">
        <f>1760000</f>
        <v>1760000</v>
      </c>
      <c r="F145" s="485" t="s">
        <v>927</v>
      </c>
      <c r="H145" s="626"/>
      <c r="I145" s="336" t="s">
        <v>408</v>
      </c>
      <c r="J145" s="625" t="s">
        <v>941</v>
      </c>
      <c r="K145" s="485">
        <v>0</v>
      </c>
      <c r="L145" s="485" t="s">
        <v>927</v>
      </c>
    </row>
    <row r="146" spans="1:11" s="553" customFormat="1" ht="15" customHeight="1">
      <c r="A146" s="649" t="s">
        <v>939</v>
      </c>
      <c r="B146" s="545">
        <v>45645</v>
      </c>
      <c r="C146" s="336" t="s">
        <v>408</v>
      </c>
      <c r="D146" s="648" t="str">
        <f>_xlfn.IFERROR(VLOOKUP(C146,'Base de Monedas'!A:B,2,0),"")</f>
        <v>Guaraní</v>
      </c>
      <c r="E146" s="485">
        <f>1980000</f>
        <v>1980000</v>
      </c>
      <c r="F146" s="485" t="s">
        <v>927</v>
      </c>
      <c r="H146" s="545"/>
      <c r="I146" s="336"/>
      <c r="K146" s="485"/>
    </row>
    <row r="147" spans="1:11" s="533" customFormat="1" ht="15" customHeight="1">
      <c r="A147" s="127"/>
      <c r="B147" s="545"/>
      <c r="C147" s="545"/>
      <c r="D147" s="336"/>
      <c r="F147" s="485"/>
      <c r="H147" s="127" t="s">
        <v>936</v>
      </c>
      <c r="I147" s="545"/>
      <c r="J147" s="545"/>
      <c r="K147" s="336"/>
    </row>
    <row r="148" spans="1:12" s="322" customFormat="1" ht="15" customHeight="1">
      <c r="A148" s="534"/>
      <c r="B148" s="545"/>
      <c r="C148" s="336"/>
      <c r="D148" s="543"/>
      <c r="E148" s="485"/>
      <c r="F148" s="485"/>
      <c r="H148" s="545">
        <v>44917</v>
      </c>
      <c r="I148" s="336" t="s">
        <v>408</v>
      </c>
      <c r="J148" s="648">
        <f>_xlfn.IFERROR(VLOOKUP(I148,'Base de Monedas'!G:H,2,0),"")</f>
      </c>
      <c r="K148" s="485">
        <v>1760000</v>
      </c>
      <c r="L148" s="485" t="s">
        <v>927</v>
      </c>
    </row>
    <row r="149" spans="1:12" s="322" customFormat="1" ht="15" customHeight="1">
      <c r="A149" s="534"/>
      <c r="B149" s="545"/>
      <c r="C149" s="336"/>
      <c r="D149" s="543"/>
      <c r="E149" s="485"/>
      <c r="F149" s="485"/>
      <c r="H149" s="545">
        <v>45281</v>
      </c>
      <c r="I149" s="336" t="s">
        <v>408</v>
      </c>
      <c r="J149" s="648">
        <f>_xlfn.IFERROR(VLOOKUP(I149,'Base de Monedas'!G:H,2,0),"")</f>
      </c>
      <c r="K149" s="485">
        <f>1760000</f>
        <v>1760000</v>
      </c>
      <c r="L149" s="485" t="s">
        <v>927</v>
      </c>
    </row>
    <row r="150" spans="1:12" s="322" customFormat="1" ht="15" customHeight="1">
      <c r="A150" s="534"/>
      <c r="B150" s="545"/>
      <c r="C150" s="336"/>
      <c r="D150" s="543"/>
      <c r="E150" s="485"/>
      <c r="F150" s="485"/>
      <c r="H150" s="545">
        <v>45645</v>
      </c>
      <c r="I150" s="336" t="s">
        <v>408</v>
      </c>
      <c r="J150" s="648">
        <f>_xlfn.IFERROR(VLOOKUP(I150,'Base de Monedas'!G:H,2,0),"")</f>
      </c>
      <c r="K150" s="485">
        <f>1980000</f>
        <v>1980000</v>
      </c>
      <c r="L150" s="485" t="s">
        <v>927</v>
      </c>
    </row>
    <row r="151" spans="1:11" s="322" customFormat="1" ht="15" customHeight="1">
      <c r="A151" s="533"/>
      <c r="C151" s="336"/>
      <c r="D151" s="322">
        <f>_xlfn.IFERROR(VLOOKUP(C151,'Base de Monedas'!A:B,2,0),"")</f>
      </c>
      <c r="E151" s="485"/>
      <c r="H151" s="545"/>
      <c r="I151" s="336"/>
      <c r="J151" s="322">
        <f>_xlfn.IFERROR(VLOOKUP(I151,'Base de Monedas'!A:B,2,0),"")</f>
      </c>
      <c r="K151" s="485"/>
    </row>
    <row r="152" spans="1:13" s="322" customFormat="1" ht="15" customHeight="1">
      <c r="A152" s="357" t="s">
        <v>120</v>
      </c>
      <c r="B152" s="359"/>
      <c r="C152" s="360"/>
      <c r="D152" s="359">
        <f>_xlfn.IFERROR(VLOOKUP(C152,'Base de Monedas'!A:B,2,0),"")</f>
      </c>
      <c r="E152" s="546"/>
      <c r="F152" s="359"/>
      <c r="G152" s="359"/>
      <c r="H152" s="552"/>
      <c r="I152" s="359"/>
      <c r="J152" s="359"/>
      <c r="K152" s="546"/>
      <c r="L152" s="359"/>
      <c r="M152" s="161"/>
    </row>
    <row r="153" spans="1:13" s="553" customFormat="1" ht="15" customHeight="1">
      <c r="A153" s="357"/>
      <c r="B153" s="161"/>
      <c r="C153" s="556"/>
      <c r="D153" s="161"/>
      <c r="E153" s="562">
        <f>+E145+E146</f>
        <v>3740000</v>
      </c>
      <c r="F153" s="161"/>
      <c r="G153" s="161"/>
      <c r="H153" s="563"/>
      <c r="I153" s="161"/>
      <c r="J153" s="161"/>
      <c r="K153" s="565">
        <f>SUM(K148:K150)</f>
        <v>5500000</v>
      </c>
      <c r="L153" s="161"/>
      <c r="M153" s="161"/>
    </row>
    <row r="154" spans="1:11" s="322" customFormat="1" ht="15" customHeight="1">
      <c r="A154" s="162" t="s">
        <v>818</v>
      </c>
      <c r="C154" s="336"/>
      <c r="D154" s="322">
        <f>_xlfn.IFERROR(VLOOKUP(C154,'Base de Monedas'!A:B,2,0),"")</f>
      </c>
      <c r="E154" s="562"/>
      <c r="H154" s="545"/>
      <c r="I154" s="336"/>
      <c r="J154" s="322">
        <f>_xlfn.IFERROR(VLOOKUP(I154,'Base de Monedas'!A:B,2,0),"")</f>
      </c>
      <c r="K154" s="485"/>
    </row>
    <row r="155" spans="1:11" ht="15" customHeight="1">
      <c r="A155" s="322" t="s">
        <v>816</v>
      </c>
      <c r="E155" s="485"/>
      <c r="H155" s="545"/>
      <c r="I155" s="336"/>
      <c r="J155" s="322">
        <f>_xlfn.IFERROR(VLOOKUP(I155,'Base de Monedas'!H:I,2,0),"")</f>
      </c>
      <c r="K155" s="485"/>
    </row>
    <row r="156" spans="1:11" ht="15" customHeight="1">
      <c r="A156" s="322" t="s">
        <v>816</v>
      </c>
      <c r="E156" s="485"/>
      <c r="H156" s="545"/>
      <c r="K156" s="485"/>
    </row>
    <row r="157" spans="1:11" ht="15" customHeight="1">
      <c r="A157" s="357" t="s">
        <v>119</v>
      </c>
      <c r="E157" s="485"/>
      <c r="H157" s="545"/>
      <c r="K157" s="485"/>
    </row>
    <row r="158" spans="1:11" ht="15" customHeight="1">
      <c r="A158" s="322" t="s">
        <v>237</v>
      </c>
      <c r="E158" s="485"/>
      <c r="H158" s="545"/>
      <c r="K158" s="485"/>
    </row>
    <row r="159" spans="1:11" ht="15" customHeight="1">
      <c r="A159" s="357" t="s">
        <v>120</v>
      </c>
      <c r="E159" s="485"/>
      <c r="H159" s="545"/>
      <c r="K159" s="485"/>
    </row>
    <row r="160" spans="1:11" s="543" customFormat="1" ht="15" customHeight="1">
      <c r="A160" s="357"/>
      <c r="E160" s="485"/>
      <c r="H160" s="545"/>
      <c r="K160" s="485"/>
    </row>
    <row r="161" spans="1:11" ht="15" customHeight="1">
      <c r="A161" s="127" t="s">
        <v>820</v>
      </c>
      <c r="E161" s="485"/>
      <c r="H161" s="545"/>
      <c r="K161" s="485"/>
    </row>
    <row r="162" spans="1:12" s="620" customFormat="1" ht="15" customHeight="1">
      <c r="A162" s="558" t="s">
        <v>991</v>
      </c>
      <c r="B162" s="545"/>
      <c r="C162" s="556"/>
      <c r="D162" s="161"/>
      <c r="E162" s="485"/>
      <c r="H162" s="545">
        <v>44833</v>
      </c>
      <c r="I162" s="556" t="s">
        <v>408</v>
      </c>
      <c r="J162" s="161">
        <f>_xlfn.IFERROR(VLOOKUP(I162,'Base de Monedas'!G:H,2,0),"")</f>
      </c>
      <c r="K162" s="485">
        <v>99203</v>
      </c>
      <c r="L162" s="648" t="s">
        <v>927</v>
      </c>
    </row>
    <row r="163" spans="1:12" s="625" customFormat="1" ht="15" customHeight="1">
      <c r="A163" s="558" t="s">
        <v>991</v>
      </c>
      <c r="B163" s="545">
        <v>45091</v>
      </c>
      <c r="C163" s="336" t="s">
        <v>408</v>
      </c>
      <c r="D163" s="653" t="str">
        <f>_xlfn.IFERROR(VLOOKUP(C163,'Base de Monedas'!A:B,2,0),"")</f>
        <v>Guaraní</v>
      </c>
      <c r="E163" s="660">
        <v>66346</v>
      </c>
      <c r="F163" s="485" t="s">
        <v>927</v>
      </c>
      <c r="H163" s="545">
        <v>44728</v>
      </c>
      <c r="I163" s="556" t="s">
        <v>408</v>
      </c>
      <c r="J163" s="161">
        <f>_xlfn.IFERROR(VLOOKUP(I163,'Base de Monedas'!G:H,2,0),"")</f>
      </c>
      <c r="K163" s="485">
        <v>43336</v>
      </c>
      <c r="L163" s="648" t="s">
        <v>927</v>
      </c>
    </row>
    <row r="164" spans="1:12" s="625" customFormat="1" ht="15" customHeight="1">
      <c r="A164" s="637" t="s">
        <v>943</v>
      </c>
      <c r="B164" s="545">
        <v>45170</v>
      </c>
      <c r="C164" s="336" t="s">
        <v>408</v>
      </c>
      <c r="D164" s="653" t="str">
        <f>_xlfn.IFERROR(VLOOKUP(C164,'Base de Monedas'!A:B,2,0),"")</f>
        <v>Guaraní</v>
      </c>
      <c r="E164" s="660">
        <f>32548*3</f>
        <v>97644</v>
      </c>
      <c r="F164" s="485" t="s">
        <v>927</v>
      </c>
      <c r="H164" s="545">
        <v>44809</v>
      </c>
      <c r="I164" s="556" t="s">
        <v>408</v>
      </c>
      <c r="J164" s="161">
        <f>_xlfn.IFERROR(VLOOKUP(I164,'Base de Monedas'!G:H,2,0),"")</f>
      </c>
      <c r="K164" s="485">
        <v>61027</v>
      </c>
      <c r="L164" s="648" t="s">
        <v>927</v>
      </c>
    </row>
    <row r="165" spans="1:12" s="625" customFormat="1" ht="15" customHeight="1">
      <c r="A165" s="625" t="s">
        <v>943</v>
      </c>
      <c r="B165" s="545">
        <v>45128</v>
      </c>
      <c r="C165" s="336" t="s">
        <v>408</v>
      </c>
      <c r="D165" s="657" t="str">
        <f>_xlfn.IFERROR(VLOOKUP(C165,'Base de Monedas'!A:B,2,0),"")</f>
        <v>Guaraní</v>
      </c>
      <c r="E165" s="660">
        <f>(45974*3)</f>
        <v>137922</v>
      </c>
      <c r="F165" s="485" t="s">
        <v>927</v>
      </c>
      <c r="H165" s="545">
        <v>44766</v>
      </c>
      <c r="I165" s="556" t="s">
        <v>408</v>
      </c>
      <c r="J165" s="161">
        <f>_xlfn.IFERROR(VLOOKUP(I165,'Base de Monedas'!G:H,2,0),"")</f>
      </c>
      <c r="K165" s="485">
        <v>91541</v>
      </c>
      <c r="L165" s="648" t="s">
        <v>927</v>
      </c>
    </row>
    <row r="166" spans="1:12" s="625" customFormat="1" ht="15" customHeight="1">
      <c r="A166" s="637" t="s">
        <v>943</v>
      </c>
      <c r="B166" s="545">
        <v>45110</v>
      </c>
      <c r="C166" s="336" t="s">
        <v>408</v>
      </c>
      <c r="D166" s="657" t="str">
        <f>_xlfn.IFERROR(VLOOKUP(C166,'Base de Monedas'!A:B,2,0),"")</f>
        <v>Guaraní</v>
      </c>
      <c r="E166" s="660">
        <f>(30649*3)</f>
        <v>91947</v>
      </c>
      <c r="F166" s="485" t="s">
        <v>927</v>
      </c>
      <c r="H166" s="545">
        <v>44750</v>
      </c>
      <c r="I166" s="556" t="s">
        <v>408</v>
      </c>
      <c r="J166" s="161">
        <f>_xlfn.IFERROR(VLOOKUP(I166,'Base de Monedas'!G:H,2,0),"")</f>
      </c>
      <c r="K166" s="485">
        <v>61027</v>
      </c>
      <c r="L166" s="648" t="s">
        <v>927</v>
      </c>
    </row>
    <row r="167" spans="1:11" s="657" customFormat="1" ht="15" customHeight="1">
      <c r="A167" s="657" t="s">
        <v>943</v>
      </c>
      <c r="B167" s="545">
        <v>45085</v>
      </c>
      <c r="C167" s="336" t="s">
        <v>408</v>
      </c>
      <c r="D167" s="657" t="str">
        <f>_xlfn.IFERROR(VLOOKUP(C167,'Base de Monedas'!A:B,2,0),"")</f>
        <v>Guaraní</v>
      </c>
      <c r="E167" s="660">
        <f>29293*2</f>
        <v>58586</v>
      </c>
      <c r="F167" s="485" t="s">
        <v>927</v>
      </c>
      <c r="H167" s="545"/>
      <c r="I167" s="556"/>
      <c r="J167" s="161"/>
      <c r="K167" s="485"/>
    </row>
    <row r="168" spans="1:12" s="637" customFormat="1" ht="15" customHeight="1">
      <c r="A168" s="637" t="s">
        <v>929</v>
      </c>
      <c r="B168" s="545">
        <v>45184</v>
      </c>
      <c r="C168" s="336" t="s">
        <v>408</v>
      </c>
      <c r="D168" s="657" t="str">
        <f>_xlfn.IFERROR(VLOOKUP(C168,'Base de Monedas'!A:B,2,0),"")</f>
        <v>Guaraní</v>
      </c>
      <c r="E168" s="660">
        <f>44347*3</f>
        <v>133041</v>
      </c>
      <c r="F168" s="485" t="s">
        <v>927</v>
      </c>
      <c r="H168" s="545">
        <v>44822</v>
      </c>
      <c r="I168" s="556" t="s">
        <v>408</v>
      </c>
      <c r="J168" s="161">
        <f>_xlfn.IFERROR(VLOOKUP(I168,'Base de Monedas'!G:H,2,0),"")</f>
      </c>
      <c r="K168" s="485">
        <v>88438</v>
      </c>
      <c r="L168" s="648" t="s">
        <v>927</v>
      </c>
    </row>
    <row r="169" spans="1:12" s="637" customFormat="1" ht="15" customHeight="1">
      <c r="A169" s="637" t="s">
        <v>929</v>
      </c>
      <c r="B169" s="545">
        <v>45001</v>
      </c>
      <c r="C169" s="336" t="s">
        <v>408</v>
      </c>
      <c r="D169" s="657" t="str">
        <f>_xlfn.IFERROR(VLOOKUP(C169,'Base de Monedas'!A:B,2,0),"")</f>
        <v>Guaraní</v>
      </c>
      <c r="E169" s="660">
        <v>101079</v>
      </c>
      <c r="F169" s="485" t="s">
        <v>927</v>
      </c>
      <c r="H169" s="545">
        <v>44758</v>
      </c>
      <c r="I169" s="556" t="s">
        <v>408</v>
      </c>
      <c r="J169" s="161">
        <f>_xlfn.IFERROR(VLOOKUP(I169,'Base de Monedas'!G:H,2,0),"")</f>
      </c>
      <c r="K169" s="485">
        <v>61027</v>
      </c>
      <c r="L169" s="648" t="s">
        <v>927</v>
      </c>
    </row>
    <row r="170" spans="1:11" s="657" customFormat="1" ht="15" customHeight="1">
      <c r="A170" s="657" t="s">
        <v>929</v>
      </c>
      <c r="B170" s="545">
        <v>44967</v>
      </c>
      <c r="C170" s="336" t="s">
        <v>408</v>
      </c>
      <c r="D170" s="657" t="str">
        <f>_xlfn.IFERROR(VLOOKUP(C170,'Base de Monedas'!A:B,2,0),"")</f>
        <v>Guaraní</v>
      </c>
      <c r="E170" s="660">
        <v>68034</v>
      </c>
      <c r="F170" s="485" t="s">
        <v>927</v>
      </c>
      <c r="H170" s="545"/>
      <c r="I170" s="556"/>
      <c r="J170" s="161"/>
      <c r="K170" s="485"/>
    </row>
    <row r="171" spans="1:12" s="657" customFormat="1" ht="15" customHeight="1">
      <c r="A171" s="657" t="s">
        <v>931</v>
      </c>
      <c r="B171" s="545">
        <v>45191</v>
      </c>
      <c r="C171" s="336" t="s">
        <v>408</v>
      </c>
      <c r="D171" s="657" t="str">
        <f>_xlfn.IFERROR(VLOOKUP(C171,'Base de Monedas'!A:B,2,0),"")</f>
        <v>Guaraní</v>
      </c>
      <c r="E171" s="660">
        <v>135616</v>
      </c>
      <c r="F171" s="485" t="s">
        <v>927</v>
      </c>
      <c r="H171" s="545">
        <v>44792</v>
      </c>
      <c r="I171" s="556" t="s">
        <v>408</v>
      </c>
      <c r="J171" s="161"/>
      <c r="K171" s="485">
        <v>104500</v>
      </c>
      <c r="L171" s="657" t="s">
        <v>927</v>
      </c>
    </row>
    <row r="172" spans="1:12" s="657" customFormat="1" ht="15" customHeight="1">
      <c r="A172" s="657" t="s">
        <v>931</v>
      </c>
      <c r="B172" s="545">
        <v>45152</v>
      </c>
      <c r="C172" s="336" t="s">
        <v>408</v>
      </c>
      <c r="D172" s="657" t="str">
        <f>_xlfn.IFERROR(VLOOKUP(C172,'Base de Monedas'!A:B,2,0),"")</f>
        <v>Guaraní</v>
      </c>
      <c r="E172" s="660">
        <v>130192</v>
      </c>
      <c r="F172" s="485" t="s">
        <v>927</v>
      </c>
      <c r="H172" s="545">
        <v>44603</v>
      </c>
      <c r="I172" s="556" t="s">
        <v>408</v>
      </c>
      <c r="J172" s="161"/>
      <c r="K172" s="485">
        <v>102782</v>
      </c>
      <c r="L172" s="657" t="s">
        <v>927</v>
      </c>
    </row>
    <row r="173" spans="2:12" s="637" customFormat="1" ht="15" customHeight="1">
      <c r="B173" s="545">
        <v>44966</v>
      </c>
      <c r="C173" s="336" t="s">
        <v>408</v>
      </c>
      <c r="D173" s="648" t="str">
        <f>_xlfn.IFERROR(VLOOKUP(C173,'Base de Monedas'!A:B,2,0),"")</f>
        <v>Guaraní</v>
      </c>
      <c r="E173" s="660">
        <v>124767</v>
      </c>
      <c r="F173" s="485" t="s">
        <v>927</v>
      </c>
      <c r="H173" s="545"/>
      <c r="I173" s="556"/>
      <c r="J173" s="161">
        <f>_xlfn.IFERROR(VLOOKUP(I173,'Base de Monedas'!G:H,2,0),"")</f>
      </c>
      <c r="K173" s="485"/>
      <c r="L173" s="648"/>
    </row>
    <row r="174" spans="1:12" s="543" customFormat="1" ht="15" customHeight="1">
      <c r="A174" s="359"/>
      <c r="B174" s="552"/>
      <c r="C174" s="360"/>
      <c r="D174" s="359"/>
      <c r="E174" s="546"/>
      <c r="F174" s="546"/>
      <c r="G174" s="359"/>
      <c r="H174" s="552"/>
      <c r="I174" s="360"/>
      <c r="J174" s="359">
        <f>_xlfn.IFERROR(VLOOKUP(I174,'Base de Monedas'!G:H,2,0),"")</f>
      </c>
      <c r="K174" s="546"/>
      <c r="L174" s="546"/>
    </row>
    <row r="175" spans="2:11" s="553" customFormat="1" ht="15" customHeight="1">
      <c r="B175" s="545"/>
      <c r="C175" s="336"/>
      <c r="E175" s="562">
        <f>SUM(E162:E174)</f>
        <v>1145174</v>
      </c>
      <c r="F175" s="485"/>
      <c r="H175" s="545"/>
      <c r="K175" s="485">
        <f>SUM(K162:K174)+2</f>
        <v>712883</v>
      </c>
    </row>
    <row r="176" spans="1:11" s="543" customFormat="1" ht="15" customHeight="1">
      <c r="A176" s="127"/>
      <c r="E176" s="485"/>
      <c r="H176" s="545"/>
      <c r="K176" s="485"/>
    </row>
    <row r="177" spans="1:11" s="543" customFormat="1" ht="15" customHeight="1">
      <c r="A177" s="127" t="s">
        <v>949</v>
      </c>
      <c r="E177" s="485"/>
      <c r="H177" s="545"/>
      <c r="K177" s="485"/>
    </row>
    <row r="178" spans="1:12" s="543" customFormat="1" ht="15" customHeight="1">
      <c r="A178" s="564" t="s">
        <v>947</v>
      </c>
      <c r="B178" s="552">
        <v>45290</v>
      </c>
      <c r="C178" s="360" t="s">
        <v>408</v>
      </c>
      <c r="D178" s="359" t="str">
        <f>_xlfn.IFERROR(VLOOKUP(C178,'Base de Monedas'!A:B,2,0),"")</f>
        <v>Guaraní</v>
      </c>
      <c r="E178" s="546">
        <v>78000</v>
      </c>
      <c r="F178" s="546" t="s">
        <v>927</v>
      </c>
      <c r="G178" s="359"/>
      <c r="H178" s="552">
        <v>44563</v>
      </c>
      <c r="I178" s="360" t="s">
        <v>408</v>
      </c>
      <c r="J178" s="359">
        <f>_xlfn.IFERROR(VLOOKUP(I178,'Base de Monedas'!G:H,2,0),"")</f>
      </c>
      <c r="K178" s="546">
        <v>78000</v>
      </c>
      <c r="L178" s="546" t="s">
        <v>927</v>
      </c>
    </row>
    <row r="179" spans="1:11" s="553" customFormat="1" ht="15" customHeight="1">
      <c r="A179" s="558"/>
      <c r="B179" s="545"/>
      <c r="C179" s="336"/>
      <c r="E179" s="562">
        <f>+E178</f>
        <v>78000</v>
      </c>
      <c r="F179" s="485"/>
      <c r="H179" s="545"/>
      <c r="K179" s="562">
        <f>+K178</f>
        <v>78000</v>
      </c>
    </row>
    <row r="180" spans="1:11" s="543" customFormat="1" ht="15" customHeight="1">
      <c r="A180" s="127"/>
      <c r="E180" s="485"/>
      <c r="H180" s="545"/>
      <c r="K180" s="485"/>
    </row>
    <row r="181" spans="1:11" s="543" customFormat="1" ht="15" customHeight="1">
      <c r="A181" s="127" t="s">
        <v>950</v>
      </c>
      <c r="E181" s="485"/>
      <c r="H181" s="545"/>
      <c r="K181" s="485"/>
    </row>
    <row r="182" spans="1:11" s="553" customFormat="1" ht="15" customHeight="1">
      <c r="A182" s="127"/>
      <c r="E182" s="485"/>
      <c r="H182" s="545"/>
      <c r="K182" s="485"/>
    </row>
    <row r="183" spans="1:12" s="543" customFormat="1" ht="15" customHeight="1">
      <c r="A183" s="127" t="s">
        <v>936</v>
      </c>
      <c r="E183" s="485"/>
      <c r="H183" s="648"/>
      <c r="I183" s="648"/>
      <c r="J183" s="648"/>
      <c r="K183" s="485"/>
      <c r="L183" s="648"/>
    </row>
    <row r="184" spans="1:12" s="543" customFormat="1" ht="15" customHeight="1">
      <c r="A184" s="649" t="s">
        <v>1008</v>
      </c>
      <c r="B184" s="545">
        <v>45281</v>
      </c>
      <c r="C184" s="336" t="s">
        <v>408</v>
      </c>
      <c r="D184" s="648" t="str">
        <f>_xlfn.IFERROR(VLOOKUP(C184,'Base de Monedas'!A:B,2,0),"")</f>
        <v>Guaraní</v>
      </c>
      <c r="E184" s="485">
        <f>(50461*4)+1</f>
        <v>201845</v>
      </c>
      <c r="F184" s="485" t="s">
        <v>927</v>
      </c>
      <c r="H184" s="545">
        <v>44917</v>
      </c>
      <c r="I184" s="336" t="s">
        <v>408</v>
      </c>
      <c r="J184" s="648">
        <f>_xlfn.IFERROR(VLOOKUP(I184,'Base de Monedas'!G:H,2,0),"")</f>
      </c>
      <c r="K184" s="485">
        <v>635335</v>
      </c>
      <c r="L184" s="485" t="s">
        <v>927</v>
      </c>
    </row>
    <row r="185" spans="1:12" s="543" customFormat="1" ht="15" customHeight="1">
      <c r="A185" s="649" t="s">
        <v>1005</v>
      </c>
      <c r="B185" s="545">
        <v>45645</v>
      </c>
      <c r="C185" s="336" t="s">
        <v>408</v>
      </c>
      <c r="D185" s="648" t="str">
        <f>_xlfn.IFERROR(VLOOKUP(C185,'Base de Monedas'!A:B,2,0),"")</f>
        <v>Guaraní</v>
      </c>
      <c r="E185" s="485">
        <f>59237*8</f>
        <v>473896</v>
      </c>
      <c r="F185" s="485" t="s">
        <v>927</v>
      </c>
      <c r="H185" s="545">
        <v>45282</v>
      </c>
      <c r="I185" s="336" t="s">
        <v>408</v>
      </c>
      <c r="J185" s="648">
        <f>_xlfn.IFERROR(VLOOKUP(I185,'Base de Monedas'!G:H,2,0),"")</f>
      </c>
      <c r="K185" s="485">
        <v>438794</v>
      </c>
      <c r="L185" s="485" t="s">
        <v>927</v>
      </c>
    </row>
    <row r="186" spans="1:12" s="543" customFormat="1" ht="15" customHeight="1">
      <c r="A186" s="544" t="s">
        <v>938</v>
      </c>
      <c r="B186" s="545"/>
      <c r="C186" s="336"/>
      <c r="D186" s="648">
        <f>_xlfn.IFERROR(VLOOKUP(C186,'Base de Monedas'!A:B,2,0),"")</f>
      </c>
      <c r="E186" s="485">
        <v>0</v>
      </c>
      <c r="F186" s="485" t="s">
        <v>927</v>
      </c>
      <c r="H186" s="545">
        <v>45648</v>
      </c>
      <c r="I186" s="336" t="s">
        <v>408</v>
      </c>
      <c r="J186" s="648">
        <f>_xlfn.IFERROR(VLOOKUP(I186,'Base de Monedas'!G:H,2,0),"")</f>
      </c>
      <c r="K186" s="485">
        <v>236949</v>
      </c>
      <c r="L186" s="485" t="s">
        <v>927</v>
      </c>
    </row>
    <row r="187" spans="1:12" s="543" customFormat="1" ht="15" customHeight="1">
      <c r="A187" s="560"/>
      <c r="B187" s="552"/>
      <c r="C187" s="360"/>
      <c r="D187" s="359"/>
      <c r="E187" s="546"/>
      <c r="F187" s="546"/>
      <c r="G187" s="359"/>
      <c r="H187" s="552"/>
      <c r="I187" s="360"/>
      <c r="J187" s="359"/>
      <c r="K187" s="546"/>
      <c r="L187" s="546"/>
    </row>
    <row r="188" spans="1:11" s="543" customFormat="1" ht="15" customHeight="1">
      <c r="A188" s="127"/>
      <c r="E188" s="562">
        <f>SUM(E184:E187)+3</f>
        <v>675744</v>
      </c>
      <c r="H188" s="545"/>
      <c r="K188" s="562">
        <f>SUM(K184:K186)+1</f>
        <v>1311079</v>
      </c>
    </row>
    <row r="189" spans="1:11" s="553" customFormat="1" ht="15" customHeight="1">
      <c r="A189" s="127"/>
      <c r="E189" s="485"/>
      <c r="H189" s="545"/>
      <c r="K189" s="485"/>
    </row>
    <row r="190" spans="1:11" ht="15" customHeight="1">
      <c r="A190" s="127" t="s">
        <v>821</v>
      </c>
      <c r="E190" s="485"/>
      <c r="H190" s="545"/>
      <c r="K190" s="485"/>
    </row>
    <row r="191" spans="1:11" s="543" customFormat="1" ht="15" customHeight="1">
      <c r="A191" s="127" t="s">
        <v>951</v>
      </c>
      <c r="E191" s="485"/>
      <c r="H191" s="545"/>
      <c r="K191" s="485"/>
    </row>
    <row r="192" spans="1:12" s="620" customFormat="1" ht="15" customHeight="1">
      <c r="A192" s="558"/>
      <c r="B192" s="545"/>
      <c r="C192" s="336"/>
      <c r="E192" s="485"/>
      <c r="H192" s="545"/>
      <c r="I192" s="336" t="s">
        <v>408</v>
      </c>
      <c r="J192" s="648" t="s">
        <v>732</v>
      </c>
      <c r="K192" s="485"/>
      <c r="L192" s="648" t="s">
        <v>927</v>
      </c>
    </row>
    <row r="193" spans="1:12" s="625" customFormat="1" ht="15" customHeight="1">
      <c r="A193" s="558" t="s">
        <v>991</v>
      </c>
      <c r="B193" s="545">
        <v>45091</v>
      </c>
      <c r="C193" s="336" t="s">
        <v>408</v>
      </c>
      <c r="D193" s="653" t="str">
        <f>_xlfn.IFERROR(VLOOKUP(C193,'Base de Monedas'!A:B,2,0),"")</f>
        <v>Guaraní</v>
      </c>
      <c r="E193" s="485">
        <v>-69626</v>
      </c>
      <c r="F193" s="637" t="s">
        <v>927</v>
      </c>
      <c r="H193" s="545">
        <v>44833</v>
      </c>
      <c r="I193" s="336" t="s">
        <v>408</v>
      </c>
      <c r="J193" s="648" t="s">
        <v>732</v>
      </c>
      <c r="K193" s="485">
        <v>-74403</v>
      </c>
      <c r="L193" s="648" t="s">
        <v>927</v>
      </c>
    </row>
    <row r="194" spans="1:12" s="625" customFormat="1" ht="15" customHeight="1">
      <c r="A194" s="637" t="s">
        <v>991</v>
      </c>
      <c r="B194" s="545">
        <v>45170</v>
      </c>
      <c r="C194" s="336" t="s">
        <v>408</v>
      </c>
      <c r="D194" s="653" t="str">
        <f>_xlfn.IFERROR(VLOOKUP(C194,'Base de Monedas'!A:B,2,0),"")</f>
        <v>Guaraní</v>
      </c>
      <c r="E194" s="485">
        <f>-97644</f>
        <v>-97644</v>
      </c>
      <c r="F194" s="485" t="s">
        <v>927</v>
      </c>
      <c r="H194" s="545">
        <v>44728</v>
      </c>
      <c r="I194" s="336" t="s">
        <v>408</v>
      </c>
      <c r="J194" s="648" t="s">
        <v>732</v>
      </c>
      <c r="K194" s="485">
        <v>-45092</v>
      </c>
      <c r="L194" s="648" t="s">
        <v>927</v>
      </c>
    </row>
    <row r="195" spans="1:12" s="625" customFormat="1" ht="15" customHeight="1">
      <c r="A195" s="637" t="s">
        <v>943</v>
      </c>
      <c r="B195" s="545">
        <v>45128</v>
      </c>
      <c r="C195" s="336" t="s">
        <v>408</v>
      </c>
      <c r="D195" s="657" t="str">
        <f>_xlfn.IFERROR(VLOOKUP(C195,'Base de Monedas'!A:B,2,0),"")</f>
        <v>Guaraní</v>
      </c>
      <c r="E195" s="485">
        <v>-107273</v>
      </c>
      <c r="F195" s="485" t="s">
        <v>927</v>
      </c>
      <c r="H195" s="545">
        <v>44809</v>
      </c>
      <c r="I195" s="336" t="s">
        <v>408</v>
      </c>
      <c r="J195" s="648" t="s">
        <v>732</v>
      </c>
      <c r="K195" s="485">
        <v>-61027</v>
      </c>
      <c r="L195" s="648" t="s">
        <v>927</v>
      </c>
    </row>
    <row r="196" spans="1:12" s="625" customFormat="1" ht="15" customHeight="1">
      <c r="A196" s="558" t="s">
        <v>943</v>
      </c>
      <c r="B196" s="545">
        <v>45110</v>
      </c>
      <c r="C196" s="336" t="s">
        <v>408</v>
      </c>
      <c r="D196" s="657" t="str">
        <f>_xlfn.IFERROR(VLOOKUP(C196,'Base de Monedas'!A:B,2,0),"")</f>
        <v>Guaraní</v>
      </c>
      <c r="E196" s="485">
        <v>-71515</v>
      </c>
      <c r="F196" s="485" t="s">
        <v>927</v>
      </c>
      <c r="H196" s="545">
        <v>44766</v>
      </c>
      <c r="I196" s="336" t="s">
        <v>408</v>
      </c>
      <c r="J196" s="648" t="s">
        <v>732</v>
      </c>
      <c r="K196" s="485">
        <v>-71199</v>
      </c>
      <c r="L196" s="648" t="s">
        <v>927</v>
      </c>
    </row>
    <row r="197" spans="1:12" s="657" customFormat="1" ht="15" customHeight="1">
      <c r="A197" s="558" t="s">
        <v>943</v>
      </c>
      <c r="B197" s="545">
        <v>45085</v>
      </c>
      <c r="C197" s="336" t="s">
        <v>408</v>
      </c>
      <c r="D197" s="657" t="str">
        <f>_xlfn.IFERROR(VLOOKUP(C197,'Base de Monedas'!A:B,2,0),"")</f>
        <v>Guaraní</v>
      </c>
      <c r="E197" s="485">
        <v>-58586</v>
      </c>
      <c r="F197" s="485" t="s">
        <v>927</v>
      </c>
      <c r="H197" s="545">
        <v>44750</v>
      </c>
      <c r="I197" s="336" t="s">
        <v>408</v>
      </c>
      <c r="J197" s="657" t="s">
        <v>732</v>
      </c>
      <c r="K197" s="485">
        <v>-47466</v>
      </c>
      <c r="L197" s="657" t="s">
        <v>927</v>
      </c>
    </row>
    <row r="198" spans="1:12" s="637" customFormat="1" ht="15" customHeight="1">
      <c r="A198" s="558" t="s">
        <v>929</v>
      </c>
      <c r="B198" s="545">
        <v>45184</v>
      </c>
      <c r="C198" s="336" t="s">
        <v>408</v>
      </c>
      <c r="D198" s="657" t="str">
        <f>_xlfn.IFERROR(VLOOKUP(C198,'Base de Monedas'!A:B,2,0),"")</f>
        <v>Guaraní</v>
      </c>
      <c r="E198" s="485">
        <v>-133040</v>
      </c>
      <c r="F198" s="485" t="s">
        <v>927</v>
      </c>
      <c r="H198" s="545">
        <v>44758</v>
      </c>
      <c r="I198" s="336" t="s">
        <v>408</v>
      </c>
      <c r="J198" s="648" t="s">
        <v>732</v>
      </c>
      <c r="K198" s="485">
        <v>-47466</v>
      </c>
      <c r="L198" s="648" t="s">
        <v>927</v>
      </c>
    </row>
    <row r="199" spans="1:12" s="637" customFormat="1" ht="15" customHeight="1">
      <c r="A199" s="558" t="s">
        <v>929</v>
      </c>
      <c r="B199" s="545">
        <v>45001</v>
      </c>
      <c r="C199" s="336" t="s">
        <v>408</v>
      </c>
      <c r="D199" s="657" t="str">
        <f>_xlfn.IFERROR(VLOOKUP(C199,'Base de Monedas'!A:B,2,0),"")</f>
        <v>Guaraní</v>
      </c>
      <c r="E199" s="485">
        <v>-58963</v>
      </c>
      <c r="F199" s="485" t="s">
        <v>927</v>
      </c>
      <c r="H199" s="545">
        <v>44822</v>
      </c>
      <c r="I199" s="336" t="s">
        <v>408</v>
      </c>
      <c r="J199" s="648" t="s">
        <v>732</v>
      </c>
      <c r="K199" s="485">
        <v>-88767</v>
      </c>
      <c r="L199" s="648" t="s">
        <v>927</v>
      </c>
    </row>
    <row r="200" spans="1:11" s="657" customFormat="1" ht="15" customHeight="1">
      <c r="A200" s="558" t="s">
        <v>929</v>
      </c>
      <c r="B200" s="545">
        <v>44967</v>
      </c>
      <c r="C200" s="336" t="s">
        <v>408</v>
      </c>
      <c r="D200" s="657" t="str">
        <f>_xlfn.IFERROR(VLOOKUP(C200,'Base de Monedas'!A:B,2,0),"")</f>
        <v>Guaraní</v>
      </c>
      <c r="E200" s="485">
        <v>-19438</v>
      </c>
      <c r="F200" s="485" t="s">
        <v>927</v>
      </c>
      <c r="H200" s="545"/>
      <c r="I200" s="336" t="s">
        <v>408</v>
      </c>
      <c r="K200" s="485"/>
    </row>
    <row r="201" spans="1:11" s="657" customFormat="1" ht="15" customHeight="1">
      <c r="A201" s="558"/>
      <c r="B201" s="545"/>
      <c r="C201" s="336"/>
      <c r="E201" s="485"/>
      <c r="F201" s="485"/>
      <c r="H201" s="545"/>
      <c r="I201" s="336"/>
      <c r="K201" s="485"/>
    </row>
    <row r="202" spans="1:12" s="657" customFormat="1" ht="15" customHeight="1">
      <c r="A202" s="558" t="s">
        <v>931</v>
      </c>
      <c r="B202" s="545">
        <v>44966</v>
      </c>
      <c r="C202" s="336" t="s">
        <v>408</v>
      </c>
      <c r="D202" s="657" t="str">
        <f>_xlfn.IFERROR(VLOOKUP(C202,'Base de Monedas'!A:B,2,0),"")</f>
        <v>Guaraní</v>
      </c>
      <c r="E202" s="485">
        <v>-20795</v>
      </c>
      <c r="F202" s="485" t="s">
        <v>927</v>
      </c>
      <c r="H202" s="545">
        <v>44792</v>
      </c>
      <c r="I202" s="336" t="s">
        <v>408</v>
      </c>
      <c r="J202" s="657" t="s">
        <v>941</v>
      </c>
      <c r="K202" s="485">
        <v>-69667</v>
      </c>
      <c r="L202" s="657" t="s">
        <v>927</v>
      </c>
    </row>
    <row r="203" spans="1:12" s="657" customFormat="1" ht="15" customHeight="1">
      <c r="A203" s="558" t="s">
        <v>931</v>
      </c>
      <c r="B203" s="545">
        <v>45152</v>
      </c>
      <c r="C203" s="336" t="s">
        <v>408</v>
      </c>
      <c r="D203" s="657" t="str">
        <f>_xlfn.IFERROR(VLOOKUP(C203,'Base de Monedas'!A:B,2,0),"")</f>
        <v>Guaraní</v>
      </c>
      <c r="E203" s="485">
        <v>-86795</v>
      </c>
      <c r="F203" s="485" t="s">
        <v>927</v>
      </c>
      <c r="H203" s="545">
        <v>44603</v>
      </c>
      <c r="I203" s="336" t="s">
        <v>408</v>
      </c>
      <c r="J203" s="657" t="s">
        <v>941</v>
      </c>
      <c r="K203" s="485">
        <v>-17130</v>
      </c>
      <c r="L203" s="657" t="s">
        <v>927</v>
      </c>
    </row>
    <row r="204" spans="1:12" s="625" customFormat="1" ht="15" customHeight="1">
      <c r="A204" s="558" t="s">
        <v>931</v>
      </c>
      <c r="B204" s="545">
        <v>45191</v>
      </c>
      <c r="C204" s="336" t="s">
        <v>408</v>
      </c>
      <c r="D204" s="648" t="str">
        <f>_xlfn.IFERROR(VLOOKUP(C204,'Base de Monedas'!A:B,2,0),"")</f>
        <v>Guaraní</v>
      </c>
      <c r="E204" s="485">
        <v>-101712</v>
      </c>
      <c r="F204" s="485" t="s">
        <v>927</v>
      </c>
      <c r="H204" s="545"/>
      <c r="I204" s="336" t="s">
        <v>408</v>
      </c>
      <c r="J204" s="648" t="s">
        <v>732</v>
      </c>
      <c r="K204" s="485"/>
      <c r="L204" s="648"/>
    </row>
    <row r="205" spans="1:12" ht="15" customHeight="1">
      <c r="A205" s="359"/>
      <c r="B205" s="552"/>
      <c r="C205" s="360"/>
      <c r="D205" s="359"/>
      <c r="E205" s="546"/>
      <c r="F205" s="546"/>
      <c r="G205" s="359"/>
      <c r="H205" s="552"/>
      <c r="I205" s="360" t="s">
        <v>408</v>
      </c>
      <c r="J205" s="359">
        <f>_xlfn.IFERROR(VLOOKUP(I205,'Base de Monedas'!G:H,2,0),"")</f>
      </c>
      <c r="K205" s="546"/>
      <c r="L205" s="546"/>
    </row>
    <row r="206" spans="2:11" s="553" customFormat="1" ht="15" customHeight="1">
      <c r="B206" s="545"/>
      <c r="C206" s="336"/>
      <c r="E206" s="562">
        <f>SUM(E192:E205)+1</f>
        <v>-825386</v>
      </c>
      <c r="F206" s="485"/>
      <c r="H206" s="545"/>
      <c r="K206" s="485">
        <f>SUM(K193:K205)</f>
        <v>-522217</v>
      </c>
    </row>
    <row r="207" spans="2:11" s="543" customFormat="1" ht="15" customHeight="1">
      <c r="B207" s="545"/>
      <c r="C207" s="336"/>
      <c r="E207" s="485"/>
      <c r="H207" s="545"/>
      <c r="K207" s="485"/>
    </row>
    <row r="208" spans="1:11" s="543" customFormat="1" ht="15" customHeight="1">
      <c r="A208" s="127" t="s">
        <v>946</v>
      </c>
      <c r="B208" s="545"/>
      <c r="C208" s="336"/>
      <c r="E208" s="485"/>
      <c r="H208" s="545"/>
      <c r="K208" s="485"/>
    </row>
    <row r="209" spans="1:12" s="543" customFormat="1" ht="15" customHeight="1">
      <c r="A209" s="560" t="s">
        <v>947</v>
      </c>
      <c r="B209" s="552">
        <v>45290</v>
      </c>
      <c r="C209" s="336" t="s">
        <v>408</v>
      </c>
      <c r="D209" s="648" t="str">
        <f>_xlfn.IFERROR(VLOOKUP(C209,'Base de Monedas'!A:B,2,0),"")</f>
        <v>Guaraní</v>
      </c>
      <c r="E209" s="546">
        <v>-78000</v>
      </c>
      <c r="F209" s="485" t="s">
        <v>927</v>
      </c>
      <c r="H209" s="552">
        <v>44563</v>
      </c>
      <c r="I209" s="360" t="s">
        <v>408</v>
      </c>
      <c r="J209" s="359">
        <f>_xlfn.IFERROR(VLOOKUP(I209,'[1]Base de Monedas'!G:H,2,0),"")</f>
      </c>
      <c r="K209" s="546">
        <v>-6500</v>
      </c>
      <c r="L209" s="546" t="s">
        <v>927</v>
      </c>
    </row>
    <row r="210" spans="1:11" s="553" customFormat="1" ht="15" customHeight="1">
      <c r="A210" s="554"/>
      <c r="B210" s="545"/>
      <c r="C210" s="336"/>
      <c r="E210" s="562">
        <f>+E209</f>
        <v>-78000</v>
      </c>
      <c r="F210" s="485"/>
      <c r="H210" s="545"/>
      <c r="K210" s="562">
        <f>+K209</f>
        <v>-6500</v>
      </c>
    </row>
    <row r="211" spans="2:11" s="543" customFormat="1" ht="15" customHeight="1">
      <c r="B211" s="545"/>
      <c r="C211" s="336"/>
      <c r="E211" s="485"/>
      <c r="H211" s="545"/>
      <c r="K211" s="485"/>
    </row>
    <row r="212" spans="1:11" s="543" customFormat="1" ht="15" customHeight="1">
      <c r="A212" s="557" t="s">
        <v>948</v>
      </c>
      <c r="B212" s="545"/>
      <c r="C212" s="336"/>
      <c r="E212" s="485"/>
      <c r="H212" s="545"/>
      <c r="K212" s="485"/>
    </row>
    <row r="213" spans="1:11" s="625" customFormat="1" ht="15" customHeight="1">
      <c r="A213" s="567"/>
      <c r="B213" s="545"/>
      <c r="C213" s="336"/>
      <c r="E213" s="485"/>
      <c r="H213" s="545"/>
      <c r="K213" s="485"/>
    </row>
    <row r="214" spans="1:13" s="543" customFormat="1" ht="15" customHeight="1">
      <c r="A214" s="127" t="s">
        <v>936</v>
      </c>
      <c r="E214" s="485"/>
      <c r="H214" s="127"/>
      <c r="I214" s="553"/>
      <c r="J214" s="553"/>
      <c r="K214" s="553"/>
      <c r="L214" s="485"/>
      <c r="M214" s="553"/>
    </row>
    <row r="215" spans="1:13" s="543" customFormat="1" ht="15" customHeight="1">
      <c r="A215" s="544" t="s">
        <v>938</v>
      </c>
      <c r="B215" s="545"/>
      <c r="C215" s="336"/>
      <c r="E215" s="485"/>
      <c r="F215" s="485"/>
      <c r="H215" s="545">
        <v>44916</v>
      </c>
      <c r="I215" s="336" t="s">
        <v>408</v>
      </c>
      <c r="J215" s="648">
        <f>_xlfn.IFERROR(VLOOKUP(I215,'Base de Monedas'!G:H,2,0),"")</f>
      </c>
      <c r="K215" s="485">
        <v>-633090</v>
      </c>
      <c r="L215" s="485" t="s">
        <v>927</v>
      </c>
      <c r="M215" s="485"/>
    </row>
    <row r="216" spans="1:13" s="543" customFormat="1" ht="15" customHeight="1">
      <c r="A216" s="649" t="s">
        <v>1004</v>
      </c>
      <c r="B216" s="545">
        <v>45281</v>
      </c>
      <c r="C216" s="336" t="s">
        <v>408</v>
      </c>
      <c r="D216" s="648" t="str">
        <f>_xlfn.IFERROR(VLOOKUP(C216,'Base de Monedas'!A:B,2,0),"")</f>
        <v>Guaraní</v>
      </c>
      <c r="E216" s="485">
        <v>-202215</v>
      </c>
      <c r="F216" s="485" t="s">
        <v>927</v>
      </c>
      <c r="H216" s="545">
        <v>45281</v>
      </c>
      <c r="I216" s="336" t="s">
        <v>408</v>
      </c>
      <c r="J216" s="648">
        <f>_xlfn.IFERROR(VLOOKUP(I216,'Base de Monedas'!G:H,2,0),"")</f>
      </c>
      <c r="K216" s="485">
        <v>-439490</v>
      </c>
      <c r="L216" s="485" t="s">
        <v>927</v>
      </c>
      <c r="M216" s="485"/>
    </row>
    <row r="217" spans="1:13" s="543" customFormat="1" ht="15" customHeight="1">
      <c r="A217" s="649" t="s">
        <v>1004</v>
      </c>
      <c r="B217" s="545">
        <v>45645</v>
      </c>
      <c r="C217" s="336" t="s">
        <v>408</v>
      </c>
      <c r="D217" s="648" t="str">
        <f>_xlfn.IFERROR(VLOOKUP(C217,'Base de Monedas'!A:B,2,0),"")</f>
        <v>Guaraní</v>
      </c>
      <c r="E217" s="485">
        <v>-474549</v>
      </c>
      <c r="F217" s="485" t="s">
        <v>927</v>
      </c>
      <c r="H217" s="545">
        <v>45645</v>
      </c>
      <c r="I217" s="336" t="s">
        <v>408</v>
      </c>
      <c r="J217" s="648">
        <f>_xlfn.IFERROR(VLOOKUP(I217,'Base de Monedas'!G:H,2,0),"")</f>
      </c>
      <c r="K217" s="485">
        <v>-237275</v>
      </c>
      <c r="L217" s="485" t="s">
        <v>927</v>
      </c>
      <c r="M217" s="485"/>
    </row>
    <row r="218" spans="1:13" s="543" customFormat="1" ht="15" customHeight="1">
      <c r="A218" s="560"/>
      <c r="B218" s="552"/>
      <c r="C218" s="360"/>
      <c r="D218" s="359"/>
      <c r="E218" s="546"/>
      <c r="F218" s="546"/>
      <c r="G218" s="359"/>
      <c r="H218" s="560"/>
      <c r="I218" s="552"/>
      <c r="J218" s="360"/>
      <c r="K218" s="546"/>
      <c r="L218" s="546"/>
      <c r="M218" s="546"/>
    </row>
    <row r="219" spans="2:13" s="543" customFormat="1" ht="15" customHeight="1">
      <c r="B219" s="545"/>
      <c r="C219" s="336"/>
      <c r="E219" s="562">
        <f>SUM(E215:E218)</f>
        <v>-676764</v>
      </c>
      <c r="H219" s="553"/>
      <c r="I219" s="545"/>
      <c r="J219" s="336"/>
      <c r="K219" s="562">
        <f>SUM(K215:K217)+2-4</f>
        <v>-1309857</v>
      </c>
      <c r="L219" s="562"/>
      <c r="M219" s="553"/>
    </row>
    <row r="220" spans="1:12" s="543" customFormat="1" ht="15" customHeight="1">
      <c r="A220" s="599" t="s">
        <v>970</v>
      </c>
      <c r="B220" s="545"/>
      <c r="C220" s="336"/>
      <c r="E220" s="562">
        <f>+E136+E140+E153+E175+E179+E188+E206+E210+E219-1</f>
        <v>17088767</v>
      </c>
      <c r="H220" s="545"/>
      <c r="K220" s="562">
        <f>+K136+K140+K153+K175+K179+K188+K206+K210+K219-7+6+1</f>
        <v>16313388</v>
      </c>
      <c r="L220" s="562"/>
    </row>
    <row r="221" spans="2:11" s="543" customFormat="1" ht="15" customHeight="1">
      <c r="B221" s="545"/>
      <c r="C221" s="336"/>
      <c r="E221" s="485"/>
      <c r="H221" s="545"/>
      <c r="K221" s="485"/>
    </row>
    <row r="222" spans="2:11" s="543" customFormat="1" ht="15" customHeight="1">
      <c r="B222" s="545"/>
      <c r="C222" s="336"/>
      <c r="E222" s="485"/>
      <c r="H222" s="545"/>
      <c r="K222" s="485"/>
    </row>
    <row r="223" spans="2:11" s="543" customFormat="1" ht="15" customHeight="1">
      <c r="B223" s="545"/>
      <c r="C223" s="336"/>
      <c r="E223" s="485"/>
      <c r="H223" s="545"/>
      <c r="K223" s="485"/>
    </row>
    <row r="224" spans="2:11" s="543" customFormat="1" ht="15" customHeight="1">
      <c r="B224" s="545"/>
      <c r="C224" s="336"/>
      <c r="E224" s="485"/>
      <c r="H224" s="545"/>
      <c r="K224" s="485"/>
    </row>
    <row r="225" spans="2:11" s="543" customFormat="1" ht="15" customHeight="1">
      <c r="B225" s="545"/>
      <c r="C225" s="336"/>
      <c r="E225" s="485"/>
      <c r="H225" s="545"/>
      <c r="K225" s="485"/>
    </row>
    <row r="226" spans="2:11" s="543" customFormat="1" ht="15" customHeight="1">
      <c r="B226" s="545"/>
      <c r="C226" s="336"/>
      <c r="E226" s="485"/>
      <c r="H226" s="545"/>
      <c r="K226" s="485"/>
    </row>
    <row r="227" spans="2:11" s="543" customFormat="1" ht="15" customHeight="1">
      <c r="B227" s="545"/>
      <c r="C227" s="336"/>
      <c r="E227" s="485"/>
      <c r="H227" s="545"/>
      <c r="K227" s="485"/>
    </row>
    <row r="228" spans="2:11" s="543" customFormat="1" ht="15" customHeight="1">
      <c r="B228" s="545"/>
      <c r="C228" s="336"/>
      <c r="E228" s="485"/>
      <c r="H228" s="545"/>
      <c r="K228" s="485"/>
    </row>
    <row r="229" spans="2:11" s="543" customFormat="1" ht="15" customHeight="1">
      <c r="B229" s="545"/>
      <c r="C229" s="336"/>
      <c r="E229" s="485"/>
      <c r="H229" s="545"/>
      <c r="K229" s="485"/>
    </row>
    <row r="230" spans="2:11" s="543" customFormat="1" ht="15" customHeight="1">
      <c r="B230" s="545"/>
      <c r="C230" s="336"/>
      <c r="E230" s="485"/>
      <c r="H230" s="545"/>
      <c r="K230" s="485"/>
    </row>
    <row r="231" spans="2:11" s="543" customFormat="1" ht="15" customHeight="1">
      <c r="B231" s="545"/>
      <c r="C231" s="336"/>
      <c r="E231" s="485"/>
      <c r="H231" s="545"/>
      <c r="K231" s="485"/>
    </row>
    <row r="232" spans="2:11" s="543" customFormat="1" ht="15" customHeight="1">
      <c r="B232" s="545"/>
      <c r="C232" s="336"/>
      <c r="E232" s="485"/>
      <c r="H232" s="545"/>
      <c r="K232" s="485"/>
    </row>
    <row r="233" spans="2:11" s="543" customFormat="1" ht="15" customHeight="1">
      <c r="B233" s="545"/>
      <c r="C233" s="336"/>
      <c r="E233" s="485"/>
      <c r="H233" s="545"/>
      <c r="K233" s="485"/>
    </row>
    <row r="234" spans="2:11" s="543" customFormat="1" ht="15" customHeight="1">
      <c r="B234" s="545"/>
      <c r="C234" s="336"/>
      <c r="E234" s="485"/>
      <c r="H234" s="545"/>
      <c r="K234" s="485"/>
    </row>
    <row r="235" spans="1:11" ht="15" customHeight="1">
      <c r="A235" s="161"/>
      <c r="E235" s="485"/>
      <c r="H235" s="545"/>
      <c r="K235" s="485"/>
    </row>
    <row r="236" spans="1:11" ht="15" customHeight="1">
      <c r="A236" s="161"/>
      <c r="E236" s="485"/>
      <c r="H236" s="545"/>
      <c r="K236" s="485"/>
    </row>
    <row r="237" spans="1:11" ht="15" customHeight="1">
      <c r="A237" s="567"/>
      <c r="E237" s="485"/>
      <c r="H237" s="545"/>
      <c r="K237" s="485"/>
    </row>
    <row r="238" spans="5:11" ht="15" customHeight="1">
      <c r="E238" s="485"/>
      <c r="H238" s="545"/>
      <c r="K238" s="485"/>
    </row>
    <row r="239" spans="5:11" ht="15" customHeight="1">
      <c r="E239" s="485"/>
      <c r="H239" s="545"/>
      <c r="K239" s="485"/>
    </row>
    <row r="240" spans="5:11" ht="15" customHeight="1">
      <c r="E240" s="485"/>
      <c r="H240" s="545"/>
      <c r="K240" s="485"/>
    </row>
    <row r="241" spans="8:11" ht="15" customHeight="1">
      <c r="H241" s="545"/>
      <c r="K241" s="485"/>
    </row>
    <row r="242" spans="8:11" ht="15" customHeight="1">
      <c r="H242" s="545"/>
      <c r="K242" s="485"/>
    </row>
    <row r="243" spans="8:11" ht="15" customHeight="1">
      <c r="H243" s="545"/>
      <c r="K243" s="485"/>
    </row>
    <row r="244" spans="8:11" ht="15" customHeight="1">
      <c r="H244" s="545"/>
      <c r="K244" s="485"/>
    </row>
    <row r="245" spans="8:11" ht="15" customHeight="1">
      <c r="H245" s="545"/>
      <c r="K245" s="485"/>
    </row>
    <row r="246" spans="8:11" ht="15" customHeight="1">
      <c r="H246" s="545"/>
      <c r="K246" s="485"/>
    </row>
    <row r="247" spans="8:11" ht="15" customHeight="1">
      <c r="H247" s="545"/>
      <c r="K247" s="485"/>
    </row>
    <row r="248" spans="8:11" ht="15" customHeight="1">
      <c r="H248" s="545"/>
      <c r="K248" s="485"/>
    </row>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sheetData>
  <sheetProtection/>
  <hyperlinks>
    <hyperlink ref="L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1.xml><?xml version="1.0" encoding="utf-8"?>
<worksheet xmlns="http://schemas.openxmlformats.org/spreadsheetml/2006/main" xmlns:r="http://schemas.openxmlformats.org/officeDocument/2006/relationships">
  <sheetPr codeName="Hoja20"/>
  <dimension ref="A1:AH19"/>
  <sheetViews>
    <sheetView zoomScalePageLayoutView="0" workbookViewId="0" topLeftCell="A1">
      <selection activeCell="B9" sqref="B9"/>
    </sheetView>
  </sheetViews>
  <sheetFormatPr defaultColWidth="11.421875" defaultRowHeight="15"/>
  <cols>
    <col min="1" max="1" width="44.7109375" style="154" customWidth="1"/>
    <col min="2" max="2" width="18.28125" style="154" customWidth="1"/>
    <col min="3" max="3" width="20.140625" style="154" customWidth="1"/>
    <col min="4" max="34" width="11.421875" style="154" customWidth="1"/>
  </cols>
  <sheetData>
    <row r="1" spans="1:4" ht="15">
      <c r="A1" s="154" t="str">
        <f>Indice!C1</f>
        <v>IMPORT CENTER S.A.</v>
      </c>
      <c r="D1" s="177" t="s">
        <v>129</v>
      </c>
    </row>
    <row r="5" spans="1:34" ht="15">
      <c r="A5" s="337" t="s">
        <v>309</v>
      </c>
      <c r="B5" s="337"/>
      <c r="C5" s="337"/>
      <c r="D5" s="337"/>
      <c r="T5"/>
      <c r="U5"/>
      <c r="V5"/>
      <c r="W5"/>
      <c r="X5"/>
      <c r="Y5"/>
      <c r="Z5"/>
      <c r="AA5"/>
      <c r="AB5"/>
      <c r="AC5"/>
      <c r="AD5"/>
      <c r="AE5"/>
      <c r="AF5"/>
      <c r="AG5"/>
      <c r="AH5"/>
    </row>
    <row r="7" spans="2:3" ht="15">
      <c r="B7" s="746" t="s">
        <v>291</v>
      </c>
      <c r="C7" s="746"/>
    </row>
    <row r="8" spans="1:34" ht="15">
      <c r="A8" s="325" t="s">
        <v>130</v>
      </c>
      <c r="B8" s="324">
        <f>_xlfn.IFERROR(IF(Indice!B6="","2XX2",YEAR(Indice!B6)),"2XX2")</f>
        <v>2022</v>
      </c>
      <c r="C8" s="324">
        <f>_xlfn.IFERROR(YEAR(Indice!B6-365),"2XX1")</f>
        <v>2021</v>
      </c>
      <c r="D8" s="170"/>
      <c r="T8"/>
      <c r="U8"/>
      <c r="V8"/>
      <c r="W8"/>
      <c r="X8"/>
      <c r="Y8"/>
      <c r="Z8"/>
      <c r="AA8"/>
      <c r="AB8"/>
      <c r="AC8"/>
      <c r="AD8"/>
      <c r="AE8"/>
      <c r="AF8"/>
      <c r="AG8"/>
      <c r="AH8"/>
    </row>
    <row r="9" spans="1:34" ht="15">
      <c r="A9" s="171" t="s">
        <v>110</v>
      </c>
      <c r="B9" s="171"/>
      <c r="C9" s="171"/>
      <c r="D9" s="171"/>
      <c r="T9"/>
      <c r="U9"/>
      <c r="V9"/>
      <c r="W9"/>
      <c r="X9"/>
      <c r="Y9"/>
      <c r="Z9"/>
      <c r="AA9"/>
      <c r="AB9"/>
      <c r="AC9"/>
      <c r="AD9"/>
      <c r="AE9"/>
      <c r="AF9"/>
      <c r="AG9"/>
      <c r="AH9"/>
    </row>
    <row r="10" spans="1:34" ht="15">
      <c r="A10" s="172" t="s">
        <v>131</v>
      </c>
      <c r="D10" s="172"/>
      <c r="T10"/>
      <c r="U10"/>
      <c r="V10"/>
      <c r="W10"/>
      <c r="X10"/>
      <c r="Y10"/>
      <c r="Z10"/>
      <c r="AA10"/>
      <c r="AB10"/>
      <c r="AC10"/>
      <c r="AD10"/>
      <c r="AE10"/>
      <c r="AF10"/>
      <c r="AG10"/>
      <c r="AH10"/>
    </row>
    <row r="11" spans="1:34" ht="15">
      <c r="A11" s="172" t="s">
        <v>115</v>
      </c>
      <c r="D11" s="172"/>
      <c r="T11"/>
      <c r="U11"/>
      <c r="V11"/>
      <c r="W11"/>
      <c r="X11"/>
      <c r="Y11"/>
      <c r="Z11"/>
      <c r="AA11"/>
      <c r="AB11"/>
      <c r="AC11"/>
      <c r="AD11"/>
      <c r="AE11"/>
      <c r="AF11"/>
      <c r="AG11"/>
      <c r="AH11"/>
    </row>
    <row r="12" spans="1:34" ht="15">
      <c r="A12" s="172" t="s">
        <v>132</v>
      </c>
      <c r="D12" s="172"/>
      <c r="T12"/>
      <c r="U12"/>
      <c r="V12"/>
      <c r="W12"/>
      <c r="X12"/>
      <c r="Y12"/>
      <c r="Z12"/>
      <c r="AA12"/>
      <c r="AB12"/>
      <c r="AC12"/>
      <c r="AD12"/>
      <c r="AE12"/>
      <c r="AF12"/>
      <c r="AG12"/>
      <c r="AH12"/>
    </row>
    <row r="13" spans="1:34" ht="15">
      <c r="A13" s="172" t="s">
        <v>133</v>
      </c>
      <c r="D13" s="172"/>
      <c r="T13"/>
      <c r="U13"/>
      <c r="V13"/>
      <c r="W13"/>
      <c r="X13"/>
      <c r="Y13"/>
      <c r="Z13"/>
      <c r="AA13"/>
      <c r="AB13"/>
      <c r="AC13"/>
      <c r="AD13"/>
      <c r="AE13"/>
      <c r="AF13"/>
      <c r="AG13"/>
      <c r="AH13"/>
    </row>
    <row r="14" spans="1:34" ht="15">
      <c r="A14" s="358" t="s">
        <v>66</v>
      </c>
      <c r="B14" s="171"/>
      <c r="C14" s="171"/>
      <c r="D14" s="171"/>
      <c r="T14"/>
      <c r="U14"/>
      <c r="V14"/>
      <c r="W14"/>
      <c r="X14"/>
      <c r="Y14"/>
      <c r="Z14"/>
      <c r="AA14"/>
      <c r="AB14"/>
      <c r="AC14"/>
      <c r="AD14"/>
      <c r="AE14"/>
      <c r="AF14"/>
      <c r="AG14"/>
      <c r="AH14"/>
    </row>
    <row r="15" spans="1:34" ht="15">
      <c r="A15" s="159" t="s">
        <v>127</v>
      </c>
      <c r="B15" s="281">
        <f>SUM($B$9:B14)</f>
        <v>0</v>
      </c>
      <c r="C15" s="281">
        <f>SUM($C$9:C14)</f>
        <v>0</v>
      </c>
      <c r="T15"/>
      <c r="U15"/>
      <c r="V15"/>
      <c r="W15"/>
      <c r="X15"/>
      <c r="Y15"/>
      <c r="Z15"/>
      <c r="AA15"/>
      <c r="AB15"/>
      <c r="AC15"/>
      <c r="AD15"/>
      <c r="AE15"/>
      <c r="AF15"/>
      <c r="AG15"/>
      <c r="AH15"/>
    </row>
    <row r="16" spans="1:34" ht="15">
      <c r="A16" s="173"/>
      <c r="D16" s="172"/>
      <c r="T16"/>
      <c r="U16"/>
      <c r="V16"/>
      <c r="W16"/>
      <c r="X16"/>
      <c r="Y16"/>
      <c r="Z16"/>
      <c r="AA16"/>
      <c r="AB16"/>
      <c r="AC16"/>
      <c r="AD16"/>
      <c r="AE16"/>
      <c r="AF16"/>
      <c r="AG16"/>
      <c r="AH16"/>
    </row>
    <row r="17" spans="1:34" ht="15">
      <c r="A17" s="172"/>
      <c r="D17" s="172"/>
      <c r="T17"/>
      <c r="U17"/>
      <c r="V17"/>
      <c r="W17"/>
      <c r="X17"/>
      <c r="Y17"/>
      <c r="Z17"/>
      <c r="AA17"/>
      <c r="AB17"/>
      <c r="AC17"/>
      <c r="AD17"/>
      <c r="AE17"/>
      <c r="AF17"/>
      <c r="AG17"/>
      <c r="AH17"/>
    </row>
    <row r="18" spans="1:34" ht="15">
      <c r="A18" s="173"/>
      <c r="D18" s="172"/>
      <c r="E18" s="171"/>
      <c r="F18" s="171"/>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1"/>
  <dimension ref="A1:AG13"/>
  <sheetViews>
    <sheetView zoomScalePageLayoutView="0" workbookViewId="0" topLeftCell="A1">
      <selection activeCell="C12" sqref="C12"/>
    </sheetView>
  </sheetViews>
  <sheetFormatPr defaultColWidth="11.421875" defaultRowHeight="15"/>
  <cols>
    <col min="1" max="1" width="48.421875" style="154" customWidth="1"/>
    <col min="2" max="3" width="22.7109375" style="154" customWidth="1"/>
    <col min="4" max="33" width="11.421875" style="154" customWidth="1"/>
  </cols>
  <sheetData>
    <row r="1" spans="1:6" ht="15">
      <c r="A1" s="154" t="str">
        <f>Indice!C1</f>
        <v>IMPORT CENTER S.A.</v>
      </c>
      <c r="F1" s="177" t="s">
        <v>129</v>
      </c>
    </row>
    <row r="4" spans="1:33" ht="15">
      <c r="A4" s="337" t="s">
        <v>310</v>
      </c>
      <c r="B4" s="337"/>
      <c r="C4" s="337"/>
      <c r="D4" s="337"/>
      <c r="T4"/>
      <c r="U4"/>
      <c r="V4"/>
      <c r="W4"/>
      <c r="X4"/>
      <c r="Y4"/>
      <c r="Z4"/>
      <c r="AA4"/>
      <c r="AB4"/>
      <c r="AC4"/>
      <c r="AD4"/>
      <c r="AE4"/>
      <c r="AF4"/>
      <c r="AG4"/>
    </row>
    <row r="6" spans="2:3" ht="15">
      <c r="B6" s="746" t="s">
        <v>291</v>
      </c>
      <c r="C6" s="746"/>
    </row>
    <row r="7" spans="1:3" ht="15">
      <c r="A7" s="325" t="s">
        <v>67</v>
      </c>
      <c r="B7" s="372">
        <f>_xlfn.IFERROR(IF(Indice!B6="","2XX2",YEAR(Indice!B6)),"2XX2")</f>
        <v>2022</v>
      </c>
      <c r="C7" s="372">
        <f>_xlfn.IFERROR(YEAR(Indice!B6-365),"2XX1")</f>
        <v>2021</v>
      </c>
    </row>
    <row r="8" spans="1:3" ht="15">
      <c r="A8" s="154" t="s">
        <v>134</v>
      </c>
      <c r="B8" s="568">
        <v>7623</v>
      </c>
      <c r="C8" s="568">
        <v>5073</v>
      </c>
    </row>
    <row r="9" spans="1:3" ht="15">
      <c r="A9" s="154" t="s">
        <v>135</v>
      </c>
      <c r="B9" s="568">
        <v>46539</v>
      </c>
      <c r="C9" s="568">
        <v>56350</v>
      </c>
    </row>
    <row r="10" spans="1:3" ht="15">
      <c r="A10" s="154" t="s">
        <v>136</v>
      </c>
      <c r="B10" s="568"/>
      <c r="C10" s="568"/>
    </row>
    <row r="11" spans="1:33" s="553" customFormat="1" ht="15">
      <c r="A11" s="154" t="s">
        <v>954</v>
      </c>
      <c r="B11" s="568">
        <v>123722</v>
      </c>
      <c r="C11" s="568">
        <v>119444</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 ht="15">
      <c r="A12" s="154" t="s">
        <v>137</v>
      </c>
      <c r="B12" s="568"/>
      <c r="C12" s="568"/>
    </row>
    <row r="13" spans="1:3" ht="15">
      <c r="A13" s="154" t="s">
        <v>3</v>
      </c>
      <c r="B13" s="281">
        <f>SUM($B$8:B12)-1</f>
        <v>177883</v>
      </c>
      <c r="C13" s="281">
        <f>SUM($C$8:C12)</f>
        <v>180867</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P15"/>
  <sheetViews>
    <sheetView zoomScalePageLayoutView="0" workbookViewId="0" topLeftCell="A1">
      <selection activeCell="C13" sqref="C13"/>
    </sheetView>
  </sheetViews>
  <sheetFormatPr defaultColWidth="11.421875" defaultRowHeight="15"/>
  <cols>
    <col min="1" max="1" width="51.57421875" style="154" customWidth="1"/>
    <col min="2" max="3" width="22.7109375" style="154" customWidth="1"/>
    <col min="4" max="16" width="11.421875" style="154" customWidth="1"/>
  </cols>
  <sheetData>
    <row r="1" spans="1:7" ht="15">
      <c r="A1" s="154" t="str">
        <f>Indice!C1</f>
        <v>IMPORT CENTER S.A.</v>
      </c>
      <c r="G1" s="177" t="s">
        <v>129</v>
      </c>
    </row>
    <row r="5" spans="1:4" ht="15">
      <c r="A5" s="337" t="s">
        <v>326</v>
      </c>
      <c r="B5" s="337"/>
      <c r="C5" s="337"/>
      <c r="D5" s="337"/>
    </row>
    <row r="6" spans="1:4" s="34" customFormat="1" ht="15">
      <c r="A6" s="178"/>
      <c r="B6" s="178"/>
      <c r="C6" s="178"/>
      <c r="D6" s="178"/>
    </row>
    <row r="7" spans="2:3" ht="15">
      <c r="B7" s="746" t="s">
        <v>291</v>
      </c>
      <c r="C7" s="746"/>
    </row>
    <row r="8" spans="1:3" ht="15">
      <c r="A8" s="326" t="s">
        <v>68</v>
      </c>
      <c r="B8" s="372">
        <f>_xlfn.IFERROR(IF(Indice!B6="","2XX2",YEAR(Indice!B6)),"2XX2")</f>
        <v>2022</v>
      </c>
      <c r="C8" s="372">
        <f>_xlfn.IFERROR(YEAR(Indice!B6-365),"2XX1")</f>
        <v>2021</v>
      </c>
    </row>
    <row r="9" spans="1:3" ht="15">
      <c r="A9" s="154" t="s">
        <v>138</v>
      </c>
      <c r="B9" s="568">
        <v>186734</v>
      </c>
      <c r="C9" s="568">
        <v>382220</v>
      </c>
    </row>
    <row r="10" spans="1:3" ht="15">
      <c r="A10" s="159" t="s">
        <v>139</v>
      </c>
      <c r="B10" s="568"/>
      <c r="C10" s="568"/>
    </row>
    <row r="11" spans="1:16" s="625" customFormat="1" ht="15">
      <c r="A11" s="154" t="s">
        <v>955</v>
      </c>
      <c r="B11" s="568">
        <v>0</v>
      </c>
      <c r="C11" s="568">
        <v>0</v>
      </c>
      <c r="D11" s="154"/>
      <c r="E11" s="154"/>
      <c r="F11" s="154"/>
      <c r="G11" s="154"/>
      <c r="H11" s="154"/>
      <c r="I11" s="154"/>
      <c r="J11" s="154"/>
      <c r="K11" s="154"/>
      <c r="L11" s="154"/>
      <c r="M11" s="154"/>
      <c r="N11" s="154"/>
      <c r="O11" s="154"/>
      <c r="P11" s="154"/>
    </row>
    <row r="12" spans="1:16" s="625" customFormat="1" ht="15">
      <c r="A12" s="154" t="s">
        <v>993</v>
      </c>
      <c r="B12" s="568">
        <v>4798</v>
      </c>
      <c r="C12" s="568">
        <v>5786</v>
      </c>
      <c r="D12" s="154"/>
      <c r="E12" s="154"/>
      <c r="F12" s="154"/>
      <c r="G12" s="154"/>
      <c r="H12" s="154"/>
      <c r="I12" s="154"/>
      <c r="J12" s="154"/>
      <c r="K12" s="154"/>
      <c r="L12" s="154"/>
      <c r="M12" s="154"/>
      <c r="N12" s="154"/>
      <c r="O12" s="154"/>
      <c r="P12" s="154"/>
    </row>
    <row r="13" spans="1:16" s="625" customFormat="1" ht="15">
      <c r="A13" s="154"/>
      <c r="B13" s="568"/>
      <c r="C13" s="568"/>
      <c r="D13" s="154"/>
      <c r="E13" s="154"/>
      <c r="F13" s="154"/>
      <c r="G13" s="154"/>
      <c r="H13" s="154"/>
      <c r="I13" s="154"/>
      <c r="J13" s="154"/>
      <c r="K13" s="154"/>
      <c r="L13" s="154"/>
      <c r="M13" s="154"/>
      <c r="N13" s="154"/>
      <c r="O13" s="154"/>
      <c r="P13" s="154"/>
    </row>
    <row r="14" spans="1:3" ht="15">
      <c r="A14" s="154" t="s">
        <v>140</v>
      </c>
      <c r="B14" s="568"/>
      <c r="C14" s="568"/>
    </row>
    <row r="15" spans="1:3" ht="15">
      <c r="A15" s="154" t="s">
        <v>3</v>
      </c>
      <c r="B15" s="569">
        <f>SUM($B$9:B14)</f>
        <v>191532</v>
      </c>
      <c r="C15" s="569">
        <f>SUM($C$9:C14)</f>
        <v>388006</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23"/>
  <dimension ref="A1:M13"/>
  <sheetViews>
    <sheetView showGridLines="0" zoomScalePageLayoutView="0" workbookViewId="0" topLeftCell="A1">
      <selection activeCell="A16" sqref="A16"/>
    </sheetView>
  </sheetViews>
  <sheetFormatPr defaultColWidth="11.421875" defaultRowHeight="15"/>
  <cols>
    <col min="1" max="1" width="30.421875" style="154" bestFit="1" customWidth="1"/>
    <col min="2" max="3" width="22.7109375" style="154" customWidth="1"/>
    <col min="4" max="13" width="11.421875" style="154" customWidth="1"/>
  </cols>
  <sheetData>
    <row r="1" spans="1:4" ht="15">
      <c r="A1" s="154" t="str">
        <f>Indice!C1</f>
        <v>IMPORT CENTER S.A.</v>
      </c>
      <c r="D1" s="177" t="s">
        <v>129</v>
      </c>
    </row>
    <row r="4" spans="1:4" ht="15">
      <c r="A4" s="750" t="s">
        <v>312</v>
      </c>
      <c r="B4" s="750"/>
      <c r="C4" s="750"/>
      <c r="D4" s="750"/>
    </row>
    <row r="6" spans="2:3" ht="15">
      <c r="B6" s="746" t="s">
        <v>291</v>
      </c>
      <c r="C6" s="746"/>
    </row>
    <row r="7" spans="1:3" ht="15">
      <c r="A7" s="755" t="s">
        <v>69</v>
      </c>
      <c r="B7" s="372">
        <f>_xlfn.IFERROR(IF(Indice!B6="","2XX2",YEAR(Indice!B6)),"2XX2")</f>
        <v>2022</v>
      </c>
      <c r="C7" s="372">
        <f>_xlfn.IFERROR(YEAR(Indice!B6-365),"2XX1")</f>
        <v>2021</v>
      </c>
    </row>
    <row r="8" spans="1:3" ht="15">
      <c r="A8" s="755"/>
      <c r="B8" s="445"/>
      <c r="C8" s="445"/>
    </row>
    <row r="9" spans="1:13" s="322" customFormat="1" ht="15">
      <c r="A9" s="361" t="s">
        <v>824</v>
      </c>
      <c r="B9" s="154"/>
      <c r="C9" s="154"/>
      <c r="D9" s="154"/>
      <c r="E9" s="154"/>
      <c r="F9" s="154"/>
      <c r="G9" s="154"/>
      <c r="H9" s="154"/>
      <c r="I9" s="154"/>
      <c r="J9" s="154"/>
      <c r="K9" s="154"/>
      <c r="L9" s="154"/>
      <c r="M9" s="154"/>
    </row>
    <row r="10" spans="1:13" s="322" customFormat="1" ht="15">
      <c r="A10" s="361" t="s">
        <v>826</v>
      </c>
      <c r="B10" s="154"/>
      <c r="C10" s="154"/>
      <c r="D10" s="154"/>
      <c r="E10" s="154"/>
      <c r="F10" s="154"/>
      <c r="G10" s="154"/>
      <c r="H10" s="154"/>
      <c r="I10" s="154"/>
      <c r="J10" s="154"/>
      <c r="K10" s="154"/>
      <c r="L10" s="154"/>
      <c r="M10" s="154"/>
    </row>
    <row r="11" spans="1:13" s="322" customFormat="1" ht="15">
      <c r="A11" s="361" t="s">
        <v>825</v>
      </c>
      <c r="B11" s="154"/>
      <c r="C11" s="154"/>
      <c r="D11" s="154"/>
      <c r="E11" s="154"/>
      <c r="F11" s="154"/>
      <c r="G11" s="154"/>
      <c r="H11" s="154"/>
      <c r="I11" s="154"/>
      <c r="J11" s="154"/>
      <c r="K11" s="154"/>
      <c r="L11" s="154"/>
      <c r="M11" s="154"/>
    </row>
    <row r="12" ht="15">
      <c r="A12" s="154" t="s">
        <v>313</v>
      </c>
    </row>
    <row r="13" spans="1:3" ht="15">
      <c r="A13" s="154" t="s">
        <v>3</v>
      </c>
      <c r="B13" s="281">
        <f>SUM($B$9:B12)</f>
        <v>0</v>
      </c>
      <c r="C13" s="281">
        <f>SUM($C$9:C12)</f>
        <v>0</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G20"/>
  <sheetViews>
    <sheetView showGridLines="0" zoomScalePageLayoutView="0" workbookViewId="0" topLeftCell="A1">
      <selection activeCell="B17" sqref="B17"/>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IMPORT CENTER S.A.</v>
      </c>
      <c r="D1" s="176" t="s">
        <v>129</v>
      </c>
    </row>
    <row r="3" spans="1:3" ht="15">
      <c r="A3" s="337" t="s">
        <v>314</v>
      </c>
      <c r="B3" s="337"/>
      <c r="C3" s="337"/>
    </row>
    <row r="4" spans="1:2" ht="15">
      <c r="A4" s="756" t="s">
        <v>291</v>
      </c>
      <c r="B4" s="756"/>
    </row>
    <row r="5" spans="1:7" ht="15">
      <c r="A5" s="11"/>
      <c r="E5" s="11"/>
      <c r="F5" s="323"/>
      <c r="G5" s="323"/>
    </row>
    <row r="6" spans="1:7" ht="15">
      <c r="A6" s="31" t="s">
        <v>65</v>
      </c>
      <c r="B6" s="427">
        <f>_xlfn.IFERROR(IF(Indice!B6="","2XX2",YEAR(Indice!B6)),"2XX2")</f>
        <v>2022</v>
      </c>
      <c r="C6" s="427">
        <f>_xlfn.IFERROR(YEAR(Indice!B6-365),"2XX1")</f>
        <v>2021</v>
      </c>
      <c r="E6" s="31" t="s">
        <v>813</v>
      </c>
      <c r="F6" s="427">
        <f>_xlfn.IFERROR(IF(Indice!B6="","2XX2",YEAR(Indice!B6)),"2XX2")</f>
        <v>2022</v>
      </c>
      <c r="G6" s="427">
        <f>_xlfn.IFERROR(YEAR(Indice!B6-365),"2XX1")</f>
        <v>2021</v>
      </c>
    </row>
    <row r="7" spans="1:7" ht="15">
      <c r="A7" s="32" t="s">
        <v>21</v>
      </c>
      <c r="B7" s="22">
        <v>0</v>
      </c>
      <c r="C7" s="22">
        <v>0</v>
      </c>
      <c r="E7" s="32" t="s">
        <v>21</v>
      </c>
      <c r="F7" s="11"/>
      <c r="G7" s="11"/>
    </row>
    <row r="8" spans="1:7" ht="15">
      <c r="A8" s="32" t="s">
        <v>20</v>
      </c>
      <c r="B8" s="570">
        <v>0</v>
      </c>
      <c r="C8" s="571"/>
      <c r="E8" s="11" t="s">
        <v>822</v>
      </c>
      <c r="F8" s="9"/>
      <c r="G8" s="27"/>
    </row>
    <row r="9" spans="1:7" ht="15">
      <c r="A9" s="32" t="s">
        <v>21</v>
      </c>
      <c r="B9" s="570">
        <v>0</v>
      </c>
      <c r="C9" s="571"/>
      <c r="E9" s="32" t="s">
        <v>21</v>
      </c>
      <c r="F9" s="9"/>
      <c r="G9" s="27"/>
    </row>
    <row r="10" spans="1:7" ht="15">
      <c r="A10" s="32" t="s">
        <v>142</v>
      </c>
      <c r="B10" s="570">
        <v>0</v>
      </c>
      <c r="C10" s="571"/>
      <c r="E10" s="32" t="s">
        <v>143</v>
      </c>
      <c r="F10" s="9"/>
      <c r="G10" s="27"/>
    </row>
    <row r="11" spans="1:7" ht="15">
      <c r="A11" s="11" t="s">
        <v>822</v>
      </c>
      <c r="B11" s="570"/>
      <c r="C11" s="571"/>
      <c r="E11" s="11" t="s">
        <v>822</v>
      </c>
      <c r="F11" s="9"/>
      <c r="G11" s="27"/>
    </row>
    <row r="12" spans="1:7" ht="15">
      <c r="A12" s="11" t="s">
        <v>141</v>
      </c>
      <c r="B12" s="570"/>
      <c r="C12" s="571"/>
      <c r="E12" s="11" t="s">
        <v>141</v>
      </c>
      <c r="F12" s="9"/>
      <c r="G12" s="27"/>
    </row>
    <row r="13" spans="1:7" s="553" customFormat="1" ht="15">
      <c r="A13" s="11" t="s">
        <v>994</v>
      </c>
      <c r="B13" s="570">
        <v>0</v>
      </c>
      <c r="C13" s="571">
        <v>0</v>
      </c>
      <c r="E13" s="11"/>
      <c r="F13" s="9"/>
      <c r="G13" s="27"/>
    </row>
    <row r="14" spans="1:7" s="559" customFormat="1" ht="15">
      <c r="A14" s="11" t="s">
        <v>995</v>
      </c>
      <c r="B14" s="570">
        <v>0</v>
      </c>
      <c r="C14" s="571">
        <v>0</v>
      </c>
      <c r="E14" s="11"/>
      <c r="F14" s="9"/>
      <c r="G14" s="27"/>
    </row>
    <row r="15" spans="1:7" s="625" customFormat="1" ht="15">
      <c r="A15" s="11" t="s">
        <v>996</v>
      </c>
      <c r="B15" s="570">
        <v>0</v>
      </c>
      <c r="C15" s="571">
        <v>0</v>
      </c>
      <c r="E15" s="11"/>
      <c r="F15" s="9"/>
      <c r="G15" s="27"/>
    </row>
    <row r="16" spans="1:7" ht="15">
      <c r="A16" s="11" t="s">
        <v>1011</v>
      </c>
      <c r="B16" s="570">
        <v>368000</v>
      </c>
      <c r="C16" s="571"/>
      <c r="E16" s="340" t="s">
        <v>66</v>
      </c>
      <c r="F16" s="322"/>
      <c r="G16" s="322"/>
    </row>
    <row r="17" spans="1:5" s="654" customFormat="1" ht="15">
      <c r="A17" s="340"/>
      <c r="B17" s="570"/>
      <c r="C17" s="571"/>
      <c r="E17" s="340"/>
    </row>
    <row r="18" spans="1:7" s="34" customFormat="1" ht="15.75" thickBot="1">
      <c r="A18" s="33" t="s">
        <v>18</v>
      </c>
      <c r="B18" s="572">
        <f>SUM(B7:B16)</f>
        <v>368000</v>
      </c>
      <c r="C18" s="572">
        <f>SUM(C7:C16)</f>
        <v>0</v>
      </c>
      <c r="E18" s="33" t="s">
        <v>18</v>
      </c>
      <c r="F18" s="30">
        <f>SUM(F8:F16)</f>
        <v>0</v>
      </c>
      <c r="G18" s="97">
        <f>SUM(G8:G16)</f>
        <v>0</v>
      </c>
    </row>
    <row r="19" spans="1:3" s="34" customFormat="1" ht="15.75" thickTop="1">
      <c r="A19" s="33"/>
      <c r="B19" s="98"/>
      <c r="C19" s="99"/>
    </row>
    <row r="20" spans="5:7" ht="15">
      <c r="E20" s="33"/>
      <c r="F20" s="11"/>
      <c r="G20" s="19"/>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6.xml><?xml version="1.0" encoding="utf-8"?>
<worksheet xmlns="http://schemas.openxmlformats.org/spreadsheetml/2006/main" xmlns:r="http://schemas.openxmlformats.org/officeDocument/2006/relationships">
  <sheetPr codeName="Hoja25"/>
  <dimension ref="A1:L11"/>
  <sheetViews>
    <sheetView showGridLines="0" zoomScalePageLayoutView="0" workbookViewId="0" topLeftCell="A1">
      <selection activeCell="C10" sqref="C10"/>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IMPORT CENTER S.A.</v>
      </c>
      <c r="D1" s="176" t="s">
        <v>129</v>
      </c>
    </row>
    <row r="4" spans="1:12" ht="15">
      <c r="A4" s="757" t="s">
        <v>316</v>
      </c>
      <c r="B4" s="757"/>
      <c r="C4" s="757"/>
      <c r="D4" s="757"/>
      <c r="E4" s="278"/>
      <c r="F4" s="278"/>
      <c r="G4" s="278"/>
      <c r="H4" s="278"/>
      <c r="I4" s="278"/>
      <c r="J4" s="278"/>
      <c r="K4" s="278"/>
      <c r="L4" s="278"/>
    </row>
    <row r="5" spans="5:12" ht="15">
      <c r="E5" s="67"/>
      <c r="F5" s="67"/>
      <c r="G5" s="67"/>
      <c r="H5" s="67"/>
      <c r="I5" s="67"/>
      <c r="J5" s="67"/>
      <c r="K5" s="67"/>
      <c r="L5" s="67"/>
    </row>
    <row r="6" spans="1:12" s="322" customFormat="1" ht="15">
      <c r="A6" s="322" t="s">
        <v>827</v>
      </c>
      <c r="B6" s="427">
        <f>_xlfn.IFERROR(IF(Indice!B6="","2XX2",YEAR(Indice!B6)),"2XX2")</f>
        <v>2022</v>
      </c>
      <c r="C6" s="427">
        <f>_xlfn.IFERROR(YEAR(Indice!B6-365),"2XX1")</f>
        <v>2021</v>
      </c>
      <c r="E6" s="67"/>
      <c r="F6" s="67"/>
      <c r="G6" s="67"/>
      <c r="H6" s="67"/>
      <c r="I6" s="67"/>
      <c r="J6" s="67"/>
      <c r="K6" s="67"/>
      <c r="L6" s="67"/>
    </row>
    <row r="7" spans="1:12" s="322" customFormat="1" ht="15">
      <c r="A7" s="322" t="s">
        <v>828</v>
      </c>
      <c r="B7" s="485">
        <v>20000000</v>
      </c>
      <c r="C7" s="485">
        <v>20000000</v>
      </c>
      <c r="E7" s="67"/>
      <c r="F7" s="67"/>
      <c r="G7" s="67"/>
      <c r="H7" s="67"/>
      <c r="I7" s="67"/>
      <c r="J7" s="67"/>
      <c r="K7" s="67"/>
      <c r="L7" s="67"/>
    </row>
    <row r="8" spans="1:12" s="322" customFormat="1" ht="15">
      <c r="A8" s="322" t="s">
        <v>831</v>
      </c>
      <c r="B8" s="485">
        <v>20000000</v>
      </c>
      <c r="C8" s="485">
        <f>+C7</f>
        <v>20000000</v>
      </c>
      <c r="E8" s="67"/>
      <c r="F8" s="67"/>
      <c r="G8" s="67"/>
      <c r="H8" s="67"/>
      <c r="I8" s="67"/>
      <c r="J8" s="67"/>
      <c r="K8" s="67"/>
      <c r="L8" s="67"/>
    </row>
    <row r="9" spans="1:12" s="322" customFormat="1" ht="15">
      <c r="A9" s="322" t="s">
        <v>830</v>
      </c>
      <c r="B9" s="485">
        <v>20000</v>
      </c>
      <c r="C9" s="485">
        <v>20000</v>
      </c>
      <c r="E9" s="67"/>
      <c r="F9" s="67"/>
      <c r="G9" s="67"/>
      <c r="H9" s="67"/>
      <c r="I9" s="67"/>
      <c r="J9" s="67"/>
      <c r="K9" s="67"/>
      <c r="L9" s="67"/>
    </row>
    <row r="10" spans="1:12" s="322" customFormat="1" ht="15">
      <c r="A10" s="359" t="s">
        <v>829</v>
      </c>
      <c r="B10" s="546">
        <v>1000000</v>
      </c>
      <c r="C10" s="546">
        <v>1000000</v>
      </c>
      <c r="E10" s="67"/>
      <c r="F10" s="67"/>
      <c r="G10" s="67"/>
      <c r="H10" s="67"/>
      <c r="I10" s="67"/>
      <c r="J10" s="67"/>
      <c r="K10" s="67"/>
      <c r="L10" s="67"/>
    </row>
    <row r="11" spans="1:3" ht="15">
      <c r="A11" t="s">
        <v>3</v>
      </c>
      <c r="B11" s="485">
        <f>+B8</f>
        <v>20000000</v>
      </c>
      <c r="C11" s="485">
        <f>+C8</f>
        <v>20000000</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codeName="Hoja26"/>
  <dimension ref="A1:O22"/>
  <sheetViews>
    <sheetView zoomScalePageLayoutView="0" workbookViewId="0" topLeftCell="A2">
      <selection activeCell="C23" sqref="C23"/>
    </sheetView>
  </sheetViews>
  <sheetFormatPr defaultColWidth="11.421875" defaultRowHeight="15"/>
  <cols>
    <col min="1" max="1" width="24.8515625" style="154" customWidth="1"/>
    <col min="2" max="2" width="18.57421875" style="154" customWidth="1"/>
    <col min="3" max="3" width="16.7109375" style="154" customWidth="1"/>
    <col min="4" max="15" width="11.421875" style="154" customWidth="1"/>
  </cols>
  <sheetData>
    <row r="1" spans="1:6" ht="15">
      <c r="A1" s="154" t="str">
        <f>Indice!C1</f>
        <v>IMPORT CENTER S.A.</v>
      </c>
      <c r="F1" s="177" t="s">
        <v>129</v>
      </c>
    </row>
    <row r="3" spans="10:11" ht="15">
      <c r="J3" s="34"/>
      <c r="K3" s="34"/>
    </row>
    <row r="4" spans="1:13" ht="15">
      <c r="A4" s="750" t="s">
        <v>318</v>
      </c>
      <c r="B4" s="750"/>
      <c r="C4" s="750"/>
      <c r="D4" s="750"/>
      <c r="E4" s="750"/>
      <c r="F4" s="750"/>
      <c r="G4" s="180"/>
      <c r="H4" s="180"/>
      <c r="I4" s="180"/>
      <c r="J4" s="34"/>
      <c r="K4" s="34"/>
      <c r="L4" s="180"/>
      <c r="M4" s="180"/>
    </row>
    <row r="5" spans="10:11" ht="15">
      <c r="J5" s="34"/>
      <c r="K5" s="34"/>
    </row>
    <row r="6" spans="2:3" ht="15">
      <c r="B6" s="746" t="s">
        <v>291</v>
      </c>
      <c r="C6" s="746"/>
    </row>
    <row r="7" spans="2:3" ht="15">
      <c r="B7" s="427">
        <f>_xlfn.IFERROR(IF(Indice!B6="","2XX2",YEAR(Indice!B6)),"2XX2")</f>
        <v>2022</v>
      </c>
      <c r="C7" s="427">
        <f>_xlfn.IFERROR(YEAR(Indice!B6-365),"2XX1")</f>
        <v>2021</v>
      </c>
    </row>
    <row r="8" spans="1:3" ht="15">
      <c r="A8" s="363" t="s">
        <v>145</v>
      </c>
      <c r="B8" s="573">
        <v>6300015</v>
      </c>
      <c r="C8" s="573">
        <v>6300015</v>
      </c>
    </row>
    <row r="9" spans="1:15" s="322" customFormat="1" ht="15">
      <c r="A9" s="159"/>
      <c r="B9" s="154"/>
      <c r="C9" s="154"/>
      <c r="D9" s="154"/>
      <c r="E9" s="154"/>
      <c r="F9" s="154"/>
      <c r="G9" s="154"/>
      <c r="H9" s="154"/>
      <c r="I9" s="154"/>
      <c r="J9" s="154"/>
      <c r="K9" s="154"/>
      <c r="L9" s="154"/>
      <c r="M9" s="154"/>
      <c r="N9" s="154"/>
      <c r="O9" s="154"/>
    </row>
    <row r="10" spans="1:15" s="322" customFormat="1" ht="15">
      <c r="A10" s="159"/>
      <c r="B10" s="154"/>
      <c r="C10" s="154"/>
      <c r="D10" s="154"/>
      <c r="E10" s="154"/>
      <c r="F10" s="154"/>
      <c r="G10" s="154"/>
      <c r="H10" s="154"/>
      <c r="I10" s="154"/>
      <c r="J10" s="154"/>
      <c r="K10" s="154"/>
      <c r="L10" s="154"/>
      <c r="M10" s="154"/>
      <c r="N10" s="154"/>
      <c r="O10" s="154"/>
    </row>
    <row r="11" spans="1:15" s="322" customFormat="1" ht="15">
      <c r="A11" s="159"/>
      <c r="B11" s="154"/>
      <c r="C11" s="154"/>
      <c r="D11" s="154"/>
      <c r="E11" s="154"/>
      <c r="F11" s="154"/>
      <c r="G11" s="154"/>
      <c r="H11" s="154"/>
      <c r="I11" s="154"/>
      <c r="J11" s="154"/>
      <c r="K11" s="154"/>
      <c r="L11" s="154"/>
      <c r="M11" s="154"/>
      <c r="N11" s="154"/>
      <c r="O11" s="154"/>
    </row>
    <row r="12" spans="1:3" ht="15">
      <c r="A12" s="363" t="s">
        <v>146</v>
      </c>
      <c r="B12" s="574">
        <v>1695044</v>
      </c>
      <c r="C12" s="574">
        <v>1524514</v>
      </c>
    </row>
    <row r="13" spans="1:15" s="322" customFormat="1" ht="15">
      <c r="A13" s="159"/>
      <c r="B13" s="154"/>
      <c r="C13" s="154"/>
      <c r="D13" s="154"/>
      <c r="E13" s="154"/>
      <c r="F13" s="154"/>
      <c r="G13" s="154"/>
      <c r="H13" s="154"/>
      <c r="I13" s="154"/>
      <c r="J13" s="154"/>
      <c r="K13" s="154"/>
      <c r="L13" s="154"/>
      <c r="M13" s="154"/>
      <c r="N13" s="154"/>
      <c r="O13" s="154"/>
    </row>
    <row r="14" spans="1:15" s="322" customFormat="1" ht="15">
      <c r="A14" s="159"/>
      <c r="B14" s="154"/>
      <c r="C14" s="154"/>
      <c r="D14" s="154"/>
      <c r="E14" s="154"/>
      <c r="F14" s="154"/>
      <c r="G14" s="154"/>
      <c r="H14" s="154"/>
      <c r="I14" s="154"/>
      <c r="J14" s="154"/>
      <c r="K14" s="154"/>
      <c r="L14" s="154"/>
      <c r="M14" s="154"/>
      <c r="N14" s="154"/>
      <c r="O14" s="154"/>
    </row>
    <row r="15" spans="1:15" s="322" customFormat="1" ht="15">
      <c r="A15" s="159"/>
      <c r="B15" s="154"/>
      <c r="C15" s="154"/>
      <c r="D15" s="154"/>
      <c r="E15" s="154"/>
      <c r="F15" s="154"/>
      <c r="G15" s="154"/>
      <c r="H15" s="154"/>
      <c r="I15" s="154"/>
      <c r="J15" s="154"/>
      <c r="K15" s="154"/>
      <c r="L15" s="154"/>
      <c r="M15" s="154"/>
      <c r="N15" s="154"/>
      <c r="O15" s="154"/>
    </row>
    <row r="16" spans="1:3" ht="15">
      <c r="A16" s="363" t="s">
        <v>147</v>
      </c>
      <c r="B16" s="157">
        <v>0</v>
      </c>
      <c r="C16" s="157">
        <v>0</v>
      </c>
    </row>
    <row r="17" spans="1:15" s="322" customFormat="1" ht="15">
      <c r="A17" s="159"/>
      <c r="B17" s="154"/>
      <c r="C17" s="154"/>
      <c r="D17" s="154"/>
      <c r="E17" s="154"/>
      <c r="F17" s="154"/>
      <c r="G17" s="154"/>
      <c r="H17" s="154"/>
      <c r="I17" s="154"/>
      <c r="J17" s="154"/>
      <c r="K17" s="154"/>
      <c r="L17" s="154"/>
      <c r="M17" s="154"/>
      <c r="N17" s="154"/>
      <c r="O17" s="154"/>
    </row>
    <row r="18" spans="1:15" s="322" customFormat="1" ht="15">
      <c r="A18" s="159"/>
      <c r="B18" s="154"/>
      <c r="C18" s="154"/>
      <c r="D18" s="154"/>
      <c r="E18" s="154"/>
      <c r="F18" s="154"/>
      <c r="G18" s="154"/>
      <c r="H18" s="154"/>
      <c r="I18" s="154"/>
      <c r="J18" s="154"/>
      <c r="K18" s="154"/>
      <c r="L18" s="154"/>
      <c r="M18" s="154"/>
      <c r="N18" s="154"/>
      <c r="O18" s="154"/>
    </row>
    <row r="19" spans="1:15" s="322" customFormat="1" ht="15">
      <c r="A19" s="159"/>
      <c r="B19" s="154"/>
      <c r="C19" s="154"/>
      <c r="D19" s="154"/>
      <c r="E19" s="154"/>
      <c r="F19" s="154"/>
      <c r="G19" s="154"/>
      <c r="H19" s="154"/>
      <c r="I19" s="154"/>
      <c r="J19" s="154"/>
      <c r="K19" s="154"/>
      <c r="L19" s="154"/>
      <c r="M19" s="154"/>
      <c r="N19" s="154"/>
      <c r="O19" s="154"/>
    </row>
    <row r="20" spans="1:3" ht="15">
      <c r="A20" s="363" t="s">
        <v>148</v>
      </c>
      <c r="B20" s="574">
        <f>+B21</f>
        <v>4622525</v>
      </c>
      <c r="C20" s="574">
        <f>+C21</f>
        <v>1882449</v>
      </c>
    </row>
    <row r="21" spans="1:3" ht="15">
      <c r="A21" s="362" t="s">
        <v>832</v>
      </c>
      <c r="B21" s="568">
        <v>4622525</v>
      </c>
      <c r="C21" s="568">
        <v>1882449</v>
      </c>
    </row>
    <row r="22" ht="15">
      <c r="A22" s="154" t="s">
        <v>833</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7"/>
  <dimension ref="A1:F8"/>
  <sheetViews>
    <sheetView zoomScalePageLayoutView="0" workbookViewId="0" topLeftCell="A1">
      <selection activeCell="B8" sqref="B8"/>
    </sheetView>
  </sheetViews>
  <sheetFormatPr defaultColWidth="11.421875" defaultRowHeight="15"/>
  <cols>
    <col min="1" max="1" width="34.421875" style="34" customWidth="1"/>
    <col min="2" max="3" width="19.00390625" style="34" customWidth="1"/>
    <col min="4" max="25" width="11.421875" style="34" customWidth="1"/>
  </cols>
  <sheetData>
    <row r="1" spans="1:6" ht="15">
      <c r="A1" s="34" t="str">
        <f>Indice!C1</f>
        <v>IMPORT CENTER S.A.</v>
      </c>
      <c r="F1" s="181" t="s">
        <v>129</v>
      </c>
    </row>
    <row r="4" spans="1:6" ht="15">
      <c r="A4" s="337" t="s">
        <v>317</v>
      </c>
      <c r="B4" s="337"/>
      <c r="C4" s="337"/>
      <c r="D4" s="337"/>
      <c r="E4" s="278"/>
      <c r="F4" s="279"/>
    </row>
    <row r="6" spans="2:3" ht="15">
      <c r="B6" s="746" t="s">
        <v>291</v>
      </c>
      <c r="C6" s="746"/>
    </row>
    <row r="7" spans="2:3" ht="15">
      <c r="B7" s="427">
        <f>_xlfn.IFERROR(IF(Indice!B6="","2XX2",YEAR(Indice!B6)),"2XX2")</f>
        <v>2022</v>
      </c>
      <c r="C7" s="427">
        <f>+_xlfn.IFERROR(YEAR(Indice!B6-365),"2XX1")</f>
        <v>2021</v>
      </c>
    </row>
    <row r="8" ht="15">
      <c r="A8" s="182" t="s">
        <v>70</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28"/>
  <dimension ref="A1:F10"/>
  <sheetViews>
    <sheetView zoomScalePageLayoutView="0" workbookViewId="0" topLeftCell="A1">
      <selection activeCell="C11" sqref="C11"/>
    </sheetView>
  </sheetViews>
  <sheetFormatPr defaultColWidth="11.421875" defaultRowHeight="15"/>
  <cols>
    <col min="1" max="1" width="40.7109375" style="34" customWidth="1"/>
    <col min="2" max="3" width="19.00390625" style="34" customWidth="1"/>
    <col min="4" max="32" width="11.421875" style="34" customWidth="1"/>
  </cols>
  <sheetData>
    <row r="1" spans="1:6" ht="15">
      <c r="A1" s="34" t="str">
        <f>Indice!C1</f>
        <v>IMPORT CENTER S.A.</v>
      </c>
      <c r="F1" s="181" t="s">
        <v>129</v>
      </c>
    </row>
    <row r="4" spans="1:6" ht="15">
      <c r="A4" s="337" t="s">
        <v>319</v>
      </c>
      <c r="B4" s="337"/>
      <c r="C4" s="337"/>
      <c r="D4" s="337"/>
      <c r="E4" s="337"/>
      <c r="F4" s="337"/>
    </row>
    <row r="6" spans="2:3" ht="15">
      <c r="B6" s="746" t="s">
        <v>291</v>
      </c>
      <c r="C6" s="746"/>
    </row>
    <row r="7" spans="1:3" ht="15">
      <c r="A7" s="182"/>
      <c r="B7" s="427">
        <f>_xlfn.IFERROR(IF(Indice!B6="","2XX2",YEAR(Indice!B6)),"2XX2")</f>
        <v>2022</v>
      </c>
      <c r="C7" s="427">
        <f>+_xlfn.IFERROR(YEAR(Indice!B6-365),"2XX1")</f>
        <v>2021</v>
      </c>
    </row>
    <row r="8" spans="1:3" ht="15">
      <c r="A8" s="34" t="s">
        <v>149</v>
      </c>
      <c r="B8" s="575">
        <v>4376192</v>
      </c>
      <c r="C8" s="575">
        <v>4376192</v>
      </c>
    </row>
    <row r="9" spans="1:3" ht="15">
      <c r="A9" s="34" t="s">
        <v>151</v>
      </c>
      <c r="B9" s="647">
        <v>1636063</v>
      </c>
      <c r="C9" s="575">
        <v>2703366</v>
      </c>
    </row>
    <row r="10" spans="1:3" ht="15">
      <c r="A10" s="34" t="s">
        <v>295</v>
      </c>
      <c r="B10" s="646">
        <f>SUM(B8:B9)</f>
        <v>6012255</v>
      </c>
      <c r="C10" s="280">
        <f>SUM($C$8:C9)</f>
        <v>7079558</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84"/>
  <sheetViews>
    <sheetView showGridLines="0" zoomScalePageLayoutView="0" workbookViewId="0" topLeftCell="A10">
      <selection activeCell="I56" sqref="I56"/>
    </sheetView>
  </sheetViews>
  <sheetFormatPr defaultColWidth="11.421875" defaultRowHeight="15"/>
  <cols>
    <col min="1" max="1" width="2.140625" style="59" customWidth="1"/>
    <col min="2" max="2" width="2.00390625" style="59" customWidth="1"/>
    <col min="3" max="3" width="2.28125" style="59" customWidth="1"/>
    <col min="4" max="4" width="51.8515625" style="59" customWidth="1"/>
    <col min="5" max="5" width="10.28125" style="101" customWidth="1"/>
    <col min="6" max="7" width="21.7109375" style="59" bestFit="1" customWidth="1"/>
    <col min="8" max="16384" width="11.421875" style="59" customWidth="1"/>
  </cols>
  <sheetData>
    <row r="1" spans="4:5" ht="15">
      <c r="D1" s="602" t="str">
        <f>Indice!C1</f>
        <v>IMPORT CENTER S.A.</v>
      </c>
      <c r="E1" s="234" t="s">
        <v>363</v>
      </c>
    </row>
    <row r="3" ht="11.25">
      <c r="F3" s="144"/>
    </row>
    <row r="6" ht="11.25">
      <c r="G6" s="64"/>
    </row>
    <row r="7" spans="1:7" ht="12.75">
      <c r="A7" s="674" t="s">
        <v>278</v>
      </c>
      <c r="B7" s="674"/>
      <c r="C7" s="674"/>
      <c r="D7" s="674"/>
      <c r="E7" s="674"/>
      <c r="F7" s="674"/>
      <c r="G7" s="674"/>
    </row>
    <row r="8" spans="1:7" ht="15" customHeight="1">
      <c r="A8" s="674" t="str">
        <f>_xlfn.IFERROR(IF(Indice!B6="","Al dia... de mes… de año 2XX2…","Al "&amp;DAY(Indice!B6)&amp;" de "&amp;VLOOKUP(MONTH(Indice!B6),Indice!S:T,2,0)&amp;" de "&amp;YEAR(Indice!B6)),"Al dia... de mes… de año 2XX2…")</f>
        <v>Al 30 de Septiembre de 2022</v>
      </c>
      <c r="B8" s="674"/>
      <c r="C8" s="674"/>
      <c r="D8" s="674"/>
      <c r="E8" s="674"/>
      <c r="F8" s="674"/>
      <c r="G8" s="674"/>
    </row>
    <row r="9" spans="1:7" ht="12.75">
      <c r="A9" s="674" t="s">
        <v>1010</v>
      </c>
      <c r="B9" s="674"/>
      <c r="C9" s="674"/>
      <c r="D9" s="674"/>
      <c r="E9" s="674"/>
      <c r="F9" s="674"/>
      <c r="G9" s="674"/>
    </row>
    <row r="10" spans="1:7" ht="12.75">
      <c r="A10" s="682" t="s">
        <v>258</v>
      </c>
      <c r="B10" s="682"/>
      <c r="C10" s="682"/>
      <c r="D10" s="682"/>
      <c r="E10" s="682"/>
      <c r="F10" s="682"/>
      <c r="G10" s="682"/>
    </row>
    <row r="11" spans="1:7" ht="12">
      <c r="A11" s="72"/>
      <c r="B11" s="72"/>
      <c r="C11" s="72"/>
      <c r="D11" s="72"/>
      <c r="E11" s="5"/>
      <c r="F11" s="72"/>
      <c r="G11" s="72"/>
    </row>
    <row r="12" spans="1:7" ht="15">
      <c r="A12" s="72"/>
      <c r="B12" s="232"/>
      <c r="C12" s="232"/>
      <c r="D12" s="232"/>
      <c r="E12" s="330" t="s">
        <v>203</v>
      </c>
      <c r="F12" s="330">
        <f>_xlfn.IFERROR(IF(Indice!B6="","2XX2",YEAR(Indice!B6)),"2XX2")</f>
        <v>2022</v>
      </c>
      <c r="G12" s="330">
        <f>_xlfn.IFERROR(YEAR(Indice!B6-365),"2XX1")</f>
        <v>2021</v>
      </c>
    </row>
    <row r="13" spans="2:5" ht="15">
      <c r="B13" s="679" t="s">
        <v>204</v>
      </c>
      <c r="C13" s="679"/>
      <c r="D13" s="679"/>
      <c r="E13" s="237"/>
    </row>
    <row r="14" spans="1:7" ht="12.75">
      <c r="A14" s="72"/>
      <c r="B14" s="93" t="s">
        <v>205</v>
      </c>
      <c r="C14" s="48"/>
      <c r="D14" s="48"/>
      <c r="E14" s="233"/>
      <c r="F14" s="48"/>
      <c r="G14" s="94"/>
    </row>
    <row r="15" spans="1:7" ht="15">
      <c r="A15" s="72"/>
      <c r="B15" s="48"/>
      <c r="C15" s="672" t="s">
        <v>206</v>
      </c>
      <c r="D15" s="672"/>
      <c r="E15" s="253">
        <v>3</v>
      </c>
      <c r="F15" s="69">
        <f>'Nota 3'!C20</f>
        <v>1984886</v>
      </c>
      <c r="G15" s="69">
        <f>'Nota 3'!D20</f>
        <v>1913730</v>
      </c>
    </row>
    <row r="16" spans="1:7" ht="15">
      <c r="A16" s="72"/>
      <c r="B16" s="48"/>
      <c r="C16" s="672" t="s">
        <v>109</v>
      </c>
      <c r="D16" s="672"/>
      <c r="E16" s="253">
        <v>4</v>
      </c>
      <c r="F16" s="69">
        <f>'Nota 4'!B18</f>
        <v>0</v>
      </c>
      <c r="G16" s="69">
        <f>'Nota 4'!C18</f>
        <v>0</v>
      </c>
    </row>
    <row r="17" spans="1:7" ht="15">
      <c r="A17" s="72"/>
      <c r="B17" s="48"/>
      <c r="C17" s="672" t="s">
        <v>207</v>
      </c>
      <c r="D17" s="672"/>
      <c r="E17" s="253">
        <v>5</v>
      </c>
      <c r="F17" s="69">
        <f>'Nota 5'!C25</f>
        <v>5180827</v>
      </c>
      <c r="G17" s="69">
        <f>'Nota 5'!D25</f>
        <v>5657857</v>
      </c>
    </row>
    <row r="18" spans="1:7" ht="15">
      <c r="A18" s="90"/>
      <c r="B18" s="48"/>
      <c r="C18" s="672" t="s">
        <v>40</v>
      </c>
      <c r="D18" s="672"/>
      <c r="E18" s="253">
        <v>6</v>
      </c>
      <c r="F18" s="69">
        <f>'Nota 6'!B26</f>
        <v>3506241</v>
      </c>
      <c r="G18" s="69">
        <f>'Nota 6'!C26</f>
        <v>12294766</v>
      </c>
    </row>
    <row r="19" spans="1:7" ht="15">
      <c r="A19" s="72"/>
      <c r="B19" s="48"/>
      <c r="C19" s="672" t="s">
        <v>208</v>
      </c>
      <c r="D19" s="672"/>
      <c r="E19" s="253">
        <v>7</v>
      </c>
      <c r="F19" s="69">
        <f>'Nota 7'!B16</f>
        <v>37574847</v>
      </c>
      <c r="G19" s="69">
        <f>'Nota 7'!C16</f>
        <v>23592675</v>
      </c>
    </row>
    <row r="20" spans="1:7" ht="12.75">
      <c r="A20" s="72"/>
      <c r="B20" s="48"/>
      <c r="C20" s="93" t="s">
        <v>287</v>
      </c>
      <c r="D20" s="48"/>
      <c r="E20" s="233"/>
      <c r="F20" s="105">
        <f>SUM(F15:F19)</f>
        <v>48246801</v>
      </c>
      <c r="G20" s="105">
        <f>SUM(G15:G19)</f>
        <v>43459028</v>
      </c>
    </row>
    <row r="21" spans="1:7" ht="12.75">
      <c r="A21" s="72"/>
      <c r="B21" s="93" t="s">
        <v>209</v>
      </c>
      <c r="C21" s="48"/>
      <c r="D21" s="48"/>
      <c r="E21" s="233"/>
      <c r="F21" s="48"/>
      <c r="G21" s="94"/>
    </row>
    <row r="22" spans="1:7" ht="15">
      <c r="A22" s="72"/>
      <c r="B22" s="48"/>
      <c r="C22" s="672" t="s">
        <v>210</v>
      </c>
      <c r="D22" s="672"/>
      <c r="E22" s="253">
        <v>6</v>
      </c>
      <c r="F22" s="69">
        <f>'Nota 6'!F19</f>
        <v>40055</v>
      </c>
      <c r="G22" s="107">
        <f>'Nota 6'!G19</f>
        <v>59092</v>
      </c>
    </row>
    <row r="23" spans="1:7" ht="15">
      <c r="A23" s="72"/>
      <c r="B23" s="48"/>
      <c r="C23" s="422" t="s">
        <v>207</v>
      </c>
      <c r="D23" s="422"/>
      <c r="E23" s="253">
        <v>5</v>
      </c>
      <c r="F23" s="69">
        <f>'Nota 5'!C52</f>
        <v>796760</v>
      </c>
      <c r="G23" s="107">
        <f>'Nota 5'!D52</f>
        <v>853764</v>
      </c>
    </row>
    <row r="24" spans="1:7" ht="15">
      <c r="A24" s="72"/>
      <c r="B24" s="48"/>
      <c r="C24" s="672" t="s">
        <v>388</v>
      </c>
      <c r="D24" s="672"/>
      <c r="E24" s="253">
        <v>8</v>
      </c>
      <c r="F24" s="69">
        <f>'Nota 8'!B8</f>
        <v>0</v>
      </c>
      <c r="G24" s="94">
        <f>'Nota 8'!C8</f>
        <v>0</v>
      </c>
    </row>
    <row r="25" spans="1:7" ht="15">
      <c r="A25" s="72"/>
      <c r="B25" s="48"/>
      <c r="C25" s="672" t="s">
        <v>389</v>
      </c>
      <c r="D25" s="672"/>
      <c r="E25" s="253">
        <v>9</v>
      </c>
      <c r="F25" s="69">
        <f>'Nota 9'!L27</f>
        <v>13837160</v>
      </c>
      <c r="G25" s="94">
        <f>'Nota 9'!M27</f>
        <v>13757652</v>
      </c>
    </row>
    <row r="26" spans="1:7" ht="15">
      <c r="A26" s="72"/>
      <c r="B26" s="48"/>
      <c r="C26" s="672" t="s">
        <v>228</v>
      </c>
      <c r="D26" s="672"/>
      <c r="E26" s="253">
        <v>10</v>
      </c>
      <c r="F26" s="69">
        <f>'Nota 10'!B19</f>
        <v>0</v>
      </c>
      <c r="G26" s="94">
        <f>'Nota 10'!C19</f>
        <v>0</v>
      </c>
    </row>
    <row r="27" spans="1:7" ht="15">
      <c r="A27" s="72"/>
      <c r="B27" s="48"/>
      <c r="C27" s="672" t="s">
        <v>122</v>
      </c>
      <c r="D27" s="672"/>
      <c r="E27" s="253">
        <v>11</v>
      </c>
      <c r="F27" s="69">
        <f>'Nota 11'!B10</f>
        <v>0</v>
      </c>
      <c r="G27" s="94">
        <f>'Nota 11'!C10</f>
        <v>0</v>
      </c>
    </row>
    <row r="28" spans="1:7" ht="15">
      <c r="A28" s="72"/>
      <c r="B28" s="48"/>
      <c r="C28" s="672" t="s">
        <v>128</v>
      </c>
      <c r="D28" s="672"/>
      <c r="E28" s="253">
        <v>12</v>
      </c>
      <c r="F28" s="69">
        <f>'Nota 12'!B11</f>
        <v>0</v>
      </c>
      <c r="G28" s="94">
        <f>'Nota 12'!C11</f>
        <v>0</v>
      </c>
    </row>
    <row r="29" spans="1:7" ht="12.75">
      <c r="A29" s="72"/>
      <c r="B29" s="48"/>
      <c r="C29" s="677" t="s">
        <v>305</v>
      </c>
      <c r="D29" s="677"/>
      <c r="E29" s="233"/>
      <c r="F29" s="105">
        <f>SUM(F22:F28)</f>
        <v>14673975</v>
      </c>
      <c r="G29" s="105">
        <f>SUM(G22:G28)</f>
        <v>14670508</v>
      </c>
    </row>
    <row r="30" spans="1:7" ht="15">
      <c r="A30" s="72"/>
      <c r="B30" s="683" t="s">
        <v>229</v>
      </c>
      <c r="C30" s="683"/>
      <c r="D30" s="683"/>
      <c r="E30" s="238"/>
      <c r="F30" s="457">
        <f>+F20+F29</f>
        <v>62920776</v>
      </c>
      <c r="G30" s="458">
        <f>+G20+G29+3</f>
        <v>58129539</v>
      </c>
    </row>
    <row r="31" spans="2:7" ht="17.25">
      <c r="B31" s="680" t="s">
        <v>230</v>
      </c>
      <c r="C31" s="680"/>
      <c r="D31" s="680"/>
      <c r="E31" s="240"/>
      <c r="F31" s="251"/>
      <c r="G31" s="252"/>
    </row>
    <row r="32" spans="1:7" ht="12.75">
      <c r="A32" s="72"/>
      <c r="B32" s="93" t="s">
        <v>231</v>
      </c>
      <c r="C32" s="48"/>
      <c r="D32" s="48"/>
      <c r="E32" s="233"/>
      <c r="F32" s="92">
        <v>-1</v>
      </c>
      <c r="G32" s="94"/>
    </row>
    <row r="33" spans="1:7" ht="15">
      <c r="A33" s="72"/>
      <c r="B33" s="48"/>
      <c r="C33" s="672" t="s">
        <v>110</v>
      </c>
      <c r="D33" s="672"/>
      <c r="E33" s="253">
        <v>13</v>
      </c>
      <c r="F33" s="69">
        <f>'Nota 13'!D18</f>
        <v>364616</v>
      </c>
      <c r="G33" s="94">
        <f>'Nota 13'!E18</f>
        <v>769042</v>
      </c>
    </row>
    <row r="34" spans="1:7" ht="15">
      <c r="A34" s="72"/>
      <c r="B34" s="48"/>
      <c r="C34" s="681" t="s">
        <v>233</v>
      </c>
      <c r="D34" s="681"/>
      <c r="E34" s="253">
        <v>14</v>
      </c>
      <c r="F34" s="69">
        <f>'Nota 14'!E119</f>
        <v>6036000</v>
      </c>
      <c r="G34" s="94">
        <f>'Nota 14'!K119</f>
        <v>3528321</v>
      </c>
    </row>
    <row r="35" spans="1:7" ht="15">
      <c r="A35" s="72"/>
      <c r="B35" s="48"/>
      <c r="C35" s="672" t="s">
        <v>130</v>
      </c>
      <c r="D35" s="672"/>
      <c r="E35" s="253">
        <v>15</v>
      </c>
      <c r="F35" s="69">
        <f>'Nota 15'!B15</f>
        <v>0</v>
      </c>
      <c r="G35" s="94">
        <f>'Nota 15'!C15</f>
        <v>0</v>
      </c>
    </row>
    <row r="36" spans="1:7" ht="15">
      <c r="A36" s="72"/>
      <c r="B36" s="48"/>
      <c r="C36" s="672" t="s">
        <v>67</v>
      </c>
      <c r="D36" s="672"/>
      <c r="E36" s="253">
        <v>16</v>
      </c>
      <c r="F36" s="69">
        <f>'Nota 16'!B13</f>
        <v>177883</v>
      </c>
      <c r="G36" s="94">
        <f>'Nota 16'!C13</f>
        <v>180867</v>
      </c>
    </row>
    <row r="37" spans="1:7" ht="15">
      <c r="A37" s="72"/>
      <c r="B37" s="48"/>
      <c r="C37" s="672" t="s">
        <v>68</v>
      </c>
      <c r="D37" s="672"/>
      <c r="E37" s="253">
        <v>17</v>
      </c>
      <c r="F37" s="69">
        <f>'Nota 17'!B15</f>
        <v>191532</v>
      </c>
      <c r="G37" s="94">
        <f>'Nota 17'!C15</f>
        <v>388006</v>
      </c>
    </row>
    <row r="38" spans="1:7" ht="13.5" customHeight="1">
      <c r="A38" s="72"/>
      <c r="B38" s="48"/>
      <c r="C38" s="672" t="s">
        <v>69</v>
      </c>
      <c r="D38" s="672"/>
      <c r="E38" s="253">
        <v>18</v>
      </c>
      <c r="F38" s="69">
        <f>'Nota 18'!B13</f>
        <v>0</v>
      </c>
      <c r="G38" s="94">
        <f>'Nota 18'!C13</f>
        <v>0</v>
      </c>
    </row>
    <row r="39" spans="1:7" ht="15">
      <c r="A39" s="72"/>
      <c r="B39" s="48"/>
      <c r="C39" s="672" t="s">
        <v>234</v>
      </c>
      <c r="D39" s="672"/>
      <c r="E39" s="253">
        <v>19</v>
      </c>
      <c r="F39" s="69">
        <f>'Nota 19'!B18</f>
        <v>368000</v>
      </c>
      <c r="G39" s="94">
        <f>'Nota 19'!C18</f>
        <v>0</v>
      </c>
    </row>
    <row r="40" spans="1:7" ht="12.75">
      <c r="A40" s="72"/>
      <c r="B40" s="48"/>
      <c r="C40" s="93" t="s">
        <v>232</v>
      </c>
      <c r="D40" s="48"/>
      <c r="E40" s="233"/>
      <c r="F40" s="105">
        <f>+F33+F34+F35+F36+F37+F39-1</f>
        <v>7138030</v>
      </c>
      <c r="G40" s="105">
        <f>+G33+G34+G35+G36+G37+G39</f>
        <v>4866236</v>
      </c>
    </row>
    <row r="41" spans="1:7" ht="12.75">
      <c r="A41" s="72"/>
      <c r="B41" s="93" t="s">
        <v>235</v>
      </c>
      <c r="C41" s="48"/>
      <c r="D41" s="48"/>
      <c r="E41" s="233"/>
      <c r="F41" s="48"/>
      <c r="G41" s="48"/>
    </row>
    <row r="42" spans="1:7" ht="15">
      <c r="A42" s="72"/>
      <c r="B42" s="93"/>
      <c r="C42" s="672" t="s">
        <v>110</v>
      </c>
      <c r="D42" s="672"/>
      <c r="E42" s="253">
        <v>13</v>
      </c>
      <c r="F42" s="600">
        <f>+'Nota 13'!D27</f>
        <v>64138</v>
      </c>
      <c r="G42" s="600">
        <f>+'Nota 13'!E27</f>
        <v>163377</v>
      </c>
    </row>
    <row r="43" spans="1:7" ht="15">
      <c r="A43" s="72"/>
      <c r="B43" s="48"/>
      <c r="C43" s="672" t="s">
        <v>236</v>
      </c>
      <c r="D43" s="672"/>
      <c r="E43" s="253">
        <v>14</v>
      </c>
      <c r="F43" s="69">
        <f>+'Nota 14'!E220</f>
        <v>17088767</v>
      </c>
      <c r="G43" s="94">
        <f>+'Nota 14'!K220</f>
        <v>16313388</v>
      </c>
    </row>
    <row r="44" spans="1:7" ht="6" customHeight="1">
      <c r="A44" s="72"/>
      <c r="B44" s="48"/>
      <c r="C44" s="672" t="s">
        <v>340</v>
      </c>
      <c r="D44" s="672"/>
      <c r="E44" s="253">
        <v>19</v>
      </c>
      <c r="F44" s="69">
        <f>'Nota 19'!F18</f>
        <v>0</v>
      </c>
      <c r="G44" s="94">
        <f>'Nota 19'!G18</f>
        <v>0</v>
      </c>
    </row>
    <row r="45" spans="1:7" ht="12.75">
      <c r="A45" s="72"/>
      <c r="B45" s="48"/>
      <c r="C45" s="93" t="s">
        <v>315</v>
      </c>
      <c r="D45" s="48"/>
      <c r="E45" s="233"/>
      <c r="F45" s="105">
        <f>SUM(F42:F44)</f>
        <v>17152905</v>
      </c>
      <c r="G45" s="105">
        <f>SUM(G42:G44)</f>
        <v>16476765</v>
      </c>
    </row>
    <row r="46" spans="1:7" ht="12.75">
      <c r="A46" s="72"/>
      <c r="B46" s="48"/>
      <c r="C46" s="48"/>
      <c r="D46" s="106"/>
      <c r="E46" s="239"/>
      <c r="F46" s="106"/>
      <c r="G46" s="94"/>
    </row>
    <row r="47" spans="1:7" ht="15">
      <c r="A47" s="72"/>
      <c r="B47" s="680" t="s">
        <v>390</v>
      </c>
      <c r="C47" s="680"/>
      <c r="D47" s="680"/>
      <c r="E47" s="241"/>
      <c r="F47" s="457">
        <f>+F40+F45</f>
        <v>24290935</v>
      </c>
      <c r="G47" s="457">
        <f>+G40+G45</f>
        <v>21343001</v>
      </c>
    </row>
    <row r="48" spans="2:7" ht="15">
      <c r="B48" s="680" t="s">
        <v>41</v>
      </c>
      <c r="C48" s="680"/>
      <c r="D48" s="680"/>
      <c r="E48" s="240"/>
      <c r="F48"/>
      <c r="G48"/>
    </row>
    <row r="49" spans="1:7" ht="15">
      <c r="A49" s="72"/>
      <c r="B49" s="48"/>
      <c r="C49" s="672" t="s">
        <v>238</v>
      </c>
      <c r="D49" s="672"/>
      <c r="E49" s="253">
        <v>20</v>
      </c>
      <c r="F49" s="69">
        <f>'Nota 20'!B11</f>
        <v>20000000</v>
      </c>
      <c r="G49" s="69">
        <f>'Nota 20'!C11</f>
        <v>20000000</v>
      </c>
    </row>
    <row r="50" spans="1:7" ht="15">
      <c r="A50" s="72"/>
      <c r="B50" s="48"/>
      <c r="C50" s="672" t="s">
        <v>43</v>
      </c>
      <c r="D50" s="672"/>
      <c r="E50" s="234">
        <v>21</v>
      </c>
      <c r="F50" s="69">
        <f>' Nota 21'!B8</f>
        <v>6300015</v>
      </c>
      <c r="G50" s="69">
        <f>' Nota 21'!C8</f>
        <v>6300015</v>
      </c>
    </row>
    <row r="51" spans="1:7" ht="15">
      <c r="A51" s="90"/>
      <c r="B51" s="48"/>
      <c r="C51" s="672" t="s">
        <v>81</v>
      </c>
      <c r="D51" s="672"/>
      <c r="E51" s="234">
        <v>21</v>
      </c>
      <c r="F51" s="69">
        <f>' Nota 21'!B12</f>
        <v>1695044</v>
      </c>
      <c r="G51" s="69">
        <f>' Nota 21'!C12</f>
        <v>1524514</v>
      </c>
    </row>
    <row r="52" spans="1:7" ht="15">
      <c r="A52" s="72"/>
      <c r="B52" s="48"/>
      <c r="C52" s="672" t="s">
        <v>239</v>
      </c>
      <c r="D52" s="672"/>
      <c r="E52" s="234">
        <v>21</v>
      </c>
      <c r="F52" s="69">
        <f>' Nota 21'!B16</f>
        <v>0</v>
      </c>
      <c r="G52" s="69">
        <f>' Nota 21'!C16</f>
        <v>0</v>
      </c>
    </row>
    <row r="53" spans="1:7" ht="15">
      <c r="A53" s="72"/>
      <c r="B53" s="48"/>
      <c r="C53" s="672" t="s">
        <v>240</v>
      </c>
      <c r="D53" s="672"/>
      <c r="E53" s="234">
        <v>21</v>
      </c>
      <c r="F53" s="69">
        <f>' Nota 21'!B20</f>
        <v>4622525</v>
      </c>
      <c r="G53" s="69">
        <f>' Nota 21'!C20</f>
        <v>1882449</v>
      </c>
    </row>
    <row r="54" spans="1:7" ht="15">
      <c r="A54" s="72"/>
      <c r="B54" s="48"/>
      <c r="C54" s="672" t="s">
        <v>70</v>
      </c>
      <c r="D54" s="672"/>
      <c r="E54" s="253">
        <v>22</v>
      </c>
      <c r="F54" s="69">
        <f>'Nota 22'!B8</f>
        <v>0</v>
      </c>
      <c r="G54" s="69">
        <f>'Nota 22'!C8</f>
        <v>0</v>
      </c>
    </row>
    <row r="55" spans="1:7" ht="15">
      <c r="A55" s="72"/>
      <c r="B55" s="48"/>
      <c r="C55" s="672" t="s">
        <v>44</v>
      </c>
      <c r="D55" s="672"/>
      <c r="E55" s="253">
        <v>23</v>
      </c>
      <c r="F55" s="69">
        <f>'Nota 23'!B10</f>
        <v>6012255</v>
      </c>
      <c r="G55" s="69">
        <f>'Nota 23'!C10</f>
        <v>7079558</v>
      </c>
    </row>
    <row r="56" spans="1:7" ht="12.75">
      <c r="A56" s="72"/>
      <c r="B56" s="48"/>
      <c r="C56" s="676" t="s">
        <v>62</v>
      </c>
      <c r="D56" s="676"/>
      <c r="E56" s="233"/>
      <c r="F56" s="69">
        <f>SUM(F49:F55)</f>
        <v>38629839</v>
      </c>
      <c r="G56" s="69">
        <f>SUM(G49:G55)</f>
        <v>36786536</v>
      </c>
    </row>
    <row r="57" spans="1:7" ht="15">
      <c r="A57" s="72"/>
      <c r="B57" s="48"/>
      <c r="C57" s="672" t="s">
        <v>71</v>
      </c>
      <c r="D57" s="672"/>
      <c r="E57" s="253">
        <v>24</v>
      </c>
      <c r="F57" s="69">
        <f>'Nota 24'!B8</f>
        <v>0</v>
      </c>
      <c r="G57" s="69">
        <f>'Nota 24'!C8</f>
        <v>0</v>
      </c>
    </row>
    <row r="58" spans="1:7" ht="15">
      <c r="A58" s="72"/>
      <c r="B58" s="680" t="s">
        <v>241</v>
      </c>
      <c r="C58" s="680"/>
      <c r="D58" s="680"/>
      <c r="E58" s="241"/>
      <c r="F58" s="459">
        <f>F56</f>
        <v>38629839</v>
      </c>
      <c r="G58" s="459">
        <f>G56</f>
        <v>36786536</v>
      </c>
    </row>
    <row r="59" spans="1:7" ht="15">
      <c r="A59" s="72"/>
      <c r="B59" s="680" t="s">
        <v>242</v>
      </c>
      <c r="C59" s="680"/>
      <c r="D59" s="680"/>
      <c r="E59" s="242"/>
      <c r="F59" s="459">
        <f>+F47+F58+1+1</f>
        <v>62920776</v>
      </c>
      <c r="G59" s="459">
        <f>+G47+G58+2</f>
        <v>58129539</v>
      </c>
    </row>
    <row r="60" spans="1:7" ht="12.75">
      <c r="A60" s="72"/>
      <c r="B60" s="93"/>
      <c r="C60" s="48"/>
      <c r="D60" s="48"/>
      <c r="E60" s="233"/>
      <c r="F60" s="108"/>
      <c r="G60" s="106"/>
    </row>
    <row r="61" spans="2:7" ht="12">
      <c r="B61" s="72" t="s">
        <v>387</v>
      </c>
      <c r="C61" s="72"/>
      <c r="D61" s="72"/>
      <c r="E61" s="243"/>
      <c r="F61" s="90"/>
      <c r="G61" s="72"/>
    </row>
    <row r="62" spans="1:7" ht="12">
      <c r="A62" s="72"/>
      <c r="B62" s="89"/>
      <c r="C62" s="72"/>
      <c r="D62" s="72"/>
      <c r="E62" s="243"/>
      <c r="F62" s="72"/>
      <c r="G62" s="91"/>
    </row>
    <row r="63" spans="1:7" ht="12">
      <c r="A63" s="72"/>
      <c r="B63" s="89"/>
      <c r="C63" s="72"/>
      <c r="D63" s="72"/>
      <c r="E63" s="243"/>
      <c r="F63" s="72"/>
      <c r="G63" s="91"/>
    </row>
    <row r="64" spans="1:7" s="104" customFormat="1" ht="15">
      <c r="A64" s="72"/>
      <c r="B64" s="89"/>
      <c r="C64" s="72"/>
      <c r="D64" s="72"/>
      <c r="E64" s="243"/>
      <c r="F64" s="72"/>
      <c r="G64" s="91"/>
    </row>
    <row r="65" spans="1:7" s="104" customFormat="1" ht="15">
      <c r="A65" s="72"/>
      <c r="B65" s="72"/>
      <c r="C65" s="72"/>
      <c r="D65" s="72"/>
      <c r="E65" s="243"/>
      <c r="F65" s="72"/>
      <c r="G65" s="72"/>
    </row>
    <row r="66" spans="1:7" s="104" customFormat="1" ht="15">
      <c r="A66" s="120"/>
      <c r="B66" s="121"/>
      <c r="C66" s="121"/>
      <c r="D66" s="121"/>
      <c r="E66" s="244"/>
      <c r="F66" s="675"/>
      <c r="G66" s="675"/>
    </row>
    <row r="67" spans="2:7" s="104" customFormat="1" ht="15.75">
      <c r="B67" s="122"/>
      <c r="C67" s="122"/>
      <c r="D67" s="131"/>
      <c r="E67" s="245"/>
      <c r="F67" s="673"/>
      <c r="G67" s="673"/>
    </row>
    <row r="68" spans="1:7" s="104" customFormat="1" ht="15.75">
      <c r="A68" s="120"/>
      <c r="B68" s="120"/>
      <c r="C68" s="120"/>
      <c r="D68" s="103"/>
      <c r="E68" s="246"/>
      <c r="F68" s="103"/>
      <c r="G68" s="120"/>
    </row>
    <row r="69" spans="1:7" s="104" customFormat="1" ht="15.75">
      <c r="A69" s="120"/>
      <c r="B69" s="120"/>
      <c r="C69" s="120"/>
      <c r="D69" s="103"/>
      <c r="E69" s="246"/>
      <c r="F69" s="103"/>
      <c r="G69" s="120"/>
    </row>
    <row r="70" spans="1:7" s="104" customFormat="1" ht="15.75">
      <c r="A70" s="120"/>
      <c r="B70" s="120"/>
      <c r="C70" s="120"/>
      <c r="D70" s="103"/>
      <c r="E70" s="246"/>
      <c r="F70" s="103"/>
      <c r="G70" s="120"/>
    </row>
    <row r="71" spans="1:7" s="103" customFormat="1" ht="15.75">
      <c r="A71" s="123"/>
      <c r="B71" s="123"/>
      <c r="C71" s="123"/>
      <c r="D71" s="123"/>
      <c r="E71" s="247"/>
      <c r="F71" s="675"/>
      <c r="G71" s="675"/>
    </row>
    <row r="72" spans="1:7" ht="15.75">
      <c r="A72" s="104"/>
      <c r="B72" s="124"/>
      <c r="C72" s="124"/>
      <c r="D72" s="124"/>
      <c r="E72" s="246"/>
      <c r="F72" s="673"/>
      <c r="G72" s="673"/>
    </row>
    <row r="73" spans="1:7" ht="15.75">
      <c r="A73" s="103"/>
      <c r="B73" s="678"/>
      <c r="C73" s="678"/>
      <c r="D73" s="678"/>
      <c r="E73" s="246"/>
      <c r="F73" s="103"/>
      <c r="G73" s="103"/>
    </row>
    <row r="74" spans="1:7" ht="12.75">
      <c r="A74" s="48"/>
      <c r="B74" s="48"/>
      <c r="C74" s="94"/>
      <c r="D74" s="95"/>
      <c r="E74" s="233"/>
      <c r="F74" s="95"/>
      <c r="G74" s="48"/>
    </row>
    <row r="75" spans="3:6" ht="11.25">
      <c r="C75" s="62"/>
      <c r="D75" s="60"/>
      <c r="E75" s="248"/>
      <c r="F75" s="60"/>
    </row>
    <row r="76" spans="4:6" ht="11.25">
      <c r="D76" s="61"/>
      <c r="E76" s="249"/>
      <c r="F76" s="61"/>
    </row>
    <row r="77" spans="4:6" ht="11.25">
      <c r="D77" s="61"/>
      <c r="E77" s="249"/>
      <c r="F77" s="61"/>
    </row>
    <row r="78" spans="4:6" ht="11.25">
      <c r="D78" s="61"/>
      <c r="E78" s="249"/>
      <c r="F78" s="61"/>
    </row>
    <row r="79" spans="4:6" ht="11.25">
      <c r="D79" s="61"/>
      <c r="E79" s="249"/>
      <c r="F79" s="61"/>
    </row>
    <row r="80" spans="4:6" ht="11.25">
      <c r="D80" s="61"/>
      <c r="E80" s="249"/>
      <c r="F80" s="61"/>
    </row>
    <row r="81" ht="11.25">
      <c r="E81" s="250"/>
    </row>
    <row r="82" spans="3:5" ht="11.25">
      <c r="C82" s="63"/>
      <c r="E82" s="250"/>
    </row>
    <row r="83" spans="3:6" ht="11.25">
      <c r="C83" s="62"/>
      <c r="D83" s="60"/>
      <c r="E83" s="248"/>
      <c r="F83" s="60"/>
    </row>
    <row r="84" spans="4:6" ht="11.25">
      <c r="D84" s="60"/>
      <c r="E84" s="102"/>
      <c r="F84" s="60"/>
    </row>
  </sheetData>
  <sheetProtection/>
  <mergeCells count="47">
    <mergeCell ref="A9:G9"/>
    <mergeCell ref="F71:G71"/>
    <mergeCell ref="A10:G10"/>
    <mergeCell ref="B30:D30"/>
    <mergeCell ref="B59:D59"/>
    <mergeCell ref="C39:D39"/>
    <mergeCell ref="C43:D43"/>
    <mergeCell ref="C44:D44"/>
    <mergeCell ref="C49:D49"/>
    <mergeCell ref="C51:D51"/>
    <mergeCell ref="F72:G72"/>
    <mergeCell ref="B73:D73"/>
    <mergeCell ref="B13:D13"/>
    <mergeCell ref="B31:D31"/>
    <mergeCell ref="B48:D48"/>
    <mergeCell ref="B47:D47"/>
    <mergeCell ref="B58:D58"/>
    <mergeCell ref="C50:D50"/>
    <mergeCell ref="C34:D34"/>
    <mergeCell ref="C52:D52"/>
    <mergeCell ref="A7:G7"/>
    <mergeCell ref="F66:G66"/>
    <mergeCell ref="C55:D55"/>
    <mergeCell ref="C56:D56"/>
    <mergeCell ref="C29:D29"/>
    <mergeCell ref="C26:D26"/>
    <mergeCell ref="C27:D27"/>
    <mergeCell ref="C22:D22"/>
    <mergeCell ref="C57:D57"/>
    <mergeCell ref="A8:G8"/>
    <mergeCell ref="C53:D53"/>
    <mergeCell ref="C54:D54"/>
    <mergeCell ref="F67:G67"/>
    <mergeCell ref="C33:D33"/>
    <mergeCell ref="C35:D35"/>
    <mergeCell ref="C36:D36"/>
    <mergeCell ref="C42:D42"/>
    <mergeCell ref="C37:D37"/>
    <mergeCell ref="C38:D38"/>
    <mergeCell ref="C15:D15"/>
    <mergeCell ref="C16:D16"/>
    <mergeCell ref="C17:D17"/>
    <mergeCell ref="C18:D18"/>
    <mergeCell ref="C19:D19"/>
    <mergeCell ref="C28:D28"/>
    <mergeCell ref="C25:D25"/>
    <mergeCell ref="C24:D24"/>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4" location="'Nota 22'!A1" display="'Nota 22'!A1"/>
    <hyperlink ref="E50" location="' Nota 21'!A1" display="' Nota 21'!A1"/>
    <hyperlink ref="E51" location="' Nota 21'!A1" display="' Nota 21'!A1"/>
    <hyperlink ref="E52" location="' Nota 21'!A1" display="' Nota 21'!A1"/>
    <hyperlink ref="E53" location="' Nota 21'!A1" display="' Nota 21'!A1"/>
    <hyperlink ref="E55" location="'Nota 23'!A1" display="'Nota 23'!A1"/>
    <hyperlink ref="E57" location="'Nota 24'!A1" display="'Nota 24'!A1"/>
    <hyperlink ref="E1" location="Indice!A1" display="Indice"/>
    <hyperlink ref="E23" location="'Nota 5'!A1" display="'Nota 5'!A1"/>
    <hyperlink ref="E42" location="'Nota 13'!A1" display="'Nota 13'!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1"/>
  <ignoredErrors>
    <ignoredError sqref="G29" formulaRange="1"/>
  </ignoredErrors>
</worksheet>
</file>

<file path=xl/worksheets/sheet30.xml><?xml version="1.0" encoding="utf-8"?>
<worksheet xmlns="http://schemas.openxmlformats.org/spreadsheetml/2006/main" xmlns:r="http://schemas.openxmlformats.org/officeDocument/2006/relationships">
  <sheetPr codeName="Hoja29"/>
  <dimension ref="A1:F8"/>
  <sheetViews>
    <sheetView zoomScalePageLayoutView="0" workbookViewId="0" topLeftCell="A1">
      <selection activeCell="B8" sqref="B8"/>
    </sheetView>
  </sheetViews>
  <sheetFormatPr defaultColWidth="11.421875" defaultRowHeight="15"/>
  <cols>
    <col min="1" max="1" width="40.7109375" style="34" customWidth="1"/>
    <col min="2" max="3" width="19.00390625" style="34" customWidth="1"/>
    <col min="4" max="6" width="11.421875" style="34" customWidth="1"/>
    <col min="7" max="34" width="11.421875" style="154" customWidth="1"/>
  </cols>
  <sheetData>
    <row r="1" spans="1:6" ht="15">
      <c r="A1" s="34" t="str">
        <f>Indice!C1</f>
        <v>IMPORT CENTER S.A.</v>
      </c>
      <c r="F1" s="181" t="s">
        <v>129</v>
      </c>
    </row>
    <row r="4" spans="1:6" ht="15">
      <c r="A4" s="337" t="s">
        <v>320</v>
      </c>
      <c r="B4" s="337"/>
      <c r="C4" s="337"/>
      <c r="D4" s="337"/>
      <c r="E4" s="278"/>
      <c r="F4" s="279"/>
    </row>
    <row r="6" spans="2:3" ht="15">
      <c r="B6" s="746" t="s">
        <v>291</v>
      </c>
      <c r="C6" s="746"/>
    </row>
    <row r="7" spans="1:3" ht="15">
      <c r="A7" s="182"/>
      <c r="B7" s="427">
        <f>_xlfn.IFERROR(IF(Indice!B6="","2XX2",YEAR(Indice!B6)),"2XX2")</f>
        <v>2022</v>
      </c>
      <c r="C7" s="427">
        <f>+_xlfn.IFERROR(YEAR(Indice!B6-365),"2XX1")</f>
        <v>2021</v>
      </c>
    </row>
    <row r="8" ht="15">
      <c r="A8" s="34" t="s">
        <v>83</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30"/>
  <dimension ref="A1:AG28"/>
  <sheetViews>
    <sheetView showGridLines="0" zoomScalePageLayoutView="0" workbookViewId="0" topLeftCell="A7">
      <selection activeCell="A1" sqref="A1"/>
    </sheetView>
  </sheetViews>
  <sheetFormatPr defaultColWidth="11.421875" defaultRowHeight="15"/>
  <cols>
    <col min="1" max="1" width="45.57421875" style="154" customWidth="1"/>
    <col min="2" max="2" width="18.140625" style="154" customWidth="1"/>
    <col min="3" max="3" width="17.140625" style="154" customWidth="1"/>
    <col min="4" max="33" width="11.421875" style="154" customWidth="1"/>
  </cols>
  <sheetData>
    <row r="1" spans="1:5" ht="15">
      <c r="A1" s="154" t="str">
        <f>Indice!C1</f>
        <v>IMPORT CENTER S.A.</v>
      </c>
      <c r="E1" s="177" t="s">
        <v>144</v>
      </c>
    </row>
    <row r="5" spans="1:33" ht="15">
      <c r="A5" s="337" t="s">
        <v>321</v>
      </c>
      <c r="B5" s="337"/>
      <c r="C5" s="337"/>
      <c r="D5" s="337"/>
      <c r="E5" s="337"/>
      <c r="F5" s="337"/>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2:3" ht="15">
      <c r="B8" s="746" t="s">
        <v>291</v>
      </c>
      <c r="C8" s="746"/>
    </row>
    <row r="9" spans="2:33" ht="15">
      <c r="B9" s="427">
        <f>_xlfn.IFERROR(IF(Indice!B6="","2XX2",YEAR(Indice!B6)),"2XX2")</f>
        <v>2022</v>
      </c>
      <c r="C9" s="427">
        <f>+_xlfn.IFERROR(YEAR(Indice!B6-365),"2XX1")</f>
        <v>2021</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2" s="364" customFormat="1" ht="15">
      <c r="A10" s="182" t="s">
        <v>63</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ht="15">
      <c r="A11" s="182" t="s">
        <v>837</v>
      </c>
      <c r="B11" s="67"/>
      <c r="C11" s="6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2" s="364" customFormat="1" ht="15">
      <c r="A12" s="375" t="s">
        <v>839</v>
      </c>
      <c r="B12" s="575"/>
      <c r="C12" s="57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s="364" customFormat="1" ht="15">
      <c r="A13" s="34" t="s">
        <v>249</v>
      </c>
      <c r="B13" s="575">
        <f>3908408+167436+59616</f>
        <v>4135460</v>
      </c>
      <c r="C13" s="575">
        <f>5994619+250547+9668+69026</f>
        <v>6323860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364" customFormat="1" ht="15">
      <c r="A14" s="364" t="s">
        <v>250</v>
      </c>
      <c r="B14" s="575">
        <f>18636340+2397292+5906</f>
        <v>21039538</v>
      </c>
      <c r="C14" s="575">
        <f>16605268+3703932+4655+11678</f>
        <v>20325533</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s="364" customFormat="1" ht="15">
      <c r="A15" s="375" t="s">
        <v>840</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s="364" customFormat="1" ht="15">
      <c r="A16" s="34" t="s">
        <v>249</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s="364" customFormat="1" ht="15">
      <c r="A17" s="364" t="s">
        <v>250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s="364" customFormat="1" ht="15">
      <c r="A18" s="182" t="s">
        <v>838</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s="364" customFormat="1" ht="15">
      <c r="A19" s="375" t="s">
        <v>839</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s="364" customFormat="1" ht="15">
      <c r="A20" s="34" t="s">
        <v>249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s="364" customFormat="1" ht="15">
      <c r="A21" s="364" t="s">
        <v>250</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s="364" customFormat="1" ht="15">
      <c r="A22" s="375" t="s">
        <v>840</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s="364" customFormat="1" ht="15">
      <c r="A23" s="34" t="s">
        <v>249</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s="364" customFormat="1" ht="15">
      <c r="A24" s="364" t="s">
        <v>250</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s="559" customFormat="1" ht="15">
      <c r="A25" s="601" t="s">
        <v>971</v>
      </c>
      <c r="B25" s="575">
        <v>-250767</v>
      </c>
      <c r="C25" s="575">
        <v>-127432</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364" customFormat="1" ht="15">
      <c r="A26" s="376" t="s">
        <v>841</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3" ht="15">
      <c r="A27" s="182" t="s">
        <v>3</v>
      </c>
      <c r="B27" s="280">
        <f>SUM(B13:B26)+1</f>
        <v>24924232</v>
      </c>
      <c r="C27" s="280">
        <f>SUM(C13:C26)</f>
        <v>26521961</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row>
    <row r="28" spans="1:33"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Hoja31"/>
  <dimension ref="A1:AE22"/>
  <sheetViews>
    <sheetView showGridLines="0" zoomScalePageLayoutView="0" workbookViewId="0" topLeftCell="A1">
      <selection activeCell="B13" sqref="B13"/>
    </sheetView>
  </sheetViews>
  <sheetFormatPr defaultColWidth="11.421875" defaultRowHeight="15"/>
  <cols>
    <col min="1" max="1" width="38.00390625" style="154" customWidth="1"/>
    <col min="2" max="2" width="18.140625" style="154" customWidth="1"/>
    <col min="3" max="3" width="17.140625" style="154" customWidth="1"/>
    <col min="4" max="31" width="11.421875" style="154" customWidth="1"/>
  </cols>
  <sheetData>
    <row r="1" spans="1:5" ht="15">
      <c r="A1" s="154" t="str">
        <f>Indice!C1</f>
        <v>IMPORT CENTER S.A.</v>
      </c>
      <c r="E1" s="177" t="s">
        <v>144</v>
      </c>
    </row>
    <row r="5" spans="1:31" ht="15">
      <c r="A5" s="750" t="s">
        <v>322</v>
      </c>
      <c r="B5" s="750"/>
      <c r="C5" s="750"/>
      <c r="D5" s="750"/>
      <c r="E5" s="750"/>
      <c r="F5" s="750"/>
      <c r="G5" s="34"/>
      <c r="H5" s="34"/>
      <c r="I5" s="34"/>
      <c r="J5" s="34"/>
      <c r="K5" s="34"/>
      <c r="L5" s="34"/>
      <c r="M5" s="34"/>
      <c r="N5" s="34"/>
      <c r="O5" s="34"/>
      <c r="P5" s="34"/>
      <c r="Q5" s="34"/>
      <c r="R5" s="34"/>
      <c r="S5" s="34"/>
      <c r="T5" s="34"/>
      <c r="U5" s="34"/>
      <c r="V5" s="34"/>
      <c r="W5" s="34"/>
      <c r="X5" s="34"/>
      <c r="Y5" s="34"/>
      <c r="Z5" s="34"/>
      <c r="AA5" s="34"/>
      <c r="AB5" s="34"/>
      <c r="AC5" s="34"/>
      <c r="AD5" s="34"/>
      <c r="AE5" s="34"/>
    </row>
    <row r="7" spans="2:3" ht="15">
      <c r="B7" s="758"/>
      <c r="C7" s="758"/>
    </row>
    <row r="8" spans="1:31" s="235" customFormat="1" ht="15">
      <c r="A8" s="154"/>
      <c r="B8" s="759" t="s">
        <v>245</v>
      </c>
      <c r="C8" s="759"/>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15">
      <c r="A9" s="182" t="s">
        <v>152</v>
      </c>
      <c r="B9" s="427">
        <f>_xlfn.IFERROR(IF(Indice!B6="","2XX2",YEAR(Indice!B6)),"2XX2")</f>
        <v>2022</v>
      </c>
      <c r="C9" s="427">
        <f>+_xlfn.IFERROR(YEAR(Indice!B6-365),"2XX1")</f>
        <v>2021</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364" customFormat="1" ht="15">
      <c r="A10" s="182" t="s">
        <v>842</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5">
      <c r="A11" s="34" t="s">
        <v>251</v>
      </c>
      <c r="B11" s="575">
        <v>32388076</v>
      </c>
      <c r="C11" s="575">
        <v>22224404</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15">
      <c r="A12" s="261" t="s">
        <v>252</v>
      </c>
      <c r="B12" s="575">
        <v>22432164</v>
      </c>
      <c r="C12" s="575">
        <v>18793271</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35" customFormat="1" ht="15">
      <c r="A13" s="261" t="s">
        <v>253</v>
      </c>
      <c r="B13" s="659"/>
      <c r="C13" s="575">
        <v>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s="235" customFormat="1" ht="15">
      <c r="A14" s="261" t="s">
        <v>254</v>
      </c>
      <c r="B14" s="575">
        <v>-37574847</v>
      </c>
      <c r="C14" s="575">
        <v>-23592677</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s="364" customFormat="1" ht="15">
      <c r="A15" s="182" t="s">
        <v>843</v>
      </c>
      <c r="B15" s="576"/>
      <c r="C15" s="576"/>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s="364" customFormat="1" ht="15">
      <c r="A16" s="34" t="s">
        <v>251</v>
      </c>
      <c r="B16" s="575"/>
      <c r="C16" s="57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s="364" customFormat="1" ht="15">
      <c r="A17" s="261" t="s">
        <v>252</v>
      </c>
      <c r="B17" s="575"/>
      <c r="C17" s="57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s="364" customFormat="1" ht="15">
      <c r="A18" s="261" t="s">
        <v>253</v>
      </c>
      <c r="B18" s="575"/>
      <c r="C18" s="57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s="364" customFormat="1" ht="15">
      <c r="A19" s="261" t="s">
        <v>254</v>
      </c>
      <c r="B19" s="575"/>
      <c r="C19" s="57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s="364" customFormat="1" ht="15">
      <c r="A20" s="376" t="s">
        <v>841</v>
      </c>
      <c r="B20" s="575"/>
      <c r="C20" s="57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5">
      <c r="A21" s="34" t="s">
        <v>255</v>
      </c>
      <c r="B21" s="577">
        <f>SUM($B$10:B20)</f>
        <v>17245393</v>
      </c>
      <c r="C21" s="577">
        <f>SUM($C$10:C20)</f>
        <v>17424998</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Hoja32"/>
  <dimension ref="A1:AG46"/>
  <sheetViews>
    <sheetView showGridLines="0" zoomScalePageLayoutView="0" workbookViewId="0" topLeftCell="A7">
      <pane xSplit="1" ySplit="6" topLeftCell="B25" activePane="bottomRight" state="frozen"/>
      <selection pane="topLeft" activeCell="A7" sqref="A7"/>
      <selection pane="topRight" activeCell="B7" sqref="B7"/>
      <selection pane="bottomLeft" activeCell="A13" sqref="A13"/>
      <selection pane="bottomRight" activeCell="A1" sqref="A1"/>
    </sheetView>
  </sheetViews>
  <sheetFormatPr defaultColWidth="11.421875" defaultRowHeight="15"/>
  <cols>
    <col min="1" max="1" width="38.00390625" style="154" customWidth="1"/>
    <col min="2" max="7" width="23.00390625" style="154" customWidth="1"/>
    <col min="8" max="33" width="11.421875" style="154" customWidth="1"/>
  </cols>
  <sheetData>
    <row r="1" spans="1:7" ht="15">
      <c r="A1" s="154" t="str">
        <f>Indice!C1</f>
        <v>IMPORT CENTER S.A.</v>
      </c>
      <c r="G1" s="177" t="s">
        <v>144</v>
      </c>
    </row>
    <row r="5" spans="1:33" ht="15">
      <c r="A5" s="337" t="s">
        <v>323</v>
      </c>
      <c r="B5" s="337"/>
      <c r="C5" s="337"/>
      <c r="D5" s="337"/>
      <c r="E5" s="337"/>
      <c r="F5" s="337"/>
      <c r="G5" s="337"/>
      <c r="H5" s="337"/>
      <c r="I5" s="34"/>
      <c r="J5" s="34"/>
      <c r="K5" s="34"/>
      <c r="L5" s="34"/>
      <c r="M5" s="34"/>
      <c r="N5" s="34"/>
      <c r="O5" s="34"/>
      <c r="P5" s="34"/>
      <c r="Q5" s="34"/>
      <c r="R5" s="34"/>
      <c r="S5" s="34"/>
      <c r="T5" s="34"/>
      <c r="U5" s="34"/>
      <c r="V5" s="34"/>
      <c r="W5" s="34"/>
      <c r="X5" s="34"/>
      <c r="Y5" s="34"/>
      <c r="Z5" s="34"/>
      <c r="AA5" s="34"/>
      <c r="AB5" s="34"/>
      <c r="AC5" s="34"/>
      <c r="AD5" s="34"/>
      <c r="AE5" s="34"/>
      <c r="AF5" s="34"/>
      <c r="AG5" s="34"/>
    </row>
    <row r="6" spans="1:8" ht="15">
      <c r="A6" s="760" t="s">
        <v>178</v>
      </c>
      <c r="B6" s="760"/>
      <c r="C6" s="760"/>
      <c r="D6" s="760"/>
      <c r="E6" s="760"/>
      <c r="F6" s="760"/>
      <c r="G6" s="760"/>
      <c r="H6" s="760"/>
    </row>
    <row r="7" spans="1:33" s="211" customFormat="1"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row>
    <row r="8" spans="1:33" s="211" customFormat="1" ht="15">
      <c r="A8" s="210" t="s">
        <v>179</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s="211" customFormat="1" ht="1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s="211" customFormat="1" ht="15.75" thickBot="1">
      <c r="A10" s="385" t="s">
        <v>245</v>
      </c>
      <c r="B10" s="384"/>
      <c r="D10" s="385"/>
      <c r="E10" s="385"/>
      <c r="F10" s="386"/>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s="211" customFormat="1" ht="15.75" thickBot="1">
      <c r="A11" s="761"/>
      <c r="B11" s="447"/>
      <c r="C11" s="448">
        <f>_xlfn.IFERROR(IF(Indice!B6="","2XX2",YEAR(Indice!B6)),"2XX2")</f>
        <v>2022</v>
      </c>
      <c r="D11" s="450"/>
      <c r="E11" s="451"/>
      <c r="F11" s="448">
        <f>+_xlfn.IFERROR(YEAR(Indice!B6-365),"2XX1")</f>
        <v>2021</v>
      </c>
      <c r="G11" s="449"/>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s="211" customFormat="1" ht="15.75" thickBot="1">
      <c r="A12" s="762"/>
      <c r="B12" s="446" t="s">
        <v>180</v>
      </c>
      <c r="C12" s="446" t="s">
        <v>181</v>
      </c>
      <c r="D12" s="446" t="s">
        <v>3</v>
      </c>
      <c r="E12" s="446" t="s">
        <v>180</v>
      </c>
      <c r="F12" s="446" t="s">
        <v>181</v>
      </c>
      <c r="G12" s="446" t="s">
        <v>3</v>
      </c>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s="211" customFormat="1" ht="15">
      <c r="A13" s="258" t="s">
        <v>182</v>
      </c>
      <c r="B13" s="639">
        <f>53299+243015</f>
        <v>296314</v>
      </c>
      <c r="C13" s="639"/>
      <c r="D13" s="595">
        <f>+B13+C13</f>
        <v>296314</v>
      </c>
      <c r="E13" s="595">
        <v>126398</v>
      </c>
      <c r="F13" s="595">
        <v>0</v>
      </c>
      <c r="G13" s="595">
        <f>+E13+F13</f>
        <v>126398</v>
      </c>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s="211" customFormat="1" ht="15">
      <c r="A14" s="259" t="s">
        <v>183</v>
      </c>
      <c r="B14" s="640">
        <v>36190</v>
      </c>
      <c r="C14" s="640"/>
      <c r="D14" s="595">
        <f aca="true" t="shared" si="0" ref="D14:D35">+B14+C14</f>
        <v>36190</v>
      </c>
      <c r="E14" s="596">
        <v>42208</v>
      </c>
      <c r="F14" s="596">
        <v>0</v>
      </c>
      <c r="G14" s="595">
        <f aca="true" t="shared" si="1" ref="G14:G35">+E14+F14</f>
        <v>42208</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row>
    <row r="15" spans="1:33" s="211" customFormat="1" ht="15">
      <c r="A15" s="259" t="s">
        <v>184</v>
      </c>
      <c r="B15" s="640"/>
      <c r="C15" s="640">
        <v>20415</v>
      </c>
      <c r="D15" s="595">
        <f t="shared" si="0"/>
        <v>20415</v>
      </c>
      <c r="E15" s="596"/>
      <c r="F15" s="596">
        <v>59078</v>
      </c>
      <c r="G15" s="595">
        <f t="shared" si="1"/>
        <v>59078</v>
      </c>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s="211" customFormat="1" ht="15">
      <c r="A16" s="259" t="s">
        <v>185</v>
      </c>
      <c r="B16" s="640">
        <f>4392+120007</f>
        <v>124399</v>
      </c>
      <c r="C16" s="640">
        <v>72313</v>
      </c>
      <c r="D16" s="595">
        <f t="shared" si="0"/>
        <v>196712</v>
      </c>
      <c r="E16" s="596">
        <v>573970</v>
      </c>
      <c r="F16" s="596">
        <v>81770</v>
      </c>
      <c r="G16" s="595">
        <f t="shared" si="1"/>
        <v>655740</v>
      </c>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row>
    <row r="17" spans="1:33" s="211" customFormat="1" ht="15">
      <c r="A17" s="259" t="s">
        <v>186</v>
      </c>
      <c r="B17" s="640"/>
      <c r="C17" s="640">
        <f>252328+93205+4786</f>
        <v>350319</v>
      </c>
      <c r="D17" s="595">
        <f t="shared" si="0"/>
        <v>350319</v>
      </c>
      <c r="E17" s="596"/>
      <c r="F17" s="596">
        <v>55913</v>
      </c>
      <c r="G17" s="595">
        <f t="shared" si="1"/>
        <v>55913</v>
      </c>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s="211" customFormat="1" ht="15">
      <c r="A18" s="259" t="s">
        <v>187</v>
      </c>
      <c r="B18" s="640"/>
      <c r="C18" s="640"/>
      <c r="D18" s="595">
        <f t="shared" si="0"/>
        <v>0</v>
      </c>
      <c r="E18" s="596"/>
      <c r="F18" s="655"/>
      <c r="G18" s="595">
        <f t="shared" si="1"/>
        <v>0</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row>
    <row r="19" spans="1:33" s="211" customFormat="1" ht="15">
      <c r="A19" s="259" t="s">
        <v>188</v>
      </c>
      <c r="B19" s="640"/>
      <c r="C19" s="640">
        <f>68985+13018+28939</f>
        <v>110942</v>
      </c>
      <c r="D19" s="595">
        <f t="shared" si="0"/>
        <v>110942</v>
      </c>
      <c r="E19" s="596"/>
      <c r="F19" s="596">
        <v>115428</v>
      </c>
      <c r="G19" s="595">
        <f t="shared" si="1"/>
        <v>115428</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row>
    <row r="20" spans="1:33" s="211" customFormat="1" ht="15">
      <c r="A20" s="259" t="s">
        <v>189</v>
      </c>
      <c r="B20" s="640">
        <v>37396</v>
      </c>
      <c r="C20" s="640">
        <f>57899+38984</f>
        <v>96883</v>
      </c>
      <c r="D20" s="595">
        <f t="shared" si="0"/>
        <v>134279</v>
      </c>
      <c r="E20" s="596">
        <v>23744</v>
      </c>
      <c r="F20" s="596">
        <v>25562</v>
      </c>
      <c r="G20" s="595">
        <f t="shared" si="1"/>
        <v>49306</v>
      </c>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s="211" customFormat="1" ht="15">
      <c r="A21" s="259" t="s">
        <v>190</v>
      </c>
      <c r="B21" s="640"/>
      <c r="C21" s="640">
        <f>8586+600</f>
        <v>9186</v>
      </c>
      <c r="D21" s="595">
        <f t="shared" si="0"/>
        <v>9186</v>
      </c>
      <c r="E21" s="596"/>
      <c r="F21" s="596">
        <v>9921</v>
      </c>
      <c r="G21" s="595">
        <f t="shared" si="1"/>
        <v>9921</v>
      </c>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s="211" customFormat="1" ht="15">
      <c r="A22" s="259" t="s">
        <v>191</v>
      </c>
      <c r="B22" s="640"/>
      <c r="C22" s="640">
        <v>35737</v>
      </c>
      <c r="D22" s="595">
        <f t="shared" si="0"/>
        <v>35737</v>
      </c>
      <c r="E22" s="596"/>
      <c r="F22" s="596">
        <v>44181</v>
      </c>
      <c r="G22" s="595">
        <f t="shared" si="1"/>
        <v>44181</v>
      </c>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row>
    <row r="23" spans="1:33" s="211" customFormat="1" ht="15">
      <c r="A23" s="259" t="s">
        <v>192</v>
      </c>
      <c r="B23" s="640">
        <f>118393</f>
        <v>118393</v>
      </c>
      <c r="C23" s="640">
        <f>42465+102930+24651+6945+34331+64727+10320+900+33238+1300+16010+43049+12648+1245</f>
        <v>394759</v>
      </c>
      <c r="D23" s="595">
        <f t="shared" si="0"/>
        <v>513152</v>
      </c>
      <c r="E23" s="596">
        <v>157450</v>
      </c>
      <c r="F23" s="596">
        <v>459966</v>
      </c>
      <c r="G23" s="595">
        <f t="shared" si="1"/>
        <v>617416</v>
      </c>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s="211" customFormat="1" ht="24">
      <c r="A24" s="259" t="s">
        <v>193</v>
      </c>
      <c r="B24" s="640"/>
      <c r="C24" s="640">
        <v>144000</v>
      </c>
      <c r="D24" s="595">
        <f t="shared" si="0"/>
        <v>144000</v>
      </c>
      <c r="E24" s="596"/>
      <c r="F24" s="596">
        <v>360000</v>
      </c>
      <c r="G24" s="595">
        <f t="shared" si="1"/>
        <v>360000</v>
      </c>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s="211" customFormat="1" ht="15">
      <c r="A25" s="259" t="s">
        <v>194</v>
      </c>
      <c r="B25" s="640">
        <v>529308</v>
      </c>
      <c r="C25" s="640">
        <v>1192691</v>
      </c>
      <c r="D25" s="595">
        <f t="shared" si="0"/>
        <v>1721999</v>
      </c>
      <c r="E25" s="596"/>
      <c r="F25" s="596">
        <v>1133158</v>
      </c>
      <c r="G25" s="595">
        <f t="shared" si="1"/>
        <v>1133158</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211" customFormat="1" ht="15">
      <c r="A26" s="259" t="s">
        <v>195</v>
      </c>
      <c r="B26" s="640"/>
      <c r="C26" s="640">
        <v>206812</v>
      </c>
      <c r="D26" s="595">
        <f t="shared" si="0"/>
        <v>206812</v>
      </c>
      <c r="E26" s="596"/>
      <c r="F26" s="596">
        <v>193093</v>
      </c>
      <c r="G26" s="595">
        <f t="shared" si="1"/>
        <v>193093</v>
      </c>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33" s="211" customFormat="1" ht="15">
      <c r="A27" s="259" t="s">
        <v>196</v>
      </c>
      <c r="B27" s="640"/>
      <c r="C27" s="640">
        <f>60174</f>
        <v>60174</v>
      </c>
      <c r="D27" s="595">
        <f t="shared" si="0"/>
        <v>60174</v>
      </c>
      <c r="E27" s="596"/>
      <c r="F27" s="596">
        <v>73980</v>
      </c>
      <c r="G27" s="595">
        <f t="shared" si="1"/>
        <v>73980</v>
      </c>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3" s="211" customFormat="1" ht="15">
      <c r="A28" s="259" t="s">
        <v>197</v>
      </c>
      <c r="B28" s="640">
        <f>13011+100198+21194+7598+42608</f>
        <v>184609</v>
      </c>
      <c r="C28" s="640"/>
      <c r="D28" s="595">
        <f t="shared" si="0"/>
        <v>184609</v>
      </c>
      <c r="E28" s="596">
        <v>135760</v>
      </c>
      <c r="F28" s="596"/>
      <c r="G28" s="595">
        <f t="shared" si="1"/>
        <v>135760</v>
      </c>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row>
    <row r="29" spans="1:33" s="211" customFormat="1" ht="15">
      <c r="A29" s="259" t="s">
        <v>198</v>
      </c>
      <c r="B29" s="640"/>
      <c r="C29" s="640"/>
      <c r="D29" s="595">
        <f t="shared" si="0"/>
        <v>0</v>
      </c>
      <c r="E29" s="596"/>
      <c r="F29" s="596"/>
      <c r="G29" s="595">
        <f t="shared" si="1"/>
        <v>0</v>
      </c>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s="211" customFormat="1" ht="15">
      <c r="A30" s="259" t="s">
        <v>199</v>
      </c>
      <c r="B30" s="640"/>
      <c r="C30" s="640"/>
      <c r="D30" s="595">
        <f t="shared" si="0"/>
        <v>0</v>
      </c>
      <c r="E30" s="596"/>
      <c r="F30" s="596"/>
      <c r="G30" s="595">
        <f t="shared" si="1"/>
        <v>0</v>
      </c>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spans="1:33" s="211" customFormat="1" ht="15">
      <c r="A31" s="259" t="s">
        <v>849</v>
      </c>
      <c r="B31" s="640"/>
      <c r="C31" s="640">
        <v>377159</v>
      </c>
      <c r="D31" s="595">
        <f t="shared" si="0"/>
        <v>377159</v>
      </c>
      <c r="E31" s="596"/>
      <c r="F31" s="596">
        <v>354742</v>
      </c>
      <c r="G31" s="595">
        <f t="shared" si="1"/>
        <v>354742</v>
      </c>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row>
    <row r="32" spans="1:33" s="211" customFormat="1" ht="15">
      <c r="A32" s="259" t="s">
        <v>200</v>
      </c>
      <c r="B32" s="640"/>
      <c r="C32" s="640"/>
      <c r="D32" s="595">
        <f t="shared" si="0"/>
        <v>0</v>
      </c>
      <c r="E32" s="596"/>
      <c r="F32" s="596"/>
      <c r="G32" s="595">
        <f t="shared" si="1"/>
        <v>0</v>
      </c>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row>
    <row r="33" spans="1:33" s="211" customFormat="1" ht="15">
      <c r="A33" s="259" t="s">
        <v>7</v>
      </c>
      <c r="B33" s="640"/>
      <c r="C33" s="640"/>
      <c r="D33" s="595">
        <f t="shared" si="0"/>
        <v>0</v>
      </c>
      <c r="E33" s="596"/>
      <c r="F33" s="596"/>
      <c r="G33" s="595">
        <f t="shared" si="1"/>
        <v>0</v>
      </c>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s="211" customFormat="1" ht="15">
      <c r="A34" s="598" t="s">
        <v>956</v>
      </c>
      <c r="B34" s="641"/>
      <c r="C34" s="641"/>
      <c r="D34" s="595">
        <f t="shared" si="0"/>
        <v>0</v>
      </c>
      <c r="E34" s="597"/>
      <c r="F34" s="597"/>
      <c r="G34" s="595">
        <f t="shared" si="1"/>
        <v>0</v>
      </c>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1:33" s="211" customFormat="1" ht="15">
      <c r="A35" s="387" t="s">
        <v>66</v>
      </c>
      <c r="B35" s="641"/>
      <c r="C35" s="641"/>
      <c r="D35" s="595">
        <f t="shared" si="0"/>
        <v>0</v>
      </c>
      <c r="E35" s="597"/>
      <c r="F35" s="656"/>
      <c r="G35" s="595">
        <f t="shared" si="1"/>
        <v>0</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row>
    <row r="36" spans="1:33" s="211" customFormat="1" ht="15.75" thickBot="1">
      <c r="A36" s="260" t="s">
        <v>3</v>
      </c>
      <c r="B36" s="642">
        <f>SUM(B13:B35)</f>
        <v>1326609</v>
      </c>
      <c r="C36" s="642">
        <f>SUM(C13:C35)</f>
        <v>3071390</v>
      </c>
      <c r="D36" s="642">
        <f>SUM(D13:D35)+3</f>
        <v>4398002</v>
      </c>
      <c r="E36" s="642">
        <f>SUM(E13:E35)</f>
        <v>1059530</v>
      </c>
      <c r="F36" s="642">
        <f>SUM(F13:F35)</f>
        <v>2966792</v>
      </c>
      <c r="G36" s="642">
        <f>SUM(G13:G35)-1</f>
        <v>4026321</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s="211" customFormat="1" ht="15">
      <c r="A37" s="210"/>
      <c r="B37" s="210"/>
      <c r="C37" s="210"/>
      <c r="D37" s="210"/>
      <c r="E37" s="632"/>
      <c r="F37" s="632"/>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s="211" customFormat="1" ht="15">
      <c r="A38" s="210"/>
      <c r="B38" s="632"/>
      <c r="C38" s="632"/>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row>
    <row r="39" spans="1:33" s="211" customFormat="1" ht="15">
      <c r="A39" s="210"/>
      <c r="B39" s="210"/>
      <c r="C39" s="632"/>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row>
    <row r="40" spans="1:33" s="211" customFormat="1" ht="15">
      <c r="A40" s="210"/>
      <c r="B40" s="210"/>
      <c r="C40" s="632"/>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s="211" customFormat="1" ht="15">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s="211" customFormat="1" ht="1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s="211" customFormat="1" ht="15">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row>
    <row r="44" spans="1:33" s="211" customFormat="1" ht="1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s="179" customFormat="1" ht="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row>
    <row r="46" spans="1:33" s="179" customFormat="1" ht="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Hoja33"/>
  <dimension ref="A1:X25"/>
  <sheetViews>
    <sheetView showGridLines="0" zoomScalePageLayoutView="0" workbookViewId="0" topLeftCell="A1">
      <selection activeCell="B9" sqref="B9"/>
    </sheetView>
  </sheetViews>
  <sheetFormatPr defaultColWidth="11.421875" defaultRowHeight="15"/>
  <cols>
    <col min="1" max="1" width="38.00390625" style="154" customWidth="1"/>
    <col min="2" max="2" width="14.7109375" style="154" customWidth="1"/>
    <col min="3" max="3" width="15.7109375" style="154" customWidth="1"/>
    <col min="4" max="4" width="4.8515625" style="154" customWidth="1"/>
    <col min="5" max="5" width="25.140625" style="154" customWidth="1"/>
    <col min="6" max="6" width="13.28125" style="154" customWidth="1"/>
    <col min="7" max="7" width="14.57421875" style="154" customWidth="1"/>
    <col min="8" max="20" width="11.421875" style="154" customWidth="1"/>
  </cols>
  <sheetData>
    <row r="1" spans="1:5" ht="15">
      <c r="A1" s="154" t="str">
        <f>Indice!C1</f>
        <v>IMPORT CENTER S.A.</v>
      </c>
      <c r="E1" s="177" t="s">
        <v>144</v>
      </c>
    </row>
    <row r="4" spans="1:24" ht="15">
      <c r="A4" s="763" t="s">
        <v>324</v>
      </c>
      <c r="B4" s="763"/>
      <c r="C4" s="763"/>
      <c r="D4" s="763"/>
      <c r="E4" s="763"/>
      <c r="F4" s="186"/>
      <c r="U4" s="154"/>
      <c r="V4" s="154"/>
      <c r="W4" s="154"/>
      <c r="X4" s="154"/>
    </row>
    <row r="5" spans="1:24" ht="15">
      <c r="A5" s="183"/>
      <c r="B5" s="185"/>
      <c r="C5" s="184"/>
      <c r="D5" s="184"/>
      <c r="E5" s="184"/>
      <c r="F5" s="186"/>
      <c r="U5" s="154"/>
      <c r="V5" s="154"/>
      <c r="W5" s="154"/>
      <c r="X5" s="154"/>
    </row>
    <row r="6" spans="1:24" s="235" customFormat="1" ht="15">
      <c r="A6" s="388" t="s">
        <v>245</v>
      </c>
      <c r="B6" s="764"/>
      <c r="C6" s="764"/>
      <c r="D6" s="184"/>
      <c r="E6" s="184"/>
      <c r="F6" s="186"/>
      <c r="G6" s="154"/>
      <c r="H6" s="154"/>
      <c r="I6" s="154"/>
      <c r="J6" s="154"/>
      <c r="K6" s="154"/>
      <c r="L6" s="154"/>
      <c r="M6" s="154"/>
      <c r="N6" s="154"/>
      <c r="O6" s="154"/>
      <c r="P6" s="154"/>
      <c r="Q6" s="154"/>
      <c r="R6" s="154"/>
      <c r="S6" s="154"/>
      <c r="T6" s="154"/>
      <c r="U6" s="154"/>
      <c r="V6" s="154"/>
      <c r="W6" s="154"/>
      <c r="X6" s="154"/>
    </row>
    <row r="7" spans="1:24" ht="15">
      <c r="A7" s="183"/>
      <c r="D7" s="184"/>
      <c r="E7" s="184"/>
      <c r="F7" s="186"/>
      <c r="U7" s="154"/>
      <c r="V7" s="154"/>
      <c r="W7" s="154"/>
      <c r="X7" s="154"/>
    </row>
    <row r="8" spans="1:24" ht="15">
      <c r="A8" s="187" t="s">
        <v>153</v>
      </c>
      <c r="B8" s="427">
        <f>_xlfn.IFERROR(IF(Indice!B6="","2XX2",YEAR(Indice!B6)),"2XX2")</f>
        <v>2022</v>
      </c>
      <c r="C8" s="427">
        <f>+_xlfn.IFERROR(YEAR(Indice!B6-365),"2XX1")</f>
        <v>2021</v>
      </c>
      <c r="D8" s="184"/>
      <c r="E8" s="187" t="s">
        <v>247</v>
      </c>
      <c r="F8" s="427">
        <f>_xlfn.IFERROR(IF(Indice!B6="","2XX2",YEAR(Indice!B6)),"2XX2")</f>
        <v>2022</v>
      </c>
      <c r="G8" s="427">
        <f>+_xlfn.IFERROR(YEAR(Indice!B6-365),"2XX1")</f>
        <v>2021</v>
      </c>
      <c r="U8" s="154"/>
      <c r="V8" s="154"/>
      <c r="W8" s="154"/>
      <c r="X8" s="154"/>
    </row>
    <row r="9" spans="1:24" ht="15">
      <c r="A9" s="183" t="s">
        <v>956</v>
      </c>
      <c r="B9" s="186"/>
      <c r="C9" s="186"/>
      <c r="D9" s="184"/>
      <c r="E9" s="183" t="s">
        <v>997</v>
      </c>
      <c r="F9" s="186"/>
      <c r="G9" s="186">
        <v>9145</v>
      </c>
      <c r="U9" s="154"/>
      <c r="V9" s="154"/>
      <c r="W9" s="154"/>
      <c r="X9" s="154"/>
    </row>
    <row r="10" spans="1:24" ht="15">
      <c r="A10" s="183" t="s">
        <v>957</v>
      </c>
      <c r="B10" s="186">
        <v>35021</v>
      </c>
      <c r="C10" s="186">
        <v>6613</v>
      </c>
      <c r="D10" s="184"/>
      <c r="E10" s="183" t="s">
        <v>1009</v>
      </c>
      <c r="F10" s="186">
        <v>0</v>
      </c>
      <c r="G10" s="186">
        <v>0</v>
      </c>
      <c r="U10" s="154"/>
      <c r="V10" s="154"/>
      <c r="W10" s="154"/>
      <c r="X10" s="154"/>
    </row>
    <row r="11" spans="1:24" ht="15">
      <c r="A11" s="183" t="s">
        <v>958</v>
      </c>
      <c r="B11" s="186">
        <v>23464</v>
      </c>
      <c r="C11" s="186">
        <v>72037</v>
      </c>
      <c r="D11" s="184"/>
      <c r="E11" s="183"/>
      <c r="F11" s="186"/>
      <c r="G11" s="186"/>
      <c r="U11" s="154"/>
      <c r="V11" s="154"/>
      <c r="W11" s="154"/>
      <c r="X11" s="154"/>
    </row>
    <row r="12" spans="1:24" ht="15">
      <c r="A12" s="183" t="s">
        <v>959</v>
      </c>
      <c r="B12" s="186">
        <v>86332</v>
      </c>
      <c r="C12" s="186"/>
      <c r="D12" s="184"/>
      <c r="E12" s="183"/>
      <c r="F12" s="186"/>
      <c r="G12" s="186"/>
      <c r="U12" s="154"/>
      <c r="V12" s="154"/>
      <c r="W12" s="154"/>
      <c r="X12" s="154"/>
    </row>
    <row r="13" spans="1:24" ht="15">
      <c r="A13" s="183"/>
      <c r="B13" s="186"/>
      <c r="C13" s="186"/>
      <c r="D13" s="184"/>
      <c r="E13" s="183"/>
      <c r="F13" s="186"/>
      <c r="G13" s="186"/>
      <c r="U13" s="154"/>
      <c r="V13" s="154"/>
      <c r="W13" s="154"/>
      <c r="X13" s="154"/>
    </row>
    <row r="14" spans="1:24" ht="15">
      <c r="A14" s="183"/>
      <c r="B14" s="578"/>
      <c r="C14" s="186"/>
      <c r="D14" s="184"/>
      <c r="E14" s="183"/>
      <c r="F14" s="578"/>
      <c r="G14" s="186"/>
      <c r="U14" s="154"/>
      <c r="V14" s="154"/>
      <c r="W14" s="154"/>
      <c r="X14" s="154"/>
    </row>
    <row r="15" spans="1:24" ht="15">
      <c r="A15" s="183"/>
      <c r="B15" s="578"/>
      <c r="C15" s="186"/>
      <c r="D15" s="184"/>
      <c r="E15" s="183"/>
      <c r="F15" s="578"/>
      <c r="G15" s="186"/>
      <c r="U15" s="154"/>
      <c r="V15" s="154"/>
      <c r="W15" s="154"/>
      <c r="X15" s="154"/>
    </row>
    <row r="16" spans="1:24" ht="15">
      <c r="A16" s="187" t="s">
        <v>3</v>
      </c>
      <c r="B16" s="633">
        <f>SUM($B$9:B15)+1</f>
        <v>144818</v>
      </c>
      <c r="C16" s="633">
        <f>SUM($C$9:C15)</f>
        <v>78650</v>
      </c>
      <c r="D16" s="390"/>
      <c r="E16" s="452" t="s">
        <v>3</v>
      </c>
      <c r="F16" s="389">
        <f>SUM($F$9:F15)</f>
        <v>0</v>
      </c>
      <c r="G16" s="389">
        <f>SUM($G$9:G15)</f>
        <v>9145</v>
      </c>
      <c r="U16" s="154"/>
      <c r="V16" s="154"/>
      <c r="W16" s="154"/>
      <c r="X16" s="154"/>
    </row>
    <row r="17" spans="4:24" s="235" customFormat="1" ht="15">
      <c r="D17" s="184"/>
      <c r="E17" s="184"/>
      <c r="F17" s="186"/>
      <c r="G17" s="154"/>
      <c r="H17" s="154"/>
      <c r="I17" s="154"/>
      <c r="J17" s="154"/>
      <c r="K17" s="154"/>
      <c r="L17" s="154"/>
      <c r="M17" s="154"/>
      <c r="N17" s="154"/>
      <c r="O17" s="154"/>
      <c r="P17" s="154"/>
      <c r="Q17" s="154"/>
      <c r="R17" s="154"/>
      <c r="S17" s="154"/>
      <c r="T17" s="154"/>
      <c r="U17" s="154"/>
      <c r="V17" s="154"/>
      <c r="W17" s="154"/>
      <c r="X17" s="154"/>
    </row>
    <row r="18" spans="4:24" s="235" customFormat="1" ht="15">
      <c r="D18" s="184"/>
      <c r="E18" s="184"/>
      <c r="F18" s="186"/>
      <c r="G18" s="154"/>
      <c r="H18" s="154"/>
      <c r="I18" s="154"/>
      <c r="J18" s="154"/>
      <c r="K18" s="154"/>
      <c r="L18" s="154"/>
      <c r="M18" s="154"/>
      <c r="N18" s="154"/>
      <c r="O18" s="154"/>
      <c r="P18" s="154"/>
      <c r="Q18" s="154"/>
      <c r="R18" s="154"/>
      <c r="S18" s="154"/>
      <c r="T18" s="154"/>
      <c r="U18" s="154"/>
      <c r="V18" s="154"/>
      <c r="W18" s="154"/>
      <c r="X18" s="154"/>
    </row>
    <row r="19" spans="4:24" s="235" customFormat="1" ht="15">
      <c r="D19" s="184"/>
      <c r="E19" s="184"/>
      <c r="F19" s="186"/>
      <c r="G19" s="154"/>
      <c r="H19" s="154"/>
      <c r="I19" s="154"/>
      <c r="J19" s="154"/>
      <c r="K19" s="154"/>
      <c r="L19" s="154"/>
      <c r="M19" s="154"/>
      <c r="N19" s="154"/>
      <c r="O19" s="154"/>
      <c r="P19" s="154"/>
      <c r="Q19" s="154"/>
      <c r="R19" s="154"/>
      <c r="S19" s="154"/>
      <c r="T19" s="154"/>
      <c r="U19" s="154"/>
      <c r="V19" s="154"/>
      <c r="W19" s="154"/>
      <c r="X19" s="154"/>
    </row>
    <row r="20" spans="4:24" s="235" customFormat="1" ht="15">
      <c r="D20" s="184"/>
      <c r="E20" s="184"/>
      <c r="F20" s="186"/>
      <c r="G20" s="154"/>
      <c r="H20" s="154"/>
      <c r="I20" s="154"/>
      <c r="J20" s="154"/>
      <c r="K20" s="154"/>
      <c r="L20" s="154"/>
      <c r="M20" s="154"/>
      <c r="N20" s="154"/>
      <c r="O20" s="154"/>
      <c r="P20" s="154"/>
      <c r="Q20" s="154"/>
      <c r="R20" s="154"/>
      <c r="S20" s="154"/>
      <c r="T20" s="154"/>
      <c r="U20" s="154"/>
      <c r="V20" s="154"/>
      <c r="W20" s="154"/>
      <c r="X20" s="154"/>
    </row>
    <row r="21" spans="4:24" s="235" customFormat="1" ht="15">
      <c r="D21" s="184"/>
      <c r="E21" s="184"/>
      <c r="F21" s="186"/>
      <c r="G21" s="154"/>
      <c r="H21" s="154"/>
      <c r="I21" s="154"/>
      <c r="J21" s="154"/>
      <c r="K21" s="154"/>
      <c r="L21" s="154"/>
      <c r="M21" s="154"/>
      <c r="N21" s="154"/>
      <c r="O21" s="154"/>
      <c r="P21" s="154"/>
      <c r="Q21" s="154"/>
      <c r="R21" s="154"/>
      <c r="S21" s="154"/>
      <c r="T21" s="154"/>
      <c r="U21" s="154"/>
      <c r="V21" s="154"/>
      <c r="W21" s="154"/>
      <c r="X21" s="154"/>
    </row>
    <row r="22" spans="4:24" s="235" customFormat="1" ht="15">
      <c r="D22" s="184"/>
      <c r="E22" s="184"/>
      <c r="F22" s="186"/>
      <c r="G22" s="154"/>
      <c r="H22" s="154"/>
      <c r="I22" s="154"/>
      <c r="J22" s="154"/>
      <c r="K22" s="154"/>
      <c r="L22" s="154"/>
      <c r="M22" s="154"/>
      <c r="N22" s="154"/>
      <c r="O22" s="154"/>
      <c r="P22" s="154"/>
      <c r="Q22" s="154"/>
      <c r="R22" s="154"/>
      <c r="S22" s="154"/>
      <c r="T22" s="154"/>
      <c r="U22" s="154"/>
      <c r="V22" s="154"/>
      <c r="W22" s="154"/>
      <c r="X22" s="154"/>
    </row>
    <row r="23" spans="4:24" s="235" customFormat="1" ht="15">
      <c r="D23" s="184"/>
      <c r="E23" s="184"/>
      <c r="F23" s="186"/>
      <c r="G23" s="154"/>
      <c r="H23" s="154"/>
      <c r="I23" s="154"/>
      <c r="J23" s="154"/>
      <c r="K23" s="154"/>
      <c r="L23" s="154"/>
      <c r="M23" s="154"/>
      <c r="N23" s="154"/>
      <c r="O23" s="154"/>
      <c r="P23" s="154"/>
      <c r="Q23" s="154"/>
      <c r="R23" s="154"/>
      <c r="S23" s="154"/>
      <c r="T23" s="154"/>
      <c r="U23" s="154"/>
      <c r="V23" s="154"/>
      <c r="W23" s="154"/>
      <c r="X23" s="154"/>
    </row>
    <row r="24" spans="4:24" s="235" customFormat="1" ht="15">
      <c r="D24" s="184"/>
      <c r="E24" s="184"/>
      <c r="F24" s="186"/>
      <c r="G24" s="154"/>
      <c r="H24" s="154"/>
      <c r="I24" s="154"/>
      <c r="J24" s="154"/>
      <c r="K24" s="154"/>
      <c r="L24" s="154"/>
      <c r="M24" s="154"/>
      <c r="N24" s="154"/>
      <c r="O24" s="154"/>
      <c r="P24" s="154"/>
      <c r="Q24" s="154"/>
      <c r="R24" s="154"/>
      <c r="S24" s="154"/>
      <c r="T24" s="154"/>
      <c r="U24" s="154"/>
      <c r="V24" s="154"/>
      <c r="W24" s="154"/>
      <c r="X24" s="154"/>
    </row>
    <row r="25" spans="4:24" s="235" customFormat="1" ht="15">
      <c r="D25" s="184"/>
      <c r="E25" s="184"/>
      <c r="F25" s="186"/>
      <c r="G25" s="154"/>
      <c r="H25" s="154"/>
      <c r="I25" s="154"/>
      <c r="J25" s="154"/>
      <c r="K25" s="154"/>
      <c r="L25" s="154"/>
      <c r="M25" s="154"/>
      <c r="N25" s="154"/>
      <c r="O25" s="154"/>
      <c r="P25" s="154"/>
      <c r="Q25" s="154"/>
      <c r="R25" s="154"/>
      <c r="S25" s="154"/>
      <c r="T25" s="154"/>
      <c r="U25" s="154"/>
      <c r="V25" s="154"/>
      <c r="W25" s="154"/>
      <c r="X25" s="154"/>
    </row>
  </sheetData>
  <sheetProtection/>
  <mergeCells count="2">
    <mergeCell ref="A4:E4"/>
    <mergeCell ref="B6:C6"/>
  </mergeCells>
  <hyperlinks>
    <hyperlink ref="E1" location="ER!A1" display="E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Hoja34"/>
  <dimension ref="A1:AE23"/>
  <sheetViews>
    <sheetView showGridLines="0" zoomScalePageLayoutView="0" workbookViewId="0" topLeftCell="A1">
      <selection activeCell="F13" sqref="F13"/>
    </sheetView>
  </sheetViews>
  <sheetFormatPr defaultColWidth="11.421875" defaultRowHeight="15"/>
  <cols>
    <col min="1" max="1" width="35.8515625" style="154" customWidth="1"/>
    <col min="2" max="2" width="18.421875" style="154" customWidth="1"/>
    <col min="3" max="3" width="16.7109375" style="154" customWidth="1"/>
    <col min="4" max="4" width="11.421875" style="154" customWidth="1"/>
    <col min="5" max="5" width="25.7109375" style="154" customWidth="1"/>
    <col min="6" max="6" width="17.28125" style="154" customWidth="1"/>
    <col min="7" max="7" width="16.00390625" style="154" customWidth="1"/>
    <col min="8" max="15" width="11.421875" style="154" customWidth="1"/>
  </cols>
  <sheetData>
    <row r="1" spans="1:5" ht="15">
      <c r="A1" s="154" t="str">
        <f>Indice!C1</f>
        <v>IMPORT CENTER S.A.</v>
      </c>
      <c r="E1" s="177" t="s">
        <v>144</v>
      </c>
    </row>
    <row r="5" spans="1:30" ht="15">
      <c r="A5" s="337" t="s">
        <v>325</v>
      </c>
      <c r="B5" s="337"/>
      <c r="C5" s="337"/>
      <c r="D5" s="337"/>
      <c r="E5" s="337"/>
      <c r="F5" s="337"/>
      <c r="G5" s="337"/>
      <c r="H5" s="34"/>
      <c r="I5" s="34"/>
      <c r="J5" s="34"/>
      <c r="K5" s="34"/>
      <c r="L5" s="34"/>
      <c r="M5" s="34"/>
      <c r="N5" s="34"/>
      <c r="O5" s="34"/>
      <c r="P5" s="34"/>
      <c r="Q5" s="34"/>
      <c r="R5" s="34"/>
      <c r="S5" s="34"/>
      <c r="T5" s="34"/>
      <c r="U5" s="34"/>
      <c r="V5" s="34"/>
      <c r="W5" s="34"/>
      <c r="X5" s="34"/>
      <c r="Y5" s="34"/>
      <c r="Z5" s="34"/>
      <c r="AA5" s="34"/>
      <c r="AB5" s="34"/>
      <c r="AC5" s="34"/>
      <c r="AD5" s="34"/>
    </row>
    <row r="6" ht="15">
      <c r="A6" s="365" t="s">
        <v>245</v>
      </c>
    </row>
    <row r="7" ht="15">
      <c r="C7" s="365"/>
    </row>
    <row r="8" spans="1:31" ht="15">
      <c r="A8" s="182" t="s">
        <v>155</v>
      </c>
      <c r="B8" s="427">
        <f>_xlfn.IFERROR(IF(Indice!B6="","2XX2",YEAR(Indice!B6)),"2XX2")</f>
        <v>2022</v>
      </c>
      <c r="C8" s="427">
        <f>+_xlfn.IFERROR(YEAR(Indice!B6-365),"2XX1")</f>
        <v>2021</v>
      </c>
      <c r="D8" s="34"/>
      <c r="E8" s="182" t="s">
        <v>157</v>
      </c>
      <c r="F8" s="427">
        <f>_xlfn.IFERROR(IF(Indice!B6="","2XX2",YEAR(Indice!B6)),"2XX2")</f>
        <v>2022</v>
      </c>
      <c r="G8" s="427">
        <f>+_xlfn.IFERROR(YEAR(Indice!B6-365),"2XX1")</f>
        <v>2021</v>
      </c>
      <c r="H8" s="34"/>
      <c r="I8" s="34"/>
      <c r="J8" s="34"/>
      <c r="K8" s="34"/>
      <c r="L8" s="34"/>
      <c r="M8" s="34"/>
      <c r="N8" s="34"/>
      <c r="O8" s="34"/>
      <c r="P8" s="34"/>
      <c r="Q8" s="34"/>
      <c r="R8" s="34"/>
      <c r="S8" s="34"/>
      <c r="T8" s="34"/>
      <c r="U8" s="34"/>
      <c r="V8" s="34"/>
      <c r="W8" s="34"/>
      <c r="X8" s="34"/>
      <c r="Y8" s="34"/>
      <c r="Z8" s="34"/>
      <c r="AA8" s="34"/>
      <c r="AB8" s="34"/>
      <c r="AC8" s="34"/>
      <c r="AD8" s="34"/>
      <c r="AE8" s="34"/>
    </row>
    <row r="9" spans="1:31" ht="15">
      <c r="A9" s="34" t="s">
        <v>956</v>
      </c>
      <c r="B9" s="186">
        <v>566215</v>
      </c>
      <c r="C9" s="575">
        <v>153158</v>
      </c>
      <c r="D9" s="34"/>
      <c r="E9" s="34" t="s">
        <v>960</v>
      </c>
      <c r="F9" s="575">
        <v>1280109</v>
      </c>
      <c r="G9" s="575">
        <v>871365</v>
      </c>
      <c r="H9" s="34"/>
      <c r="I9" s="34"/>
      <c r="J9" s="34"/>
      <c r="K9" s="34"/>
      <c r="L9" s="34"/>
      <c r="M9" s="34"/>
      <c r="N9" s="34"/>
      <c r="O9" s="34"/>
      <c r="P9" s="34"/>
      <c r="Q9" s="34"/>
      <c r="R9" s="34"/>
      <c r="S9" s="34"/>
      <c r="T9" s="34"/>
      <c r="U9" s="34"/>
      <c r="V9" s="34"/>
      <c r="W9" s="34"/>
      <c r="X9" s="34"/>
      <c r="Y9" s="34"/>
      <c r="Z9" s="34"/>
      <c r="AA9" s="34"/>
      <c r="AB9" s="34"/>
      <c r="AC9" s="34"/>
      <c r="AD9" s="34"/>
      <c r="AE9" s="34"/>
    </row>
    <row r="10" spans="1:31" s="235" customFormat="1" ht="15">
      <c r="A10" s="34"/>
      <c r="B10" s="575"/>
      <c r="C10" s="575"/>
      <c r="D10" s="34"/>
      <c r="E10" s="34" t="s">
        <v>961</v>
      </c>
      <c r="F10" s="575">
        <v>108814</v>
      </c>
      <c r="G10" s="575">
        <v>156806</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35" customFormat="1" ht="15">
      <c r="A11" s="34"/>
      <c r="B11" s="575"/>
      <c r="C11" s="575"/>
      <c r="D11" s="34"/>
      <c r="E11" s="34" t="s">
        <v>962</v>
      </c>
      <c r="F11" s="575">
        <v>474817</v>
      </c>
      <c r="G11" s="575">
        <v>609447</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2:31" ht="15">
      <c r="B12" s="575"/>
      <c r="C12" s="575"/>
      <c r="D12" s="34"/>
      <c r="E12" s="154" t="s">
        <v>956</v>
      </c>
      <c r="F12" s="575">
        <v>305332</v>
      </c>
      <c r="G12" s="575">
        <v>559689</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
      <c r="A13" s="34"/>
      <c r="B13" s="575"/>
      <c r="C13" s="575"/>
      <c r="D13" s="34"/>
      <c r="E13" s="34"/>
      <c r="F13" s="575"/>
      <c r="G13" s="575"/>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
      <c r="A14" s="182" t="s">
        <v>156</v>
      </c>
      <c r="B14" s="188">
        <f>SUM($B9:B13)</f>
        <v>566215</v>
      </c>
      <c r="C14" s="188">
        <f>SUM($C9:C13)</f>
        <v>153158</v>
      </c>
      <c r="D14" s="34"/>
      <c r="E14" s="182" t="s">
        <v>256</v>
      </c>
      <c r="F14" s="579">
        <f>SUM($F9:F13)</f>
        <v>2169072</v>
      </c>
      <c r="G14" s="579">
        <f>SUM($G9:G13)</f>
        <v>2197307</v>
      </c>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
      <c r="A15" s="34"/>
      <c r="B15" s="189"/>
      <c r="C15" s="189"/>
      <c r="D15" s="34"/>
      <c r="F15" s="568"/>
      <c r="G15" s="568"/>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7" spans="4:31" ht="1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ht="1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35" customFormat="1" ht="1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s="235" customFormat="1" ht="1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ht="1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ht="1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4:31" ht="1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sheetData>
  <sheetProtection/>
  <hyperlinks>
    <hyperlink ref="E1" location="ER!A1" display="E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Hoja35"/>
  <dimension ref="A1:AB17"/>
  <sheetViews>
    <sheetView zoomScalePageLayoutView="0" workbookViewId="0" topLeftCell="A1">
      <selection activeCell="B9" sqref="B9"/>
    </sheetView>
  </sheetViews>
  <sheetFormatPr defaultColWidth="11.421875" defaultRowHeight="15"/>
  <cols>
    <col min="1" max="1" width="38.00390625" style="154" customWidth="1"/>
    <col min="2" max="2" width="16.57421875" style="154" customWidth="1"/>
    <col min="3" max="3" width="18.421875" style="154" customWidth="1"/>
    <col min="4" max="25" width="11.421875" style="154" customWidth="1"/>
  </cols>
  <sheetData>
    <row r="1" spans="1:5" ht="15">
      <c r="A1" s="154" t="str">
        <f>Indice!C1</f>
        <v>IMPORT CENTER S.A.</v>
      </c>
      <c r="E1" s="177" t="s">
        <v>144</v>
      </c>
    </row>
    <row r="4" spans="1:28" s="364" customFormat="1" ht="15.75" customHeight="1">
      <c r="A4" s="369" t="s">
        <v>201</v>
      </c>
      <c r="B4" s="453"/>
      <c r="C4" s="453"/>
      <c r="D4" s="453"/>
      <c r="E4" s="453"/>
      <c r="F4" s="183"/>
      <c r="G4" s="186"/>
      <c r="H4" s="184"/>
      <c r="I4" s="154"/>
      <c r="J4" s="154"/>
      <c r="K4" s="154"/>
      <c r="L4" s="154"/>
      <c r="M4" s="154"/>
      <c r="N4" s="154"/>
      <c r="O4" s="154"/>
      <c r="P4" s="154"/>
      <c r="Q4" s="154"/>
      <c r="R4" s="154"/>
      <c r="S4" s="154"/>
      <c r="T4" s="154"/>
      <c r="U4" s="154"/>
      <c r="V4" s="154"/>
      <c r="W4" s="154"/>
      <c r="X4" s="154"/>
      <c r="Y4" s="154"/>
      <c r="Z4" s="154"/>
      <c r="AA4" s="154"/>
      <c r="AB4" s="154"/>
    </row>
    <row r="5" spans="1:28" s="235" customFormat="1" ht="15.75" customHeight="1">
      <c r="A5" s="454" t="s">
        <v>245</v>
      </c>
      <c r="B5" s="454"/>
      <c r="C5" s="262"/>
      <c r="D5" s="262"/>
      <c r="E5" s="262"/>
      <c r="F5" s="183"/>
      <c r="G5" s="186"/>
      <c r="H5" s="184"/>
      <c r="I5" s="154"/>
      <c r="J5" s="154"/>
      <c r="K5" s="154"/>
      <c r="L5" s="154"/>
      <c r="M5" s="154"/>
      <c r="N5" s="154"/>
      <c r="O5" s="154"/>
      <c r="P5" s="154"/>
      <c r="Q5" s="154"/>
      <c r="R5" s="154"/>
      <c r="S5" s="154"/>
      <c r="T5" s="154"/>
      <c r="U5" s="154"/>
      <c r="V5" s="154"/>
      <c r="W5" s="154"/>
      <c r="X5" s="154"/>
      <c r="Y5" s="154"/>
      <c r="Z5" s="154"/>
      <c r="AA5" s="154"/>
      <c r="AB5" s="154"/>
    </row>
    <row r="6" spans="1:28" ht="15">
      <c r="A6" s="183"/>
      <c r="B6" s="764"/>
      <c r="C6" s="764"/>
      <c r="D6" s="184"/>
      <c r="E6" s="184"/>
      <c r="F6" s="183"/>
      <c r="G6" s="186"/>
      <c r="H6" s="184"/>
      <c r="Z6" s="154"/>
      <c r="AA6" s="154"/>
      <c r="AB6" s="154"/>
    </row>
    <row r="7" spans="1:28" ht="15">
      <c r="A7" s="183"/>
      <c r="D7" s="184"/>
      <c r="E7" s="184"/>
      <c r="F7" s="183"/>
      <c r="G7" s="186"/>
      <c r="H7" s="184"/>
      <c r="Z7" s="154"/>
      <c r="AA7" s="154"/>
      <c r="AB7" s="154"/>
    </row>
    <row r="8" spans="1:28" ht="15">
      <c r="A8" s="187" t="s">
        <v>158</v>
      </c>
      <c r="B8" s="427">
        <f>_xlfn.IFERROR(IF(Indice!B6="","2XX2",YEAR(Indice!B6)),"2XX2")</f>
        <v>2022</v>
      </c>
      <c r="C8" s="427">
        <f>+_xlfn.IFERROR(YEAR(Indice!B6-365),"2XX1")</f>
        <v>2021</v>
      </c>
      <c r="D8" s="184"/>
      <c r="E8" s="184"/>
      <c r="F8" s="183"/>
      <c r="G8" s="186"/>
      <c r="H8" s="184"/>
      <c r="Z8" s="154"/>
      <c r="AA8" s="154"/>
      <c r="AB8" s="154"/>
    </row>
    <row r="9" spans="1:28" ht="15">
      <c r="A9" s="183" t="s">
        <v>150</v>
      </c>
      <c r="B9" s="183"/>
      <c r="C9" s="183"/>
      <c r="D9" s="184"/>
      <c r="E9" s="184"/>
      <c r="F9" s="183"/>
      <c r="G9" s="186"/>
      <c r="H9" s="184"/>
      <c r="Z9" s="154"/>
      <c r="AA9" s="154"/>
      <c r="AB9" s="154"/>
    </row>
    <row r="10" spans="1:28" ht="15">
      <c r="A10" s="183"/>
      <c r="B10" s="183"/>
      <c r="C10" s="183"/>
      <c r="D10" s="184"/>
      <c r="E10" s="184"/>
      <c r="F10" s="183"/>
      <c r="G10" s="186"/>
      <c r="H10" s="184"/>
      <c r="Z10" s="154"/>
      <c r="AA10" s="154"/>
      <c r="AB10" s="154"/>
    </row>
    <row r="11" spans="1:28" ht="15">
      <c r="A11" s="183"/>
      <c r="B11" s="183"/>
      <c r="C11" s="183"/>
      <c r="D11" s="184"/>
      <c r="E11" s="184"/>
      <c r="F11" s="183"/>
      <c r="G11" s="186"/>
      <c r="H11" s="184"/>
      <c r="Z11" s="154"/>
      <c r="AA11" s="154"/>
      <c r="AB11" s="154"/>
    </row>
    <row r="12" spans="1:28" ht="15">
      <c r="A12" s="183"/>
      <c r="B12" s="183"/>
      <c r="C12" s="183"/>
      <c r="D12" s="184"/>
      <c r="E12" s="184"/>
      <c r="F12" s="183"/>
      <c r="G12" s="186"/>
      <c r="H12" s="184"/>
      <c r="Z12" s="154"/>
      <c r="AA12" s="154"/>
      <c r="AB12" s="154"/>
    </row>
    <row r="13" spans="1:28" ht="15">
      <c r="A13" s="183"/>
      <c r="B13" s="183"/>
      <c r="C13" s="183"/>
      <c r="D13" s="184"/>
      <c r="E13" s="184"/>
      <c r="F13" s="183"/>
      <c r="G13" s="186"/>
      <c r="H13" s="184"/>
      <c r="Z13" s="154"/>
      <c r="AA13" s="154"/>
      <c r="AB13" s="154"/>
    </row>
    <row r="14" spans="1:28" ht="15">
      <c r="A14" s="183"/>
      <c r="B14" s="185"/>
      <c r="C14" s="183"/>
      <c r="D14" s="184"/>
      <c r="E14" s="184"/>
      <c r="F14" s="183"/>
      <c r="G14" s="186"/>
      <c r="H14" s="184"/>
      <c r="Z14" s="154"/>
      <c r="AA14" s="154"/>
      <c r="AB14" s="154"/>
    </row>
    <row r="15" spans="1:28" ht="15">
      <c r="A15" s="183"/>
      <c r="B15" s="185"/>
      <c r="C15" s="183"/>
      <c r="D15" s="184"/>
      <c r="E15" s="184"/>
      <c r="F15" s="183"/>
      <c r="G15" s="186"/>
      <c r="H15" s="184"/>
      <c r="Z15" s="154"/>
      <c r="AA15" s="154"/>
      <c r="AB15" s="154"/>
    </row>
    <row r="16" spans="1:28" ht="15">
      <c r="A16" s="187" t="s">
        <v>3</v>
      </c>
      <c r="B16" s="188">
        <f>SUM($B9:B15)</f>
        <v>0</v>
      </c>
      <c r="C16" s="188">
        <f>SUM($C9:C15)</f>
        <v>0</v>
      </c>
      <c r="D16" s="184"/>
      <c r="E16" s="184"/>
      <c r="F16" s="183"/>
      <c r="G16" s="186"/>
      <c r="H16" s="184"/>
      <c r="Z16" s="154"/>
      <c r="AA16" s="154"/>
      <c r="AB16" s="154"/>
    </row>
    <row r="17" spans="1:28" ht="15">
      <c r="A17" s="183"/>
      <c r="B17" s="185"/>
      <c r="C17" s="184"/>
      <c r="D17" s="184"/>
      <c r="E17" s="184"/>
      <c r="F17" s="183"/>
      <c r="G17" s="186"/>
      <c r="H17" s="184"/>
      <c r="Z17" s="154"/>
      <c r="AA17" s="154"/>
      <c r="AB17" s="154"/>
    </row>
  </sheetData>
  <sheetProtection/>
  <mergeCells count="1">
    <mergeCell ref="B6:C6"/>
  </mergeCells>
  <hyperlinks>
    <hyperlink ref="E1" location="ER!A1" display="E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Hoja36"/>
  <dimension ref="A1:V17"/>
  <sheetViews>
    <sheetView zoomScalePageLayoutView="0" workbookViewId="0" topLeftCell="A1">
      <selection activeCell="B9" sqref="B9"/>
    </sheetView>
  </sheetViews>
  <sheetFormatPr defaultColWidth="11.421875" defaultRowHeight="15"/>
  <cols>
    <col min="1" max="1" width="38.00390625" style="154" customWidth="1"/>
    <col min="2" max="2" width="18.421875" style="154" customWidth="1"/>
    <col min="3" max="3" width="17.7109375" style="154" customWidth="1"/>
    <col min="4" max="22" width="11.421875" style="154" customWidth="1"/>
  </cols>
  <sheetData>
    <row r="1" spans="1:5" ht="15">
      <c r="A1" s="154" t="str">
        <f>Indice!C1</f>
        <v>IMPORT CENTER S.A.</v>
      </c>
      <c r="E1" s="177" t="s">
        <v>144</v>
      </c>
    </row>
    <row r="4" spans="1:8" ht="15">
      <c r="A4" s="369" t="s">
        <v>327</v>
      </c>
      <c r="B4" s="369"/>
      <c r="C4" s="369"/>
      <c r="D4" s="369"/>
      <c r="E4" s="369"/>
      <c r="F4" s="183"/>
      <c r="G4" s="186"/>
      <c r="H4" s="184"/>
    </row>
    <row r="5" spans="1:8" ht="15">
      <c r="A5" s="765" t="s">
        <v>245</v>
      </c>
      <c r="B5" s="765"/>
      <c r="C5" s="184"/>
      <c r="D5" s="184"/>
      <c r="E5" s="184"/>
      <c r="F5" s="183"/>
      <c r="G5" s="186"/>
      <c r="H5" s="184"/>
    </row>
    <row r="6" spans="1:22" s="235" customFormat="1" ht="15">
      <c r="A6" s="183"/>
      <c r="B6" s="764"/>
      <c r="C6" s="764"/>
      <c r="D6" s="184"/>
      <c r="E6" s="184"/>
      <c r="F6" s="183"/>
      <c r="G6" s="186"/>
      <c r="H6" s="184"/>
      <c r="I6" s="154"/>
      <c r="J6" s="154"/>
      <c r="K6" s="154"/>
      <c r="L6" s="154"/>
      <c r="M6" s="154"/>
      <c r="N6" s="154"/>
      <c r="O6" s="154"/>
      <c r="P6" s="154"/>
      <c r="Q6" s="154"/>
      <c r="R6" s="154"/>
      <c r="S6" s="154"/>
      <c r="T6" s="154"/>
      <c r="U6" s="154"/>
      <c r="V6" s="154"/>
    </row>
    <row r="7" spans="1:8" ht="15">
      <c r="A7" s="183"/>
      <c r="D7" s="184"/>
      <c r="E7" s="184"/>
      <c r="F7" s="183"/>
      <c r="G7" s="186"/>
      <c r="H7" s="184"/>
    </row>
    <row r="8" spans="1:8" ht="15">
      <c r="A8" s="187" t="s">
        <v>159</v>
      </c>
      <c r="B8" s="427">
        <f>_xlfn.IFERROR(IF(Indice!B6="","2XX2",YEAR(Indice!B6)),"2XX2")</f>
        <v>2022</v>
      </c>
      <c r="C8" s="427">
        <f>+_xlfn.IFERROR(YEAR(Indice!B6-365),"2XX1")</f>
        <v>2021</v>
      </c>
      <c r="D8" s="184"/>
      <c r="E8" s="184"/>
      <c r="F8" s="183"/>
      <c r="G8" s="186"/>
      <c r="H8" s="184"/>
    </row>
    <row r="9" spans="1:8" ht="15">
      <c r="A9" s="183" t="s">
        <v>150</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3"/>
      <c r="C13" s="183"/>
      <c r="D13" s="184"/>
      <c r="E13" s="184"/>
      <c r="F13" s="183"/>
      <c r="G13" s="186"/>
      <c r="H13" s="184"/>
    </row>
    <row r="14" spans="1:8" ht="15">
      <c r="A14" s="183"/>
      <c r="B14" s="185"/>
      <c r="C14" s="183"/>
      <c r="D14" s="184"/>
      <c r="E14" s="184"/>
      <c r="F14" s="183"/>
      <c r="G14" s="186"/>
      <c r="H14" s="184"/>
    </row>
    <row r="15" spans="1:8" ht="15">
      <c r="A15" s="183"/>
      <c r="B15" s="185"/>
      <c r="C15" s="183"/>
      <c r="D15" s="184"/>
      <c r="E15" s="184"/>
      <c r="F15" s="183"/>
      <c r="G15" s="186"/>
      <c r="H15" s="184"/>
    </row>
    <row r="16" spans="1:8" ht="15">
      <c r="A16" s="187" t="s">
        <v>3</v>
      </c>
      <c r="B16" s="188">
        <f>SUM($B9:B15)</f>
        <v>0</v>
      </c>
      <c r="C16" s="188">
        <f>SUM($C9:C15)</f>
        <v>0</v>
      </c>
      <c r="D16" s="184"/>
      <c r="E16" s="184"/>
      <c r="F16" s="183"/>
      <c r="G16" s="186"/>
      <c r="H16" s="184"/>
    </row>
    <row r="17" spans="1:8" ht="15">
      <c r="A17" s="183"/>
      <c r="B17" s="185"/>
      <c r="C17" s="184"/>
      <c r="D17" s="184"/>
      <c r="E17" s="184"/>
      <c r="F17" s="183"/>
      <c r="G17" s="186"/>
      <c r="H17" s="184"/>
    </row>
  </sheetData>
  <sheetProtection/>
  <mergeCells count="2">
    <mergeCell ref="A5:B5"/>
    <mergeCell ref="B6:C6"/>
  </mergeCells>
  <hyperlinks>
    <hyperlink ref="E1" location="ER!A1" display="E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37"/>
  <dimension ref="A1:G15"/>
  <sheetViews>
    <sheetView zoomScalePageLayoutView="0" workbookViewId="0" topLeftCell="A1">
      <selection activeCell="A1" sqref="A1"/>
    </sheetView>
  </sheetViews>
  <sheetFormatPr defaultColWidth="11.421875" defaultRowHeight="15"/>
  <cols>
    <col min="1" max="1" width="37.421875" style="154" customWidth="1"/>
    <col min="2" max="3" width="17.28125" style="154" customWidth="1"/>
    <col min="4" max="26" width="11.421875" style="154" customWidth="1"/>
  </cols>
  <sheetData>
    <row r="1" spans="1:5" ht="15">
      <c r="A1" s="154" t="str">
        <f>Indice!C1</f>
        <v>IMPORT CENTER S.A.</v>
      </c>
      <c r="E1" s="177" t="s">
        <v>144</v>
      </c>
    </row>
    <row r="4" spans="1:7" ht="15">
      <c r="A4" s="373" t="s">
        <v>329</v>
      </c>
      <c r="B4" s="373"/>
      <c r="C4" s="373"/>
      <c r="D4" s="373"/>
      <c r="E4" s="373"/>
      <c r="F4" s="183"/>
      <c r="G4" s="186"/>
    </row>
    <row r="5" spans="1:7" ht="15">
      <c r="A5" s="391" t="s">
        <v>227</v>
      </c>
      <c r="B5" s="185"/>
      <c r="C5" s="184"/>
      <c r="D5" s="184"/>
      <c r="E5" s="184"/>
      <c r="F5" s="183"/>
      <c r="G5" s="186"/>
    </row>
    <row r="6" spans="1:7" ht="15">
      <c r="A6" s="183"/>
      <c r="B6" s="764"/>
      <c r="C6" s="764"/>
      <c r="D6" s="184"/>
      <c r="E6" s="184"/>
      <c r="F6" s="183"/>
      <c r="G6" s="186"/>
    </row>
    <row r="7" spans="2:7" ht="15">
      <c r="B7" s="427">
        <f>_xlfn.IFERROR(IF(Indice!B6="","2XX2",YEAR(Indice!B6)),"2XX2")</f>
        <v>2022</v>
      </c>
      <c r="C7" s="427">
        <f>+_xlfn.IFERROR(YEAR(Indice!B6-365),"2XX1")</f>
        <v>2021</v>
      </c>
      <c r="D7" s="184"/>
      <c r="E7" s="184"/>
      <c r="F7" s="183"/>
      <c r="G7" s="186"/>
    </row>
    <row r="8" spans="1:7" ht="15">
      <c r="A8" s="187" t="s">
        <v>46</v>
      </c>
      <c r="B8" s="186">
        <v>186734</v>
      </c>
      <c r="C8" s="186">
        <v>392631</v>
      </c>
      <c r="D8" s="184"/>
      <c r="E8" s="184"/>
      <c r="F8" s="183"/>
      <c r="G8" s="186"/>
    </row>
    <row r="9" spans="1:7" ht="15">
      <c r="A9" s="183"/>
      <c r="B9" s="183"/>
      <c r="C9" s="183"/>
      <c r="D9" s="184"/>
      <c r="E9" s="184"/>
      <c r="F9" s="183"/>
      <c r="G9" s="186"/>
    </row>
    <row r="10" spans="1:7" ht="15">
      <c r="A10" s="183"/>
      <c r="B10" s="183"/>
      <c r="C10" s="183"/>
      <c r="D10" s="184"/>
      <c r="E10" s="184"/>
      <c r="F10" s="183"/>
      <c r="G10" s="186"/>
    </row>
    <row r="11" spans="1:7" ht="15">
      <c r="A11" s="183"/>
      <c r="B11" s="183"/>
      <c r="C11" s="183"/>
      <c r="D11" s="184"/>
      <c r="E11" s="184"/>
      <c r="F11" s="183"/>
      <c r="G11" s="186"/>
    </row>
    <row r="12" spans="1:7" ht="15">
      <c r="A12" s="183"/>
      <c r="B12" s="185"/>
      <c r="C12" s="183"/>
      <c r="D12" s="184"/>
      <c r="E12" s="184"/>
      <c r="F12" s="183"/>
      <c r="G12" s="186"/>
    </row>
    <row r="13" spans="1:7" ht="15">
      <c r="A13" s="183"/>
      <c r="B13" s="185"/>
      <c r="C13" s="183"/>
      <c r="D13" s="184"/>
      <c r="E13" s="184"/>
      <c r="F13" s="183"/>
      <c r="G13" s="186"/>
    </row>
    <row r="14" spans="1:7" ht="15">
      <c r="A14" s="187" t="s">
        <v>3</v>
      </c>
      <c r="B14" s="188">
        <f>SUM($B8:B13)</f>
        <v>186734</v>
      </c>
      <c r="C14" s="188">
        <f>SUM($C8:C13)</f>
        <v>392631</v>
      </c>
      <c r="D14" s="184"/>
      <c r="E14" s="184"/>
      <c r="F14" s="183"/>
      <c r="G14" s="186"/>
    </row>
    <row r="15" spans="1:7" ht="15">
      <c r="A15" s="183"/>
      <c r="B15" s="185"/>
      <c r="C15" s="184"/>
      <c r="D15" s="184"/>
      <c r="E15" s="184"/>
      <c r="F15" s="183"/>
      <c r="G15" s="186"/>
    </row>
  </sheetData>
  <sheetProtection/>
  <mergeCells count="1">
    <mergeCell ref="B6:C6"/>
  </mergeCells>
  <hyperlinks>
    <hyperlink ref="E1" location="ER!A1" display="ER"/>
  </hyperlinks>
  <printOptions/>
  <pageMargins left="0.7" right="0.7" top="0.75" bottom="0.75" header="0.3" footer="0.3"/>
  <pageSetup horizontalDpi="120" verticalDpi="120" orientation="portrait" r:id="rId1"/>
</worksheet>
</file>

<file path=xl/worksheets/sheet39.xml><?xml version="1.0" encoding="utf-8"?>
<worksheet xmlns="http://schemas.openxmlformats.org/spreadsheetml/2006/main" xmlns:r="http://schemas.openxmlformats.org/officeDocument/2006/relationships">
  <sheetPr codeName="Hoja38"/>
  <dimension ref="A1:H16"/>
  <sheetViews>
    <sheetView zoomScalePageLayoutView="0" workbookViewId="0" topLeftCell="A1">
      <selection activeCell="B8" sqref="B8"/>
    </sheetView>
  </sheetViews>
  <sheetFormatPr defaultColWidth="11.421875" defaultRowHeight="15"/>
  <cols>
    <col min="1" max="1" width="27.140625" style="154" customWidth="1"/>
    <col min="2" max="2" width="18.421875" style="154" customWidth="1"/>
    <col min="3" max="3" width="17.8515625" style="154" customWidth="1"/>
    <col min="4" max="22" width="11.421875" style="154" customWidth="1"/>
  </cols>
  <sheetData>
    <row r="1" spans="1:5" ht="15">
      <c r="A1" s="154" t="str">
        <f>Indice!C1</f>
        <v>IMPORT CENTER S.A.</v>
      </c>
      <c r="E1" s="177" t="s">
        <v>144</v>
      </c>
    </row>
    <row r="4" spans="1:8" ht="15">
      <c r="A4" s="369" t="s">
        <v>328</v>
      </c>
      <c r="B4" s="369"/>
      <c r="C4" s="369"/>
      <c r="D4" s="369"/>
      <c r="E4" s="369"/>
      <c r="F4" s="183"/>
      <c r="G4" s="186"/>
      <c r="H4" s="184"/>
    </row>
    <row r="5" spans="1:8" ht="15">
      <c r="A5" s="766" t="s">
        <v>227</v>
      </c>
      <c r="B5" s="766"/>
      <c r="C5" s="184"/>
      <c r="D5" s="184"/>
      <c r="E5" s="184"/>
      <c r="F5" s="183"/>
      <c r="G5" s="186"/>
      <c r="H5" s="184"/>
    </row>
    <row r="6" spans="1:8" ht="15">
      <c r="A6" s="183"/>
      <c r="D6" s="184"/>
      <c r="E6" s="184"/>
      <c r="F6" s="183"/>
      <c r="G6" s="186"/>
      <c r="H6" s="184"/>
    </row>
    <row r="7" spans="2:8" ht="15">
      <c r="B7" s="427">
        <f>_xlfn.IFERROR(IF(Indice!B6="","2XX2",YEAR(Indice!B6)),"2XX2")</f>
        <v>2022</v>
      </c>
      <c r="C7" s="427">
        <f>+_xlfn.IFERROR(YEAR(Indice!B6-365),"2XX1")</f>
        <v>2021</v>
      </c>
      <c r="D7" s="184"/>
      <c r="E7" s="184"/>
      <c r="F7" s="183"/>
      <c r="G7" s="186"/>
      <c r="H7" s="184"/>
    </row>
    <row r="8" spans="1:8" ht="15">
      <c r="A8" s="187" t="s">
        <v>844</v>
      </c>
      <c r="D8" s="184"/>
      <c r="E8" s="184"/>
      <c r="F8" s="183"/>
      <c r="G8" s="186"/>
      <c r="H8" s="184"/>
    </row>
    <row r="9" spans="1:8" ht="15">
      <c r="A9" s="392" t="s">
        <v>845</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5"/>
      <c r="C13" s="183"/>
      <c r="D13" s="184"/>
      <c r="E13" s="184"/>
      <c r="F13" s="183"/>
      <c r="G13" s="186"/>
      <c r="H13" s="184"/>
    </row>
    <row r="14" spans="1:8" ht="15">
      <c r="A14" s="183"/>
      <c r="B14" s="185"/>
      <c r="C14" s="183"/>
      <c r="D14" s="184"/>
      <c r="E14" s="184"/>
      <c r="F14" s="183"/>
      <c r="G14" s="186"/>
      <c r="H14" s="184"/>
    </row>
    <row r="15" spans="1:8" ht="15">
      <c r="A15" s="183" t="s">
        <v>3</v>
      </c>
      <c r="B15" s="188">
        <f>SUM($B8:B14)</f>
        <v>0</v>
      </c>
      <c r="C15" s="188">
        <f>SUM($C8:C14)</f>
        <v>0</v>
      </c>
      <c r="D15" s="184"/>
      <c r="E15" s="184"/>
      <c r="F15" s="183"/>
      <c r="G15" s="186"/>
      <c r="H15" s="184"/>
    </row>
    <row r="16" spans="1:8" ht="15">
      <c r="A16" s="183"/>
      <c r="B16" s="185"/>
      <c r="C16" s="184"/>
      <c r="D16" s="184"/>
      <c r="E16" s="184"/>
      <c r="F16" s="183"/>
      <c r="G16" s="186"/>
      <c r="H16"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I47"/>
  <sheetViews>
    <sheetView showGridLines="0" zoomScaleSheetLayoutView="70" zoomScalePageLayoutView="0" workbookViewId="0" topLeftCell="A10">
      <selection activeCell="C31" sqref="C31"/>
    </sheetView>
  </sheetViews>
  <sheetFormatPr defaultColWidth="11.421875" defaultRowHeight="15"/>
  <cols>
    <col min="1" max="1" width="66.00390625" style="48" customWidth="1"/>
    <col min="2" max="2" width="12.7109375" style="233" customWidth="1"/>
    <col min="3" max="3" width="25.421875" style="379" customWidth="1"/>
    <col min="4" max="4" width="24.7109375" style="379" customWidth="1"/>
    <col min="5" max="16384" width="11.421875" style="2" customWidth="1"/>
  </cols>
  <sheetData>
    <row r="1" spans="1:2" ht="15">
      <c r="A1" s="602"/>
      <c r="B1" s="234" t="s">
        <v>363</v>
      </c>
    </row>
    <row r="2" ht="12.75">
      <c r="A2" s="48" t="str">
        <f>+Indice!C1</f>
        <v>IMPORT CENTER S.A.</v>
      </c>
    </row>
    <row r="6" spans="1:3" ht="12.75">
      <c r="A6" s="93"/>
      <c r="B6" s="241"/>
      <c r="C6" s="380"/>
    </row>
    <row r="7" spans="1:4" ht="12.75">
      <c r="A7" s="674" t="s">
        <v>279</v>
      </c>
      <c r="B7" s="674"/>
      <c r="C7" s="674"/>
      <c r="D7" s="674"/>
    </row>
    <row r="8" spans="1:4" ht="12.75">
      <c r="A8" s="674" t="str">
        <f>_xlfn.IFERROR(IF(Indice!B6="","Al dia... de mes… de año 2XX2…","Al "&amp;DAY(Indice!B6)&amp;" de "&amp;VLOOKUP(MONTH(Indice!B6),Indice!S:T,2,0)&amp;" de "&amp;YEAR(Indice!B6)),"Al dia... de mes… de año 2XX2…")</f>
        <v>Al 30 de Septiembre de 2022</v>
      </c>
      <c r="B8" s="674"/>
      <c r="C8" s="674"/>
      <c r="D8" s="674"/>
    </row>
    <row r="9" spans="1:4" ht="12.75">
      <c r="A9" s="685" t="s">
        <v>280</v>
      </c>
      <c r="B9" s="685"/>
      <c r="C9" s="685"/>
      <c r="D9" s="685"/>
    </row>
    <row r="10" spans="1:4" ht="12.75">
      <c r="A10" s="685" t="s">
        <v>243</v>
      </c>
      <c r="B10" s="685"/>
      <c r="C10" s="685"/>
      <c r="D10" s="685"/>
    </row>
    <row r="11" spans="1:3" ht="12.75">
      <c r="A11" s="128"/>
      <c r="B11" s="254"/>
      <c r="C11" s="378"/>
    </row>
    <row r="12" spans="1:4" ht="15">
      <c r="A12" s="132"/>
      <c r="B12" s="236" t="s">
        <v>203</v>
      </c>
      <c r="C12" s="353">
        <f>_xlfn.IFERROR(IF(Indice!B6="","2XX2",YEAR(Indice!B6)),"2XX2")</f>
        <v>2022</v>
      </c>
      <c r="D12" s="353">
        <f>_xlfn.IFERROR(YEAR(Indice!B6-365),"2XX1")</f>
        <v>2021</v>
      </c>
    </row>
    <row r="13" spans="1:4" ht="15">
      <c r="A13" t="s">
        <v>63</v>
      </c>
      <c r="B13" s="253">
        <v>25</v>
      </c>
      <c r="C13" s="377">
        <f>'Nota 25'!B27</f>
        <v>24924232</v>
      </c>
      <c r="D13" s="377">
        <f>'Nota 25'!C27-1</f>
        <v>26521960</v>
      </c>
    </row>
    <row r="14" spans="1:6" ht="15">
      <c r="A14" t="s">
        <v>152</v>
      </c>
      <c r="B14" s="253">
        <v>26</v>
      </c>
      <c r="C14" s="377">
        <f>-'Nota 26'!B21</f>
        <v>-17245393</v>
      </c>
      <c r="D14" s="377">
        <f>-'Nota 26'!C21</f>
        <v>-17424998</v>
      </c>
      <c r="F14" s="21"/>
    </row>
    <row r="15" spans="1:4" ht="12.75">
      <c r="A15" s="93" t="s">
        <v>72</v>
      </c>
      <c r="B15" s="241"/>
      <c r="C15" s="381">
        <f>C13+C14</f>
        <v>7678839</v>
      </c>
      <c r="D15" s="381">
        <f>D13+D14</f>
        <v>9096962</v>
      </c>
    </row>
    <row r="16" spans="1:4" ht="15">
      <c r="A16" t="s">
        <v>244</v>
      </c>
      <c r="B16" s="253">
        <v>27</v>
      </c>
      <c r="C16" s="377">
        <f>-'Nota 27'!B36</f>
        <v>-1326609</v>
      </c>
      <c r="D16" s="377">
        <f>-'Nota 27'!E36</f>
        <v>-1059530</v>
      </c>
    </row>
    <row r="17" spans="1:4" ht="15">
      <c r="A17" s="235" t="s">
        <v>246</v>
      </c>
      <c r="B17" s="253">
        <v>27</v>
      </c>
      <c r="C17" s="377">
        <f>-'Nota 27'!C36</f>
        <v>-3071390</v>
      </c>
      <c r="D17" s="377">
        <f>-'Nota 27'!F36</f>
        <v>-2966792</v>
      </c>
    </row>
    <row r="18" spans="1:7" ht="15">
      <c r="A18" s="235" t="s">
        <v>248</v>
      </c>
      <c r="B18" s="253">
        <v>28</v>
      </c>
      <c r="C18" s="378">
        <f>+'Nota 28'!B16-'Nota 28'!F16</f>
        <v>144818</v>
      </c>
      <c r="D18" s="378">
        <f>+'Nota 28'!C16-'Nota 28'!G16</f>
        <v>69505</v>
      </c>
      <c r="G18" s="603"/>
    </row>
    <row r="19" spans="1:4" ht="12.75">
      <c r="A19" s="93" t="s">
        <v>154</v>
      </c>
      <c r="B19" s="241"/>
      <c r="C19" s="378">
        <f>SUM(C15:C18)</f>
        <v>3425658</v>
      </c>
      <c r="D19" s="378">
        <f>SUM(D15:D18)</f>
        <v>5140145</v>
      </c>
    </row>
    <row r="20" spans="1:6" ht="15">
      <c r="A20" s="235" t="s">
        <v>393</v>
      </c>
      <c r="B20" s="253">
        <v>29</v>
      </c>
      <c r="C20" s="378">
        <f>'Nota 29'!B14</f>
        <v>566215</v>
      </c>
      <c r="D20" s="378">
        <f>'Nota 29'!C14</f>
        <v>153158</v>
      </c>
      <c r="F20" s="21"/>
    </row>
    <row r="21" spans="1:9" ht="15">
      <c r="A21" s="235" t="s">
        <v>392</v>
      </c>
      <c r="B21" s="253">
        <v>29</v>
      </c>
      <c r="C21" s="378">
        <f>-'Nota 29'!F14</f>
        <v>-2169072</v>
      </c>
      <c r="D21" s="378">
        <f>-'Nota 29'!G14</f>
        <v>-2197307</v>
      </c>
      <c r="I21" s="603"/>
    </row>
    <row r="22" spans="1:7" ht="12.75">
      <c r="A22" s="146" t="s">
        <v>62</v>
      </c>
      <c r="C22" s="381">
        <f>+C19+C20+C21</f>
        <v>1822801</v>
      </c>
      <c r="D22" s="381">
        <f>+D19+D20+D21-2</f>
        <v>3095994</v>
      </c>
      <c r="G22" s="603"/>
    </row>
    <row r="23" spans="1:4" ht="15">
      <c r="A23" s="235" t="s">
        <v>158</v>
      </c>
      <c r="B23" s="253">
        <v>30</v>
      </c>
      <c r="C23" s="378">
        <f>'Nota 30'!B16</f>
        <v>0</v>
      </c>
      <c r="D23" s="378">
        <f>'Nota 30'!C16</f>
        <v>0</v>
      </c>
    </row>
    <row r="24" spans="1:4" ht="25.5">
      <c r="A24" s="147" t="s">
        <v>394</v>
      </c>
      <c r="B24" s="241"/>
      <c r="C24" s="381">
        <f>C22+C23</f>
        <v>1822801</v>
      </c>
      <c r="D24" s="381">
        <f>D22+D23-2</f>
        <v>3095992</v>
      </c>
    </row>
    <row r="25" spans="1:4" ht="15">
      <c r="A25" s="235" t="s">
        <v>159</v>
      </c>
      <c r="B25" s="253">
        <v>31</v>
      </c>
      <c r="C25" s="378">
        <f>'Nota 31'!B16</f>
        <v>0</v>
      </c>
      <c r="D25" s="378">
        <f>'Nota 31'!C16</f>
        <v>0</v>
      </c>
    </row>
    <row r="26" spans="1:4" ht="12.75">
      <c r="A26" s="147" t="s">
        <v>76</v>
      </c>
      <c r="B26" s="241"/>
      <c r="C26" s="381"/>
      <c r="D26" s="381"/>
    </row>
    <row r="27" spans="1:4" ht="15">
      <c r="A27" s="48" t="s">
        <v>46</v>
      </c>
      <c r="B27" s="234">
        <v>32</v>
      </c>
      <c r="C27" s="378">
        <f>'Nota 32'!B14</f>
        <v>186734</v>
      </c>
      <c r="D27" s="378">
        <f>'Nota 32'!C14</f>
        <v>392631</v>
      </c>
    </row>
    <row r="28" spans="1:4" ht="12.75">
      <c r="A28" s="93" t="s">
        <v>395</v>
      </c>
      <c r="B28" s="241"/>
      <c r="C28" s="381">
        <f>C26+C27</f>
        <v>186734</v>
      </c>
      <c r="D28" s="381">
        <f>D26+D27</f>
        <v>392631</v>
      </c>
    </row>
    <row r="29" spans="1:4" ht="15">
      <c r="A29" s="235" t="s">
        <v>73</v>
      </c>
      <c r="B29" s="253">
        <v>33</v>
      </c>
      <c r="C29" s="381">
        <f>'Nota 32'!B14</f>
        <v>186734</v>
      </c>
      <c r="D29" s="381">
        <f>'Nota 32'!C14</f>
        <v>392631</v>
      </c>
    </row>
    <row r="30" spans="1:4" ht="15">
      <c r="A30" s="235" t="s">
        <v>74</v>
      </c>
      <c r="B30" s="253">
        <v>34</v>
      </c>
      <c r="C30" s="378">
        <f>'Nota 34'!B12</f>
        <v>0</v>
      </c>
      <c r="D30" s="378">
        <f>'Nota 34'!C12</f>
        <v>0</v>
      </c>
    </row>
    <row r="31" spans="1:4" ht="15">
      <c r="A31" s="127" t="s">
        <v>257</v>
      </c>
      <c r="B31" s="364"/>
      <c r="C31" s="381">
        <f>+C24-C28-4</f>
        <v>1636063</v>
      </c>
      <c r="D31" s="381">
        <f>+D24-D28+4</f>
        <v>2703365</v>
      </c>
    </row>
    <row r="32" spans="1:4" ht="15">
      <c r="A32" s="127" t="s">
        <v>75</v>
      </c>
      <c r="B32" s="253">
        <v>35</v>
      </c>
      <c r="C32" s="378">
        <f>'Nota 35'!B10</f>
        <v>0</v>
      </c>
      <c r="D32" s="378">
        <f>'Nota 35'!C10</f>
        <v>0</v>
      </c>
    </row>
    <row r="34" spans="1:4" ht="12.75">
      <c r="A34" s="93"/>
      <c r="B34" s="241"/>
      <c r="C34" s="382"/>
      <c r="D34" s="382"/>
    </row>
    <row r="35" ht="12.75">
      <c r="A35" s="48" t="s">
        <v>387</v>
      </c>
    </row>
    <row r="41" spans="1:4" ht="12.75">
      <c r="A41" s="130"/>
      <c r="B41" s="255"/>
      <c r="C41" s="684"/>
      <c r="D41" s="684"/>
    </row>
    <row r="42" spans="1:4" ht="12.75">
      <c r="A42" s="129"/>
      <c r="B42" s="256"/>
      <c r="D42" s="383"/>
    </row>
    <row r="47" spans="1:4" ht="12.75">
      <c r="A47" s="461"/>
      <c r="C47" s="684"/>
      <c r="D47" s="684"/>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1"/>
</worksheet>
</file>

<file path=xl/worksheets/sheet40.xml><?xml version="1.0" encoding="utf-8"?>
<worksheet xmlns="http://schemas.openxmlformats.org/spreadsheetml/2006/main" xmlns:r="http://schemas.openxmlformats.org/officeDocument/2006/relationships">
  <sheetPr codeName="Hoja39"/>
  <dimension ref="A1:H13"/>
  <sheetViews>
    <sheetView zoomScalePageLayoutView="0" workbookViewId="0" topLeftCell="A1">
      <selection activeCell="B8" sqref="B8"/>
    </sheetView>
  </sheetViews>
  <sheetFormatPr defaultColWidth="11.421875" defaultRowHeight="15"/>
  <cols>
    <col min="1" max="1" width="51.28125" style="154" customWidth="1"/>
    <col min="2" max="2" width="18.140625" style="154" customWidth="1"/>
    <col min="3" max="3" width="17.57421875" style="154" customWidth="1"/>
    <col min="4" max="22" width="11.421875" style="154" customWidth="1"/>
  </cols>
  <sheetData>
    <row r="1" spans="1:5" ht="15">
      <c r="A1" s="154" t="str">
        <f>Indice!C1</f>
        <v>IMPORT CENTER S.A.</v>
      </c>
      <c r="E1" s="177" t="s">
        <v>144</v>
      </c>
    </row>
    <row r="4" spans="1:8" ht="15">
      <c r="A4" s="369" t="s">
        <v>330</v>
      </c>
      <c r="B4" s="369"/>
      <c r="C4" s="369"/>
      <c r="D4" s="369"/>
      <c r="E4" s="369"/>
      <c r="F4" s="183"/>
      <c r="G4" s="186"/>
      <c r="H4" s="184"/>
    </row>
    <row r="5" spans="1:8" ht="15">
      <c r="A5" s="766" t="s">
        <v>227</v>
      </c>
      <c r="B5" s="766"/>
      <c r="C5" s="184"/>
      <c r="D5" s="184"/>
      <c r="E5" s="184"/>
      <c r="F5" s="183"/>
      <c r="G5" s="186"/>
      <c r="H5" s="184"/>
    </row>
    <row r="6" spans="1:8" ht="15">
      <c r="A6" s="183"/>
      <c r="D6" s="184"/>
      <c r="E6" s="184"/>
      <c r="F6" s="183"/>
      <c r="G6" s="186"/>
      <c r="H6" s="184"/>
    </row>
    <row r="7" spans="1:8" ht="25.5">
      <c r="A7" s="190" t="s">
        <v>74</v>
      </c>
      <c r="B7" s="427">
        <f>_xlfn.IFERROR(IF(Indice!B6="","2XX2",YEAR(Indice!B6)),"2XX2")</f>
        <v>2022</v>
      </c>
      <c r="C7" s="427">
        <f>+_xlfn.IFERROR(YEAR(Indice!B6-365),"2XX1")</f>
        <v>2021</v>
      </c>
      <c r="D7" s="184"/>
      <c r="E7" s="184"/>
      <c r="F7" s="183"/>
      <c r="G7" s="186"/>
      <c r="H7" s="184"/>
    </row>
    <row r="8" spans="4:8" ht="15">
      <c r="D8" s="184"/>
      <c r="E8" s="184"/>
      <c r="F8" s="183"/>
      <c r="G8" s="186"/>
      <c r="H8" s="184"/>
    </row>
    <row r="9" spans="1:8" ht="15">
      <c r="A9" s="183" t="s">
        <v>850</v>
      </c>
      <c r="B9" s="183"/>
      <c r="C9" s="183"/>
      <c r="D9" s="184"/>
      <c r="E9" s="184"/>
      <c r="F9" s="183"/>
      <c r="G9" s="186"/>
      <c r="H9" s="184"/>
    </row>
    <row r="10" spans="1:8" ht="15">
      <c r="A10" s="183" t="s">
        <v>62</v>
      </c>
      <c r="B10" s="183"/>
      <c r="C10" s="183"/>
      <c r="D10" s="184"/>
      <c r="E10" s="184"/>
      <c r="F10" s="183"/>
      <c r="G10" s="186"/>
      <c r="H10" s="184"/>
    </row>
    <row r="11" spans="1:8" ht="15">
      <c r="A11" s="285" t="s">
        <v>331</v>
      </c>
      <c r="B11" s="183"/>
      <c r="C11" s="183"/>
      <c r="D11" s="184"/>
      <c r="E11" s="184"/>
      <c r="F11" s="183"/>
      <c r="G11" s="186"/>
      <c r="H11" s="184"/>
    </row>
    <row r="12" spans="1:8" ht="15">
      <c r="A12" s="183" t="s">
        <v>3</v>
      </c>
      <c r="B12" s="188">
        <f>SUM($B8:B11)</f>
        <v>0</v>
      </c>
      <c r="C12" s="188">
        <f>SUM($C8:C11)</f>
        <v>0</v>
      </c>
      <c r="D12" s="184"/>
      <c r="E12" s="184"/>
      <c r="F12" s="183"/>
      <c r="G12" s="186"/>
      <c r="H12" s="184"/>
    </row>
    <row r="13" spans="1:8" ht="15">
      <c r="A13" s="183"/>
      <c r="B13" s="185"/>
      <c r="C13" s="184"/>
      <c r="D13" s="184"/>
      <c r="E13" s="184"/>
      <c r="F13" s="183"/>
      <c r="G13" s="186"/>
      <c r="H13"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Hoja40"/>
  <dimension ref="A1:I12"/>
  <sheetViews>
    <sheetView zoomScalePageLayoutView="0" workbookViewId="0" topLeftCell="A1">
      <selection activeCell="B9" sqref="B9"/>
    </sheetView>
  </sheetViews>
  <sheetFormatPr defaultColWidth="11.421875" defaultRowHeight="15"/>
  <cols>
    <col min="1" max="1" width="42.140625" style="154" customWidth="1"/>
    <col min="2" max="5" width="24.421875" style="154" customWidth="1"/>
    <col min="6" max="6" width="12.8515625" style="154" customWidth="1"/>
    <col min="7" max="7" width="11.421875" style="154" customWidth="1"/>
    <col min="8" max="8" width="17.28125" style="154" customWidth="1"/>
    <col min="9" max="14" width="11.421875" style="154" customWidth="1"/>
    <col min="15" max="16384" width="11.421875" style="364" customWidth="1"/>
  </cols>
  <sheetData>
    <row r="1" spans="1:5" ht="15">
      <c r="A1" s="154" t="str">
        <f>Indice!C1</f>
        <v>IMPORT CENTER S.A.</v>
      </c>
      <c r="E1" s="177" t="s">
        <v>144</v>
      </c>
    </row>
    <row r="2" ht="15">
      <c r="C2" s="164"/>
    </row>
    <row r="4" spans="1:9" ht="15">
      <c r="A4" s="306" t="s">
        <v>332</v>
      </c>
      <c r="B4" s="306"/>
      <c r="C4" s="306"/>
      <c r="D4" s="306"/>
      <c r="E4" s="306"/>
      <c r="F4" s="306"/>
      <c r="G4" s="306"/>
      <c r="H4" s="306"/>
      <c r="I4" s="306"/>
    </row>
    <row r="5" spans="1:9" ht="27" customHeight="1">
      <c r="A5" s="767" t="s">
        <v>177</v>
      </c>
      <c r="B5" s="767"/>
      <c r="C5" s="767"/>
      <c r="D5" s="767"/>
      <c r="E5" s="767"/>
      <c r="F5" s="394"/>
      <c r="G5" s="394"/>
      <c r="H5" s="394"/>
      <c r="I5" s="394"/>
    </row>
    <row r="6" ht="15" customHeight="1">
      <c r="B6" s="286"/>
    </row>
    <row r="7" spans="2:3" ht="15" customHeight="1">
      <c r="B7" s="427">
        <f>_xlfn.IFERROR(IF(Indice!B6="","2XX2",YEAR(Indice!B6)),"2XX2")</f>
        <v>2022</v>
      </c>
      <c r="C7" s="427">
        <f>+_xlfn.IFERROR(YEAR(Indice!B6-365),"2XX1")</f>
        <v>2021</v>
      </c>
    </row>
    <row r="8" spans="1:9" s="154" customFormat="1" ht="15" customHeight="1">
      <c r="A8" s="210" t="s">
        <v>847</v>
      </c>
      <c r="B8" s="395">
        <v>0</v>
      </c>
      <c r="C8" s="395">
        <v>0</v>
      </c>
      <c r="D8" s="393"/>
      <c r="E8" s="393"/>
      <c r="F8" s="393"/>
      <c r="G8" s="393"/>
      <c r="H8" s="393"/>
      <c r="I8" s="393"/>
    </row>
    <row r="9" spans="1:3" ht="15" customHeight="1">
      <c r="A9" s="364" t="s">
        <v>846</v>
      </c>
      <c r="B9" s="396">
        <v>1636063</v>
      </c>
      <c r="C9" s="396">
        <v>2703366</v>
      </c>
    </row>
    <row r="10" spans="1:9" ht="15" customHeight="1">
      <c r="A10" s="397" t="s">
        <v>848</v>
      </c>
      <c r="B10" s="398">
        <f>_xlfn.IFERROR(B9/B8,0)</f>
        <v>0</v>
      </c>
      <c r="C10" s="398">
        <f>_xlfn.IFERROR(C9/C8,0)</f>
        <v>0</v>
      </c>
      <c r="D10" s="393"/>
      <c r="E10" s="393"/>
      <c r="F10" s="393"/>
      <c r="G10" s="393"/>
      <c r="H10" s="393"/>
      <c r="I10" s="393"/>
    </row>
    <row r="11" ht="15" customHeight="1"/>
    <row r="12" spans="1:9" ht="15" customHeight="1">
      <c r="A12" s="393"/>
      <c r="B12" s="393"/>
      <c r="C12" s="393"/>
      <c r="D12" s="393"/>
      <c r="E12" s="393"/>
      <c r="F12" s="393"/>
      <c r="G12" s="393"/>
      <c r="H12" s="393"/>
      <c r="I12" s="393"/>
    </row>
    <row r="13" ht="15" customHeight="1"/>
  </sheetData>
  <sheetProtection/>
  <mergeCells count="1">
    <mergeCell ref="A5:E5"/>
  </mergeCells>
  <hyperlinks>
    <hyperlink ref="E1" location="ER!A1" display="ER"/>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Hoja41"/>
  <dimension ref="A1:N60"/>
  <sheetViews>
    <sheetView showGridLines="0" zoomScalePageLayoutView="0" workbookViewId="0" topLeftCell="A1">
      <selection activeCell="A8" sqref="A8"/>
    </sheetView>
  </sheetViews>
  <sheetFormatPr defaultColWidth="11.421875" defaultRowHeight="15"/>
  <cols>
    <col min="1" max="3" width="24.421875" style="154" customWidth="1"/>
    <col min="4" max="4" width="27.140625" style="154" customWidth="1"/>
    <col min="5"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363</v>
      </c>
    </row>
    <row r="2" ht="15">
      <c r="C2" s="164"/>
    </row>
    <row r="4" spans="1:9" s="67" customFormat="1" ht="15">
      <c r="A4" s="745" t="s">
        <v>362</v>
      </c>
      <c r="B4" s="745"/>
      <c r="C4" s="745"/>
      <c r="D4" s="745"/>
      <c r="E4" s="745"/>
      <c r="F4" s="307"/>
      <c r="G4" s="307"/>
      <c r="H4" s="307"/>
      <c r="I4" s="307"/>
    </row>
    <row r="6" spans="1:14" s="211" customFormat="1" ht="15">
      <c r="A6" s="768" t="s">
        <v>168</v>
      </c>
      <c r="B6" s="768"/>
      <c r="C6" s="768"/>
      <c r="D6" s="768"/>
      <c r="E6" s="768"/>
      <c r="F6" s="768"/>
      <c r="G6" s="768"/>
      <c r="H6" s="768"/>
      <c r="I6" s="768"/>
      <c r="J6" s="210"/>
      <c r="K6" s="210"/>
      <c r="L6" s="210"/>
      <c r="M6" s="210"/>
      <c r="N6" s="210"/>
    </row>
    <row r="7" spans="1:14" s="211" customFormat="1" ht="15">
      <c r="A7" s="210"/>
      <c r="B7" s="210"/>
      <c r="C7" s="210"/>
      <c r="D7" s="210"/>
      <c r="E7" s="210"/>
      <c r="F7" s="210"/>
      <c r="G7" s="210"/>
      <c r="H7" s="210"/>
      <c r="I7" s="210"/>
      <c r="J7" s="210"/>
      <c r="K7" s="210"/>
      <c r="L7" s="210"/>
      <c r="M7" s="210"/>
      <c r="N7" s="210"/>
    </row>
    <row r="8" spans="1:14" s="211" customFormat="1" ht="15.75" thickBot="1">
      <c r="A8" s="456" t="s">
        <v>999</v>
      </c>
      <c r="B8" s="456"/>
      <c r="C8" s="456"/>
      <c r="D8" s="456"/>
      <c r="E8" s="456"/>
      <c r="F8" s="456"/>
      <c r="G8" s="456"/>
      <c r="H8" s="210"/>
      <c r="I8" s="210"/>
      <c r="J8" s="210"/>
      <c r="K8" s="210"/>
      <c r="L8" s="210"/>
      <c r="M8" s="210"/>
      <c r="N8" s="210"/>
    </row>
    <row r="9" spans="1:14" s="211" customFormat="1" ht="15.75" thickBot="1">
      <c r="A9" s="212" t="s">
        <v>169</v>
      </c>
      <c r="B9" s="213" t="s">
        <v>170</v>
      </c>
      <c r="C9" s="212" t="s">
        <v>117</v>
      </c>
      <c r="D9" s="212" t="s">
        <v>171</v>
      </c>
      <c r="E9" s="212" t="s">
        <v>172</v>
      </c>
      <c r="F9" s="210"/>
      <c r="G9" s="210"/>
      <c r="H9" s="210"/>
      <c r="I9" s="210"/>
      <c r="J9" s="210"/>
      <c r="K9" s="210"/>
      <c r="L9" s="210"/>
      <c r="M9" s="210"/>
      <c r="N9" s="210"/>
    </row>
    <row r="10" spans="1:14" s="211" customFormat="1" ht="15">
      <c r="A10" s="214"/>
      <c r="B10" s="215"/>
      <c r="C10" s="216"/>
      <c r="D10" s="216"/>
      <c r="E10" s="217"/>
      <c r="F10" s="210"/>
      <c r="G10" s="210"/>
      <c r="H10" s="210"/>
      <c r="I10" s="210"/>
      <c r="J10" s="210"/>
      <c r="K10" s="210"/>
      <c r="L10" s="210"/>
      <c r="M10" s="210"/>
      <c r="N10" s="210"/>
    </row>
    <row r="11" spans="1:14" s="211" customFormat="1" ht="15" customHeight="1">
      <c r="A11" s="218"/>
      <c r="B11" s="219"/>
      <c r="C11" s="220"/>
      <c r="D11" s="220"/>
      <c r="E11" s="221"/>
      <c r="F11" s="210"/>
      <c r="G11" s="210"/>
      <c r="H11" s="210"/>
      <c r="I11" s="210"/>
      <c r="J11" s="210"/>
      <c r="K11" s="210"/>
      <c r="L11" s="210"/>
      <c r="M11" s="210"/>
      <c r="N11" s="210"/>
    </row>
    <row r="12" spans="1:14" s="211" customFormat="1" ht="15">
      <c r="A12" s="218"/>
      <c r="B12" s="219"/>
      <c r="C12" s="220"/>
      <c r="D12" s="220"/>
      <c r="E12" s="221"/>
      <c r="F12" s="210"/>
      <c r="G12" s="210"/>
      <c r="H12" s="210"/>
      <c r="I12" s="210"/>
      <c r="J12" s="210"/>
      <c r="K12" s="210"/>
      <c r="L12" s="210"/>
      <c r="M12" s="210"/>
      <c r="N12" s="210"/>
    </row>
    <row r="13" spans="1:14" s="211" customFormat="1" ht="15.75" thickBot="1">
      <c r="A13" s="222"/>
      <c r="B13" s="223"/>
      <c r="C13" s="224"/>
      <c r="D13" s="224"/>
      <c r="E13" s="225"/>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15.75" thickBot="1">
      <c r="A15" s="456" t="str">
        <f>_xlfn.IFERROR("Al "&amp;DAY(Indice!B6)&amp;" de "&amp;VLOOKUP(MONTH(Indice!B6),Indice!S:T,2,0)&amp;" de "&amp;YEAR(Indice!B6-1),"Al dia... de mes… de año 2XX2…")</f>
        <v>Al 30 de Septiembre de 2022</v>
      </c>
      <c r="B15" s="455"/>
      <c r="C15" s="455"/>
      <c r="D15" s="455"/>
      <c r="E15" s="455"/>
      <c r="F15" s="210"/>
      <c r="G15" s="210"/>
      <c r="H15" s="210"/>
      <c r="I15" s="210"/>
      <c r="J15" s="210"/>
      <c r="K15" s="210"/>
      <c r="L15" s="210"/>
      <c r="M15" s="210"/>
      <c r="N15" s="210"/>
    </row>
    <row r="16" spans="1:14" s="211" customFormat="1" ht="30" customHeight="1" thickBot="1">
      <c r="A16" s="212" t="s">
        <v>169</v>
      </c>
      <c r="B16" s="213" t="s">
        <v>170</v>
      </c>
      <c r="C16" s="212" t="s">
        <v>117</v>
      </c>
      <c r="D16" s="212" t="s">
        <v>171</v>
      </c>
      <c r="E16" s="212" t="s">
        <v>172</v>
      </c>
      <c r="F16" s="210"/>
      <c r="G16" s="210"/>
      <c r="H16" s="210"/>
      <c r="I16" s="210"/>
      <c r="J16" s="210"/>
      <c r="K16" s="210"/>
      <c r="L16" s="210"/>
      <c r="M16" s="210"/>
      <c r="N16" s="210"/>
    </row>
    <row r="17" spans="1:14" s="211" customFormat="1" ht="15">
      <c r="A17" s="214"/>
      <c r="B17" s="215"/>
      <c r="C17" s="216"/>
      <c r="D17" s="216"/>
      <c r="E17" s="217"/>
      <c r="F17" s="210"/>
      <c r="G17" s="210"/>
      <c r="H17" s="210"/>
      <c r="I17" s="210"/>
      <c r="J17" s="210"/>
      <c r="K17" s="210"/>
      <c r="L17" s="210"/>
      <c r="M17" s="210"/>
      <c r="N17" s="210"/>
    </row>
    <row r="18" spans="1:14" s="211" customFormat="1" ht="15">
      <c r="A18" s="218"/>
      <c r="B18" s="219"/>
      <c r="C18" s="220"/>
      <c r="D18" s="220"/>
      <c r="E18" s="221"/>
      <c r="F18" s="210"/>
      <c r="G18" s="210"/>
      <c r="H18" s="210"/>
      <c r="I18" s="210"/>
      <c r="J18" s="210"/>
      <c r="K18" s="210"/>
      <c r="L18" s="210"/>
      <c r="M18" s="210"/>
      <c r="N18" s="210"/>
    </row>
    <row r="19" spans="1:14" s="211" customFormat="1" ht="15">
      <c r="A19" s="218"/>
      <c r="B19" s="219"/>
      <c r="C19" s="220"/>
      <c r="D19" s="220"/>
      <c r="E19" s="221"/>
      <c r="F19" s="210"/>
      <c r="G19" s="210"/>
      <c r="H19" s="210"/>
      <c r="I19" s="210"/>
      <c r="J19" s="210"/>
      <c r="K19" s="210"/>
      <c r="L19" s="210"/>
      <c r="M19" s="210"/>
      <c r="N19" s="210"/>
    </row>
    <row r="20" spans="1:14" s="211" customFormat="1" ht="15.75" thickBot="1">
      <c r="A20" s="222"/>
      <c r="B20" s="223"/>
      <c r="C20" s="224"/>
      <c r="D20" s="224"/>
      <c r="E20" s="225"/>
      <c r="F20" s="210"/>
      <c r="G20" s="210"/>
      <c r="H20" s="210"/>
      <c r="I20" s="210"/>
      <c r="J20" s="210"/>
      <c r="K20" s="210"/>
      <c r="L20" s="210"/>
      <c r="M20" s="210"/>
      <c r="N20" s="210"/>
    </row>
    <row r="21" spans="1:14" s="211" customFormat="1" ht="15">
      <c r="A21" s="210"/>
      <c r="B21" s="210"/>
      <c r="C21" s="210"/>
      <c r="D21" s="210"/>
      <c r="E21" s="210"/>
      <c r="F21" s="210"/>
      <c r="G21" s="210"/>
      <c r="H21" s="210"/>
      <c r="I21" s="210"/>
      <c r="J21" s="210"/>
      <c r="K21" s="210"/>
      <c r="L21" s="210"/>
      <c r="M21" s="210"/>
      <c r="N21" s="210"/>
    </row>
    <row r="22" spans="1:14" s="211" customFormat="1" ht="15">
      <c r="A22" s="210"/>
      <c r="B22" s="210"/>
      <c r="C22" s="210"/>
      <c r="D22" s="210"/>
      <c r="E22" s="210"/>
      <c r="F22" s="210"/>
      <c r="G22" s="210"/>
      <c r="H22" s="210"/>
      <c r="I22" s="210"/>
      <c r="J22" s="210"/>
      <c r="K22" s="210"/>
      <c r="L22" s="210"/>
      <c r="M22" s="210"/>
      <c r="N22" s="210"/>
    </row>
    <row r="23" spans="1:14" s="211" customFormat="1" ht="15">
      <c r="A23" s="210"/>
      <c r="B23" s="210"/>
      <c r="C23" s="210"/>
      <c r="D23" s="210"/>
      <c r="E23" s="210"/>
      <c r="F23" s="210"/>
      <c r="G23" s="210"/>
      <c r="H23" s="210"/>
      <c r="I23" s="210"/>
      <c r="J23" s="210"/>
      <c r="K23" s="210"/>
      <c r="L23" s="210"/>
      <c r="M23" s="210"/>
      <c r="N23" s="210"/>
    </row>
    <row r="24" spans="1:14" s="211" customFormat="1" ht="15">
      <c r="A24" s="210"/>
      <c r="B24" s="210"/>
      <c r="C24" s="210"/>
      <c r="D24" s="210"/>
      <c r="E24" s="210"/>
      <c r="F24" s="210"/>
      <c r="G24" s="210"/>
      <c r="H24" s="210"/>
      <c r="I24" s="210"/>
      <c r="J24" s="210"/>
      <c r="K24" s="210"/>
      <c r="L24" s="210"/>
      <c r="M24" s="210"/>
      <c r="N24" s="210"/>
    </row>
    <row r="25" spans="1:14" s="211" customFormat="1" ht="15">
      <c r="A25" s="210"/>
      <c r="B25" s="210"/>
      <c r="C25" s="210"/>
      <c r="D25" s="210"/>
      <c r="E25" s="210"/>
      <c r="F25" s="210"/>
      <c r="G25" s="210"/>
      <c r="H25" s="210"/>
      <c r="I25" s="210"/>
      <c r="J25" s="210"/>
      <c r="K25" s="210"/>
      <c r="L25" s="210"/>
      <c r="M25" s="210"/>
      <c r="N25" s="210"/>
    </row>
    <row r="26" spans="1:14" s="211" customFormat="1" ht="15">
      <c r="A26" s="210"/>
      <c r="B26" s="210"/>
      <c r="C26" s="210"/>
      <c r="D26" s="210"/>
      <c r="E26" s="210"/>
      <c r="F26" s="210"/>
      <c r="G26" s="210"/>
      <c r="H26" s="210"/>
      <c r="I26" s="210"/>
      <c r="J26" s="210"/>
      <c r="K26" s="210"/>
      <c r="L26" s="210"/>
      <c r="M26" s="210"/>
      <c r="N26" s="210"/>
    </row>
    <row r="27" spans="1:14" s="211" customFormat="1" ht="15">
      <c r="A27" s="210"/>
      <c r="B27" s="210"/>
      <c r="C27" s="210"/>
      <c r="D27" s="210"/>
      <c r="E27" s="210"/>
      <c r="F27" s="210"/>
      <c r="G27" s="210"/>
      <c r="H27" s="210"/>
      <c r="I27" s="210"/>
      <c r="J27" s="210"/>
      <c r="K27" s="210"/>
      <c r="L27" s="210"/>
      <c r="M27" s="210"/>
      <c r="N27" s="210"/>
    </row>
    <row r="28" spans="1:14" s="211" customFormat="1" ht="15">
      <c r="A28" s="210"/>
      <c r="B28" s="210"/>
      <c r="C28" s="210"/>
      <c r="D28" s="210"/>
      <c r="E28" s="210"/>
      <c r="F28" s="210"/>
      <c r="G28" s="210"/>
      <c r="H28" s="210"/>
      <c r="I28" s="210"/>
      <c r="J28" s="210"/>
      <c r="K28" s="210"/>
      <c r="L28" s="210"/>
      <c r="M28" s="210"/>
      <c r="N28" s="210"/>
    </row>
    <row r="29" spans="1:14" s="211" customFormat="1" ht="15">
      <c r="A29" s="210"/>
      <c r="B29" s="210"/>
      <c r="C29" s="210"/>
      <c r="D29" s="210"/>
      <c r="E29" s="210"/>
      <c r="F29" s="210"/>
      <c r="G29" s="210"/>
      <c r="H29" s="210"/>
      <c r="I29" s="210"/>
      <c r="J29" s="210"/>
      <c r="K29" s="210"/>
      <c r="L29" s="210"/>
      <c r="M29" s="210"/>
      <c r="N29" s="210"/>
    </row>
    <row r="30" spans="1:14" s="211" customFormat="1" ht="15">
      <c r="A30" s="210"/>
      <c r="B30" s="210"/>
      <c r="C30" s="210"/>
      <c r="D30" s="210"/>
      <c r="E30" s="210"/>
      <c r="F30" s="210"/>
      <c r="G30" s="210"/>
      <c r="H30" s="210"/>
      <c r="I30" s="210"/>
      <c r="J30" s="210"/>
      <c r="K30" s="210"/>
      <c r="L30" s="210"/>
      <c r="M30" s="210"/>
      <c r="N30" s="210"/>
    </row>
    <row r="31" spans="1:14" s="211" customFormat="1" ht="15">
      <c r="A31" s="210"/>
      <c r="B31" s="210"/>
      <c r="C31" s="210"/>
      <c r="D31" s="210"/>
      <c r="E31" s="210"/>
      <c r="F31" s="210"/>
      <c r="G31" s="210"/>
      <c r="H31" s="210"/>
      <c r="I31" s="210"/>
      <c r="J31" s="210"/>
      <c r="K31" s="210"/>
      <c r="L31" s="210"/>
      <c r="M31" s="210"/>
      <c r="N31" s="210"/>
    </row>
    <row r="32" spans="1:14" s="211" customFormat="1" ht="15">
      <c r="A32" s="210"/>
      <c r="B32" s="210"/>
      <c r="C32" s="210"/>
      <c r="D32" s="210"/>
      <c r="E32" s="210"/>
      <c r="F32" s="210"/>
      <c r="G32" s="210"/>
      <c r="H32" s="210"/>
      <c r="I32" s="210"/>
      <c r="J32" s="210"/>
      <c r="K32" s="210"/>
      <c r="L32" s="210"/>
      <c r="M32" s="210"/>
      <c r="N32" s="210"/>
    </row>
    <row r="33" spans="1:14" s="211" customFormat="1" ht="15">
      <c r="A33" s="210"/>
      <c r="B33" s="210"/>
      <c r="C33" s="210"/>
      <c r="D33" s="210"/>
      <c r="E33" s="210"/>
      <c r="F33" s="210"/>
      <c r="G33" s="210"/>
      <c r="H33" s="210"/>
      <c r="I33" s="210"/>
      <c r="J33" s="210"/>
      <c r="K33" s="210"/>
      <c r="L33" s="210"/>
      <c r="M33" s="210"/>
      <c r="N33" s="210"/>
    </row>
    <row r="34" spans="1:14" s="211" customFormat="1" ht="15">
      <c r="A34" s="210"/>
      <c r="B34" s="210"/>
      <c r="C34" s="210"/>
      <c r="D34" s="210"/>
      <c r="E34" s="210"/>
      <c r="F34" s="210"/>
      <c r="G34" s="210"/>
      <c r="H34" s="210"/>
      <c r="I34" s="210"/>
      <c r="J34" s="210"/>
      <c r="K34" s="210"/>
      <c r="L34" s="210"/>
      <c r="M34" s="210"/>
      <c r="N34" s="210"/>
    </row>
    <row r="35" spans="1:14" s="211" customFormat="1" ht="15">
      <c r="A35" s="210"/>
      <c r="B35" s="210"/>
      <c r="C35" s="210"/>
      <c r="D35" s="210"/>
      <c r="E35" s="210"/>
      <c r="F35" s="210"/>
      <c r="G35" s="210"/>
      <c r="H35" s="210"/>
      <c r="I35" s="210"/>
      <c r="J35" s="210"/>
      <c r="K35" s="210"/>
      <c r="L35" s="210"/>
      <c r="M35" s="210"/>
      <c r="N35" s="210"/>
    </row>
    <row r="36" spans="1:14" s="211" customFormat="1" ht="15">
      <c r="A36" s="210"/>
      <c r="B36" s="210"/>
      <c r="C36" s="210"/>
      <c r="D36" s="210"/>
      <c r="E36" s="210"/>
      <c r="F36" s="210"/>
      <c r="G36" s="210"/>
      <c r="H36" s="210"/>
      <c r="I36" s="210"/>
      <c r="J36" s="210"/>
      <c r="K36" s="210"/>
      <c r="L36" s="210"/>
      <c r="M36" s="210"/>
      <c r="N36" s="210"/>
    </row>
    <row r="37" spans="1:14" s="211" customFormat="1" ht="15">
      <c r="A37" s="210"/>
      <c r="B37" s="210"/>
      <c r="C37" s="210"/>
      <c r="D37" s="210"/>
      <c r="E37" s="210"/>
      <c r="F37" s="210"/>
      <c r="G37" s="210"/>
      <c r="H37" s="210"/>
      <c r="I37" s="210"/>
      <c r="J37" s="210"/>
      <c r="K37" s="210"/>
      <c r="L37" s="210"/>
      <c r="M37" s="210"/>
      <c r="N37" s="210"/>
    </row>
    <row r="38" spans="1:14" s="211" customFormat="1" ht="15">
      <c r="A38" s="210"/>
      <c r="B38" s="210"/>
      <c r="C38" s="210"/>
      <c r="D38" s="210"/>
      <c r="E38" s="210"/>
      <c r="F38" s="210"/>
      <c r="G38" s="210"/>
      <c r="H38" s="210"/>
      <c r="I38" s="210"/>
      <c r="J38" s="210"/>
      <c r="K38" s="210"/>
      <c r="L38" s="210"/>
      <c r="M38" s="210"/>
      <c r="N38" s="210"/>
    </row>
    <row r="39" spans="1:14" s="211" customFormat="1" ht="15">
      <c r="A39" s="210"/>
      <c r="B39" s="210"/>
      <c r="C39" s="210"/>
      <c r="D39" s="210"/>
      <c r="E39" s="210"/>
      <c r="F39" s="210"/>
      <c r="G39" s="210"/>
      <c r="H39" s="210"/>
      <c r="I39" s="210"/>
      <c r="J39" s="210"/>
      <c r="K39" s="210"/>
      <c r="L39" s="210"/>
      <c r="M39" s="210"/>
      <c r="N39" s="210"/>
    </row>
    <row r="40" spans="1:14" s="211" customFormat="1" ht="15">
      <c r="A40" s="210"/>
      <c r="B40" s="210"/>
      <c r="C40" s="210"/>
      <c r="D40" s="210"/>
      <c r="E40" s="210"/>
      <c r="F40" s="210"/>
      <c r="G40" s="210"/>
      <c r="H40" s="210"/>
      <c r="I40" s="210"/>
      <c r="J40" s="210"/>
      <c r="K40" s="210"/>
      <c r="L40" s="210"/>
      <c r="M40" s="210"/>
      <c r="N40" s="210"/>
    </row>
    <row r="41" spans="1:14" s="211" customFormat="1" ht="15">
      <c r="A41" s="210"/>
      <c r="B41" s="210"/>
      <c r="C41" s="210"/>
      <c r="D41" s="210"/>
      <c r="E41" s="210"/>
      <c r="F41" s="210"/>
      <c r="G41" s="210"/>
      <c r="H41" s="210"/>
      <c r="I41" s="210"/>
      <c r="J41" s="210"/>
      <c r="K41" s="210"/>
      <c r="L41" s="210"/>
      <c r="M41" s="210"/>
      <c r="N41" s="210"/>
    </row>
    <row r="42" spans="1:14" s="211" customFormat="1" ht="15">
      <c r="A42" s="210"/>
      <c r="B42" s="210"/>
      <c r="C42" s="210"/>
      <c r="D42" s="210"/>
      <c r="E42" s="210"/>
      <c r="F42" s="210"/>
      <c r="G42" s="210"/>
      <c r="H42" s="210"/>
      <c r="I42" s="210"/>
      <c r="J42" s="210"/>
      <c r="K42" s="210"/>
      <c r="L42" s="210"/>
      <c r="M42" s="210"/>
      <c r="N42" s="210"/>
    </row>
    <row r="43" spans="1:14" s="211" customFormat="1" ht="15">
      <c r="A43" s="210"/>
      <c r="B43" s="210"/>
      <c r="C43" s="210"/>
      <c r="D43" s="210"/>
      <c r="E43" s="210"/>
      <c r="F43" s="210"/>
      <c r="G43" s="210"/>
      <c r="H43" s="210"/>
      <c r="I43" s="210"/>
      <c r="J43" s="210"/>
      <c r="K43" s="210"/>
      <c r="L43" s="210"/>
      <c r="M43" s="210"/>
      <c r="N43" s="210"/>
    </row>
    <row r="44" spans="1:14" s="211" customFormat="1" ht="15">
      <c r="A44" s="210"/>
      <c r="B44" s="210"/>
      <c r="C44" s="210"/>
      <c r="D44" s="210"/>
      <c r="E44" s="210"/>
      <c r="F44" s="210"/>
      <c r="G44" s="210"/>
      <c r="H44" s="210"/>
      <c r="I44" s="210"/>
      <c r="J44" s="210"/>
      <c r="K44" s="210"/>
      <c r="L44" s="210"/>
      <c r="M44" s="210"/>
      <c r="N44" s="210"/>
    </row>
    <row r="45" spans="1:14" s="211" customFormat="1" ht="15">
      <c r="A45" s="210"/>
      <c r="B45" s="210"/>
      <c r="C45" s="210"/>
      <c r="D45" s="210"/>
      <c r="E45" s="210"/>
      <c r="F45" s="210"/>
      <c r="G45" s="210"/>
      <c r="H45" s="210"/>
      <c r="I45" s="210"/>
      <c r="J45" s="210"/>
      <c r="K45" s="210"/>
      <c r="L45" s="210"/>
      <c r="M45" s="210"/>
      <c r="N45" s="210"/>
    </row>
    <row r="46" spans="1:14" s="211" customFormat="1" ht="15">
      <c r="A46" s="210"/>
      <c r="B46" s="210"/>
      <c r="C46" s="210"/>
      <c r="D46" s="210"/>
      <c r="E46" s="210"/>
      <c r="F46" s="210"/>
      <c r="G46" s="210"/>
      <c r="H46" s="210"/>
      <c r="I46" s="210"/>
      <c r="J46" s="210"/>
      <c r="K46" s="210"/>
      <c r="L46" s="210"/>
      <c r="M46" s="210"/>
      <c r="N46" s="210"/>
    </row>
    <row r="47" spans="1:14" s="211" customFormat="1" ht="15">
      <c r="A47" s="210"/>
      <c r="B47" s="210"/>
      <c r="C47" s="210"/>
      <c r="D47" s="210"/>
      <c r="E47" s="210"/>
      <c r="F47" s="210"/>
      <c r="G47" s="210"/>
      <c r="H47" s="210"/>
      <c r="I47" s="210"/>
      <c r="J47" s="210"/>
      <c r="K47" s="210"/>
      <c r="L47" s="210"/>
      <c r="M47" s="210"/>
      <c r="N47" s="210"/>
    </row>
    <row r="48" spans="1:14" s="211" customFormat="1" ht="15">
      <c r="A48" s="210"/>
      <c r="B48" s="210"/>
      <c r="C48" s="210"/>
      <c r="D48" s="210"/>
      <c r="E48" s="210"/>
      <c r="F48" s="210"/>
      <c r="G48" s="210"/>
      <c r="H48" s="210"/>
      <c r="I48" s="210"/>
      <c r="J48" s="210"/>
      <c r="K48" s="210"/>
      <c r="L48" s="210"/>
      <c r="M48" s="210"/>
      <c r="N48" s="210"/>
    </row>
    <row r="49" spans="1:14" s="211" customFormat="1" ht="15">
      <c r="A49" s="210"/>
      <c r="B49" s="210"/>
      <c r="C49" s="210"/>
      <c r="D49" s="210"/>
      <c r="E49" s="210"/>
      <c r="F49" s="210"/>
      <c r="G49" s="210"/>
      <c r="H49" s="210"/>
      <c r="I49" s="210"/>
      <c r="J49" s="210"/>
      <c r="K49" s="210"/>
      <c r="L49" s="210"/>
      <c r="M49" s="210"/>
      <c r="N49" s="210"/>
    </row>
    <row r="50" spans="1:14" s="211" customFormat="1" ht="15">
      <c r="A50" s="210"/>
      <c r="B50" s="210"/>
      <c r="C50" s="210"/>
      <c r="D50" s="210"/>
      <c r="E50" s="210"/>
      <c r="F50" s="210"/>
      <c r="G50" s="210"/>
      <c r="H50" s="210"/>
      <c r="I50" s="210"/>
      <c r="J50" s="210"/>
      <c r="K50" s="210"/>
      <c r="L50" s="210"/>
      <c r="M50" s="210"/>
      <c r="N50" s="210"/>
    </row>
    <row r="51" spans="1:14" s="211" customFormat="1" ht="15">
      <c r="A51" s="210"/>
      <c r="B51" s="210"/>
      <c r="C51" s="210"/>
      <c r="D51" s="210"/>
      <c r="E51" s="210"/>
      <c r="F51" s="210"/>
      <c r="G51" s="210"/>
      <c r="H51" s="210"/>
      <c r="I51" s="210"/>
      <c r="J51" s="210"/>
      <c r="K51" s="210"/>
      <c r="L51" s="210"/>
      <c r="M51" s="210"/>
      <c r="N51" s="210"/>
    </row>
    <row r="52" spans="1:14" s="211" customFormat="1" ht="15">
      <c r="A52" s="210"/>
      <c r="B52" s="210"/>
      <c r="C52" s="210"/>
      <c r="D52" s="210"/>
      <c r="E52" s="210"/>
      <c r="F52" s="210"/>
      <c r="G52" s="210"/>
      <c r="H52" s="210"/>
      <c r="I52" s="210"/>
      <c r="J52" s="210"/>
      <c r="K52" s="210"/>
      <c r="L52" s="210"/>
      <c r="M52" s="210"/>
      <c r="N52" s="210"/>
    </row>
    <row r="53" spans="1:14" s="211" customFormat="1" ht="15">
      <c r="A53" s="210"/>
      <c r="B53" s="210"/>
      <c r="C53" s="210"/>
      <c r="D53" s="210"/>
      <c r="E53" s="210"/>
      <c r="F53" s="210"/>
      <c r="G53" s="210"/>
      <c r="H53" s="210"/>
      <c r="I53" s="210"/>
      <c r="J53" s="210"/>
      <c r="K53" s="210"/>
      <c r="L53" s="210"/>
      <c r="M53" s="210"/>
      <c r="N53" s="210"/>
    </row>
    <row r="54" spans="1:14" s="211" customFormat="1" ht="15">
      <c r="A54" s="210"/>
      <c r="B54" s="210"/>
      <c r="C54" s="210"/>
      <c r="D54" s="210"/>
      <c r="E54" s="210"/>
      <c r="F54" s="210"/>
      <c r="G54" s="210"/>
      <c r="H54" s="210"/>
      <c r="I54" s="210"/>
      <c r="J54" s="210"/>
      <c r="K54" s="210"/>
      <c r="L54" s="210"/>
      <c r="M54" s="210"/>
      <c r="N54" s="210"/>
    </row>
    <row r="55" spans="1:14" s="211" customFormat="1" ht="15">
      <c r="A55" s="210"/>
      <c r="B55" s="210"/>
      <c r="C55" s="210"/>
      <c r="D55" s="210"/>
      <c r="E55" s="210"/>
      <c r="F55" s="210"/>
      <c r="G55" s="210"/>
      <c r="H55" s="210"/>
      <c r="I55" s="210"/>
      <c r="J55" s="210"/>
      <c r="K55" s="210"/>
      <c r="L55" s="210"/>
      <c r="M55" s="210"/>
      <c r="N55" s="210"/>
    </row>
    <row r="56" spans="1:14" s="211" customFormat="1" ht="15">
      <c r="A56" s="210"/>
      <c r="B56" s="210"/>
      <c r="C56" s="210"/>
      <c r="D56" s="210"/>
      <c r="E56" s="210"/>
      <c r="F56" s="210"/>
      <c r="G56" s="210"/>
      <c r="H56" s="210"/>
      <c r="I56" s="210"/>
      <c r="J56" s="210"/>
      <c r="K56" s="210"/>
      <c r="L56" s="210"/>
      <c r="M56" s="210"/>
      <c r="N56" s="210"/>
    </row>
    <row r="57" spans="1:14" s="211" customFormat="1" ht="15">
      <c r="A57" s="210"/>
      <c r="B57" s="210"/>
      <c r="C57" s="210"/>
      <c r="D57" s="210"/>
      <c r="E57" s="210"/>
      <c r="F57" s="210"/>
      <c r="G57" s="210"/>
      <c r="H57" s="210"/>
      <c r="I57" s="210"/>
      <c r="J57" s="210"/>
      <c r="K57" s="210"/>
      <c r="L57" s="210"/>
      <c r="M57" s="210"/>
      <c r="N57" s="210"/>
    </row>
    <row r="58" spans="1:14" s="211" customFormat="1" ht="15">
      <c r="A58" s="210"/>
      <c r="B58" s="210"/>
      <c r="C58" s="210"/>
      <c r="D58" s="210"/>
      <c r="E58" s="210"/>
      <c r="F58" s="210"/>
      <c r="G58" s="210"/>
      <c r="H58" s="210"/>
      <c r="I58" s="210"/>
      <c r="J58" s="210"/>
      <c r="K58" s="210"/>
      <c r="L58" s="210"/>
      <c r="M58" s="210"/>
      <c r="N58" s="210"/>
    </row>
    <row r="59" spans="1:14" s="211" customFormat="1" ht="15">
      <c r="A59" s="210"/>
      <c r="B59" s="210"/>
      <c r="C59" s="210"/>
      <c r="D59" s="210"/>
      <c r="E59" s="210"/>
      <c r="F59" s="210"/>
      <c r="G59" s="210"/>
      <c r="H59" s="210"/>
      <c r="I59" s="210"/>
      <c r="J59" s="210"/>
      <c r="K59" s="210"/>
      <c r="L59" s="210"/>
      <c r="M59" s="210"/>
      <c r="N59" s="210"/>
    </row>
    <row r="60" spans="1:14" s="211" customFormat="1" ht="15">
      <c r="A60" s="210"/>
      <c r="B60" s="210"/>
      <c r="C60" s="210"/>
      <c r="D60" s="210"/>
      <c r="E60" s="210"/>
      <c r="F60" s="210"/>
      <c r="G60" s="210"/>
      <c r="H60" s="210"/>
      <c r="I60" s="210"/>
      <c r="J60" s="210"/>
      <c r="K60" s="210"/>
      <c r="L60" s="210"/>
      <c r="M60" s="210"/>
      <c r="N60" s="210"/>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Hoja42"/>
  <dimension ref="A1:N15"/>
  <sheetViews>
    <sheetView zoomScalePageLayoutView="0" workbookViewId="0" topLeftCell="A1">
      <selection activeCell="A6" sqref="A6:I6"/>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363</v>
      </c>
    </row>
    <row r="2" ht="15">
      <c r="C2" s="164"/>
    </row>
    <row r="4" spans="1:9" ht="15">
      <c r="A4" s="306" t="s">
        <v>364</v>
      </c>
      <c r="B4" s="306"/>
      <c r="C4" s="306"/>
      <c r="D4" s="306"/>
      <c r="E4" s="306"/>
      <c r="F4" s="306"/>
      <c r="G4" s="306"/>
      <c r="H4" s="306"/>
      <c r="I4" s="307"/>
    </row>
    <row r="5" spans="1:9" ht="15">
      <c r="A5" s="760" t="s">
        <v>173</v>
      </c>
      <c r="B5" s="760"/>
      <c r="C5" s="760"/>
      <c r="D5" s="760"/>
      <c r="E5" s="760"/>
      <c r="F5" s="760"/>
      <c r="G5" s="760"/>
      <c r="H5" s="760"/>
      <c r="I5" s="760"/>
    </row>
    <row r="6" spans="1:14" s="211" customFormat="1" ht="15" customHeight="1">
      <c r="A6" s="768"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Septiembre de 2022 son:</v>
      </c>
      <c r="B6" s="768"/>
      <c r="C6" s="768"/>
      <c r="D6" s="768"/>
      <c r="E6" s="768"/>
      <c r="F6" s="768"/>
      <c r="G6" s="768"/>
      <c r="H6" s="768"/>
      <c r="I6" s="768"/>
      <c r="J6" s="210"/>
      <c r="K6" s="210"/>
      <c r="L6" s="210"/>
      <c r="M6" s="210"/>
      <c r="N6" s="210"/>
    </row>
    <row r="7" spans="1:14" s="211" customFormat="1" ht="15">
      <c r="A7" s="210" t="s">
        <v>174</v>
      </c>
      <c r="B7" s="210"/>
      <c r="C7" s="210"/>
      <c r="D7" s="210"/>
      <c r="E7" s="210"/>
      <c r="F7" s="210"/>
      <c r="G7" s="210"/>
      <c r="H7" s="210"/>
      <c r="I7" s="210"/>
      <c r="J7" s="210"/>
      <c r="K7" s="210"/>
      <c r="L7" s="210"/>
      <c r="M7" s="210"/>
      <c r="N7" s="210"/>
    </row>
    <row r="8" s="210" customFormat="1" ht="15">
      <c r="A8" s="210" t="s">
        <v>175</v>
      </c>
    </row>
    <row r="9" spans="1:14" s="211" customFormat="1" ht="15">
      <c r="A9" s="210"/>
      <c r="B9" s="210"/>
      <c r="C9" s="210"/>
      <c r="D9" s="210"/>
      <c r="E9" s="210"/>
      <c r="F9" s="210"/>
      <c r="G9" s="210"/>
      <c r="H9" s="210"/>
      <c r="I9" s="210"/>
      <c r="J9" s="210"/>
      <c r="K9" s="210"/>
      <c r="L9" s="210"/>
      <c r="M9" s="210"/>
      <c r="N9" s="210"/>
    </row>
    <row r="10" spans="2:14" s="211" customFormat="1" ht="15">
      <c r="B10" s="210"/>
      <c r="C10" s="210"/>
      <c r="D10" s="210"/>
      <c r="E10" s="210"/>
      <c r="F10" s="210"/>
      <c r="G10" s="210"/>
      <c r="H10" s="210"/>
      <c r="I10" s="210"/>
      <c r="J10" s="210"/>
      <c r="K10" s="210"/>
      <c r="L10" s="210"/>
      <c r="M10" s="210"/>
      <c r="N10" s="210"/>
    </row>
    <row r="11" spans="1:14" s="211" customFormat="1" ht="15">
      <c r="A11" s="769"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11" s="769"/>
      <c r="C11" s="769"/>
      <c r="D11" s="769"/>
      <c r="E11" s="769"/>
      <c r="F11" s="769"/>
      <c r="G11" s="769"/>
      <c r="H11" s="769"/>
      <c r="I11" s="210"/>
      <c r="J11" s="210"/>
      <c r="K11" s="210"/>
      <c r="L11" s="210"/>
      <c r="M11" s="210"/>
      <c r="N11" s="210"/>
    </row>
    <row r="12" spans="1:14" s="211" customFormat="1" ht="16.5" customHeight="1">
      <c r="A12" s="769"/>
      <c r="B12" s="769"/>
      <c r="C12" s="769"/>
      <c r="D12" s="769"/>
      <c r="E12" s="769"/>
      <c r="F12" s="769"/>
      <c r="G12" s="769"/>
      <c r="H12" s="769"/>
      <c r="I12" s="317"/>
      <c r="J12" s="210"/>
      <c r="K12" s="210"/>
      <c r="L12" s="210"/>
      <c r="M12" s="210"/>
      <c r="N12" s="210"/>
    </row>
    <row r="13" spans="1:14" s="211" customFormat="1" ht="15">
      <c r="A13" s="210"/>
      <c r="B13" s="210"/>
      <c r="C13" s="210"/>
      <c r="D13" s="210"/>
      <c r="E13" s="210"/>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21" customHeight="1">
      <c r="A15" s="716" t="s">
        <v>386</v>
      </c>
      <c r="B15" s="716"/>
      <c r="C15" s="716"/>
      <c r="D15" s="716"/>
      <c r="E15" s="716"/>
      <c r="F15" s="716"/>
      <c r="G15" s="716"/>
      <c r="H15" s="716"/>
      <c r="I15" s="318"/>
      <c r="J15" s="210"/>
      <c r="K15" s="210"/>
      <c r="L15" s="210"/>
      <c r="M15" s="210"/>
      <c r="N15" s="210"/>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codeName="Hoja43"/>
  <dimension ref="A1:AY25"/>
  <sheetViews>
    <sheetView zoomScalePageLayoutView="0" workbookViewId="0" topLeftCell="A7">
      <selection activeCell="A1" sqref="A1"/>
    </sheetView>
  </sheetViews>
  <sheetFormatPr defaultColWidth="11.421875" defaultRowHeight="15"/>
  <cols>
    <col min="1" max="1" width="47.8515625" style="154" customWidth="1"/>
    <col min="2" max="2" width="22.57421875" style="154" customWidth="1"/>
    <col min="3" max="3" width="26.140625" style="154" customWidth="1"/>
    <col min="4" max="51" width="11.421875" style="154" customWidth="1"/>
  </cols>
  <sheetData>
    <row r="1" spans="1:4" ht="15">
      <c r="A1" s="154" t="str">
        <f>Indice!C1</f>
        <v>IMPORT CENTER S.A.</v>
      </c>
      <c r="D1" s="177" t="s">
        <v>878</v>
      </c>
    </row>
    <row r="4" spans="1:7" ht="15">
      <c r="A4" s="770" t="s">
        <v>370</v>
      </c>
      <c r="B4" s="770"/>
      <c r="C4" s="770"/>
      <c r="D4" s="770"/>
      <c r="E4" s="770"/>
      <c r="F4" s="770"/>
      <c r="G4" s="770"/>
    </row>
    <row r="5" ht="15">
      <c r="A5" s="304" t="s">
        <v>227</v>
      </c>
    </row>
    <row r="6" spans="1:11" ht="59.25" customHeight="1">
      <c r="A6" s="771" t="s">
        <v>384</v>
      </c>
      <c r="B6" s="771"/>
      <c r="C6" s="771"/>
      <c r="D6" s="771"/>
      <c r="E6" s="771"/>
      <c r="F6" s="771"/>
      <c r="G6" s="771"/>
      <c r="H6" s="315"/>
      <c r="I6" s="315"/>
      <c r="J6" s="315"/>
      <c r="K6" s="315"/>
    </row>
    <row r="7" spans="1:11" ht="55.5" customHeight="1">
      <c r="A7" s="772" t="s">
        <v>371</v>
      </c>
      <c r="B7" s="772"/>
      <c r="C7" s="772"/>
      <c r="D7" s="772"/>
      <c r="E7" s="772"/>
      <c r="F7" s="772"/>
      <c r="G7" s="772"/>
      <c r="H7" s="315"/>
      <c r="I7" s="315"/>
      <c r="J7" s="315"/>
      <c r="K7" s="315"/>
    </row>
    <row r="8" ht="15.75">
      <c r="A8" s="308"/>
    </row>
    <row r="9" spans="1:11" s="154" customFormat="1" ht="21.75" customHeight="1">
      <c r="A9" s="773" t="s">
        <v>372</v>
      </c>
      <c r="B9" s="773"/>
      <c r="C9" s="773"/>
      <c r="D9" s="773"/>
      <c r="E9" s="773"/>
      <c r="F9" s="773"/>
      <c r="G9" s="773"/>
      <c r="H9" s="316"/>
      <c r="I9" s="316"/>
      <c r="J9" s="316"/>
      <c r="K9" s="316"/>
    </row>
    <row r="11" spans="1:51" s="371" customFormat="1" ht="15" customHeight="1">
      <c r="A11" s="374"/>
      <c r="B11" s="427">
        <f>_xlfn.IFERROR(IF(Indice!B6="","2XX2",YEAR(Indice!B6)),"2XX2")</f>
        <v>2022</v>
      </c>
      <c r="C11" s="427">
        <f>+_xlfn.IFERROR(YEAR(Indice!B6-365),"2XX1")</f>
        <v>2021</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pans="1:3" ht="15.75">
      <c r="A12" s="309" t="s">
        <v>373</v>
      </c>
      <c r="B12" s="310"/>
      <c r="C12" s="310"/>
    </row>
    <row r="13" spans="1:3" ht="15.75">
      <c r="A13" s="309" t="s">
        <v>374</v>
      </c>
      <c r="B13" s="310"/>
      <c r="C13" s="310"/>
    </row>
    <row r="14" spans="1:3" ht="15.75">
      <c r="A14" s="309" t="s">
        <v>123</v>
      </c>
      <c r="B14" s="310"/>
      <c r="C14" s="310"/>
    </row>
    <row r="15" spans="1:3" ht="15.75">
      <c r="A15" s="309" t="s">
        <v>375</v>
      </c>
      <c r="B15" s="310"/>
      <c r="C15" s="310"/>
    </row>
    <row r="16" spans="1:3" ht="15.75">
      <c r="A16" s="309" t="s">
        <v>376</v>
      </c>
      <c r="B16" s="311"/>
      <c r="C16" s="310"/>
    </row>
    <row r="17" spans="1:3" ht="15.75">
      <c r="A17" s="309" t="s">
        <v>122</v>
      </c>
      <c r="B17" s="311"/>
      <c r="C17" s="310"/>
    </row>
    <row r="18" spans="1:3" ht="15.75">
      <c r="A18" s="309" t="s">
        <v>377</v>
      </c>
      <c r="B18" s="311"/>
      <c r="C18" s="310"/>
    </row>
    <row r="19" spans="1:3" ht="15.75">
      <c r="A19" s="309" t="s">
        <v>378</v>
      </c>
      <c r="B19" s="311"/>
      <c r="C19" s="310"/>
    </row>
    <row r="20" spans="1:3" ht="15.75">
      <c r="A20" s="309" t="s">
        <v>379</v>
      </c>
      <c r="B20" s="311"/>
      <c r="C20" s="310"/>
    </row>
    <row r="21" spans="1:3" ht="15.75">
      <c r="A21" s="309" t="s">
        <v>380</v>
      </c>
      <c r="B21" s="311"/>
      <c r="C21" s="310"/>
    </row>
    <row r="22" spans="1:3" ht="15.75">
      <c r="A22" s="309" t="s">
        <v>381</v>
      </c>
      <c r="B22" s="311"/>
      <c r="C22" s="310"/>
    </row>
    <row r="23" spans="1:3" ht="31.5">
      <c r="A23" s="309" t="s">
        <v>382</v>
      </c>
      <c r="B23" s="311"/>
      <c r="C23" s="310"/>
    </row>
    <row r="24" spans="1:3" ht="15.75">
      <c r="A24" s="309" t="s">
        <v>383</v>
      </c>
      <c r="B24" s="311"/>
      <c r="C24" s="310"/>
    </row>
    <row r="25" spans="1:3" ht="15.75">
      <c r="A25" s="312" t="s">
        <v>3</v>
      </c>
      <c r="B25" s="313"/>
      <c r="C25" s="314"/>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Hoja44"/>
  <dimension ref="A1:N14"/>
  <sheetViews>
    <sheetView showGridLines="0" zoomScalePageLayoutView="0" workbookViewId="0" topLeftCell="A1">
      <selection activeCell="A10" sqref="A10"/>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363</v>
      </c>
    </row>
    <row r="2" ht="15">
      <c r="C2" s="164"/>
    </row>
    <row r="5" spans="1:9" ht="15">
      <c r="A5" s="306" t="s">
        <v>385</v>
      </c>
      <c r="B5" s="306"/>
      <c r="C5" s="306"/>
      <c r="D5" s="306"/>
      <c r="E5" s="306"/>
      <c r="F5" s="306"/>
      <c r="G5" s="306"/>
      <c r="H5" s="306"/>
      <c r="I5" s="306"/>
    </row>
    <row r="6" spans="1:14" s="227" customFormat="1" ht="17.25" customHeight="1">
      <c r="A6" s="760" t="s">
        <v>176</v>
      </c>
      <c r="B6" s="760"/>
      <c r="C6" s="760"/>
      <c r="D6" s="760"/>
      <c r="E6" s="760"/>
      <c r="F6" s="760"/>
      <c r="G6" s="760"/>
      <c r="H6" s="760"/>
      <c r="I6" s="760"/>
      <c r="J6" s="226"/>
      <c r="K6" s="226"/>
      <c r="L6" s="226"/>
      <c r="M6" s="226"/>
      <c r="N6" s="226"/>
    </row>
    <row r="8" spans="1:14" s="211" customFormat="1" ht="15">
      <c r="A8" s="210"/>
      <c r="B8" s="210"/>
      <c r="C8" s="210"/>
      <c r="D8" s="210"/>
      <c r="E8" s="210"/>
      <c r="F8" s="210"/>
      <c r="G8" s="210"/>
      <c r="H8" s="210"/>
      <c r="I8" s="210"/>
      <c r="J8" s="210"/>
      <c r="K8" s="210"/>
      <c r="L8" s="210"/>
      <c r="M8" s="210"/>
      <c r="N8" s="210"/>
    </row>
    <row r="9" spans="1:9" s="210" customFormat="1" ht="39" customHeight="1">
      <c r="A9" s="769" t="s">
        <v>1012</v>
      </c>
      <c r="B9" s="769"/>
      <c r="C9" s="769"/>
      <c r="D9" s="769"/>
      <c r="E9" s="769"/>
      <c r="F9" s="769"/>
      <c r="G9" s="769"/>
      <c r="H9" s="769"/>
      <c r="I9" s="769"/>
    </row>
    <row r="10" spans="1:14" s="211" customFormat="1" ht="15">
      <c r="A10" s="210"/>
      <c r="B10" s="210"/>
      <c r="C10" s="210"/>
      <c r="D10" s="210"/>
      <c r="E10" s="210"/>
      <c r="F10" s="210"/>
      <c r="G10" s="210"/>
      <c r="H10" s="210"/>
      <c r="I10" s="210"/>
      <c r="J10" s="210"/>
      <c r="K10" s="210"/>
      <c r="L10" s="210"/>
      <c r="M10" s="210"/>
      <c r="N10" s="210"/>
    </row>
    <row r="11" spans="10:14" s="211" customFormat="1" ht="46.5" customHeight="1">
      <c r="J11" s="210"/>
      <c r="K11" s="210"/>
      <c r="L11" s="210"/>
      <c r="M11" s="210"/>
      <c r="N11" s="210"/>
    </row>
    <row r="12" spans="1:14" s="211" customFormat="1" ht="15">
      <c r="A12" s="210"/>
      <c r="B12" s="210"/>
      <c r="C12" s="210"/>
      <c r="D12" s="210"/>
      <c r="E12" s="210"/>
      <c r="F12" s="210"/>
      <c r="G12" s="210"/>
      <c r="H12" s="210"/>
      <c r="I12" s="210"/>
      <c r="J12" s="210"/>
      <c r="K12" s="210"/>
      <c r="L12" s="210"/>
      <c r="M12" s="210"/>
      <c r="N12" s="210"/>
    </row>
    <row r="13" spans="1:14" s="211" customFormat="1" ht="15">
      <c r="A13" s="774"/>
      <c r="B13" s="774"/>
      <c r="C13" s="774"/>
      <c r="D13" s="774"/>
      <c r="E13" s="774"/>
      <c r="F13" s="774"/>
      <c r="G13" s="774"/>
      <c r="H13" s="774"/>
      <c r="I13" s="774"/>
      <c r="J13" s="210"/>
      <c r="K13" s="210"/>
      <c r="L13" s="210"/>
      <c r="M13" s="210"/>
      <c r="N13" s="210"/>
    </row>
    <row r="14" spans="1:14" s="211" customFormat="1" ht="15">
      <c r="A14" s="210"/>
      <c r="B14" s="210"/>
      <c r="C14" s="210"/>
      <c r="D14" s="210"/>
      <c r="E14" s="210"/>
      <c r="F14" s="210"/>
      <c r="G14" s="210"/>
      <c r="H14" s="210"/>
      <c r="I14" s="210"/>
      <c r="J14" s="210"/>
      <c r="K14" s="210"/>
      <c r="L14" s="210"/>
      <c r="M14" s="210"/>
      <c r="N14" s="210"/>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36"/>
  <sheetViews>
    <sheetView showGridLines="0" zoomScalePageLayoutView="0" workbookViewId="0" topLeftCell="A16">
      <selection activeCell="B31" sqref="B31"/>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IMPORT CENTER S.A.</v>
      </c>
      <c r="C1" s="469" t="s">
        <v>363</v>
      </c>
      <c r="H1" s="176"/>
    </row>
    <row r="5" spans="1:7" ht="15">
      <c r="A5" s="467" t="s">
        <v>874</v>
      </c>
      <c r="B5" s="467"/>
      <c r="C5" s="467"/>
      <c r="D5" s="467"/>
      <c r="E5" s="468"/>
      <c r="F5" s="468"/>
      <c r="G5" s="468"/>
    </row>
    <row r="6" spans="1:7" ht="15">
      <c r="A6" s="466" t="s">
        <v>245</v>
      </c>
      <c r="B6" s="463"/>
      <c r="C6" s="463"/>
      <c r="D6" s="463"/>
      <c r="E6" s="463"/>
      <c r="F6" s="463"/>
      <c r="G6" s="463"/>
    </row>
    <row r="7" spans="1:7" ht="15">
      <c r="A7" s="463"/>
      <c r="B7" s="463"/>
      <c r="C7" s="463"/>
      <c r="D7" s="463"/>
      <c r="E7" s="463"/>
      <c r="F7" s="463"/>
      <c r="G7" s="463"/>
    </row>
    <row r="8" spans="1:7" ht="15">
      <c r="A8" s="775"/>
      <c r="B8" s="775"/>
      <c r="C8" s="775"/>
      <c r="D8" s="775"/>
      <c r="E8" s="775"/>
      <c r="F8" s="775"/>
      <c r="G8" s="775"/>
    </row>
    <row r="9" spans="1:7" ht="15">
      <c r="A9" s="463"/>
      <c r="B9" s="463"/>
      <c r="C9" s="463"/>
      <c r="D9" s="463"/>
      <c r="E9" s="463"/>
      <c r="F9" s="463"/>
      <c r="G9" s="463"/>
    </row>
    <row r="10" spans="1:7" ht="15">
      <c r="A10" s="464"/>
      <c r="B10" s="427">
        <f>_xlfn.IFERROR(IF(Indice!B6="","2XX2",YEAR(Indice!B6)),"2XX2")</f>
        <v>2022</v>
      </c>
      <c r="C10" s="427">
        <f>+_xlfn.IFERROR(YEAR(Indice!B6-365),"2XX1")</f>
        <v>2021</v>
      </c>
      <c r="D10" s="463"/>
      <c r="E10" s="463"/>
      <c r="F10" s="463"/>
      <c r="G10" s="463"/>
    </row>
    <row r="11" spans="1:7" ht="15">
      <c r="A11" s="580" t="s">
        <v>862</v>
      </c>
      <c r="B11" s="581"/>
      <c r="C11" s="581"/>
      <c r="D11" s="582"/>
      <c r="E11" s="582"/>
      <c r="F11" s="582"/>
      <c r="G11" s="463"/>
    </row>
    <row r="12" spans="1:7" ht="15">
      <c r="A12" s="581" t="s">
        <v>109</v>
      </c>
      <c r="B12" s="581"/>
      <c r="C12" s="581"/>
      <c r="D12" s="582"/>
      <c r="E12" s="582"/>
      <c r="F12" s="582"/>
      <c r="G12" s="463"/>
    </row>
    <row r="13" spans="1:7" ht="15">
      <c r="A13" s="581" t="s">
        <v>863</v>
      </c>
      <c r="B13" s="581">
        <v>342763</v>
      </c>
      <c r="C13" s="581">
        <v>465000</v>
      </c>
      <c r="D13" s="582"/>
      <c r="E13" s="582"/>
      <c r="F13" s="582"/>
      <c r="G13" s="463"/>
    </row>
    <row r="14" spans="1:7" ht="15">
      <c r="A14" s="581" t="s">
        <v>40</v>
      </c>
      <c r="B14" s="581"/>
      <c r="C14" s="581"/>
      <c r="D14" s="582"/>
      <c r="E14" s="582"/>
      <c r="F14" s="582"/>
      <c r="G14" s="463"/>
    </row>
    <row r="15" spans="1:7" ht="15">
      <c r="A15" s="580" t="s">
        <v>864</v>
      </c>
      <c r="B15" s="589">
        <f>+B13</f>
        <v>342763</v>
      </c>
      <c r="C15" s="589">
        <v>465000</v>
      </c>
      <c r="D15" s="582"/>
      <c r="E15" s="582"/>
      <c r="F15" s="582"/>
      <c r="G15" s="463"/>
    </row>
    <row r="16" spans="1:7" ht="15">
      <c r="A16" s="580" t="s">
        <v>865</v>
      </c>
      <c r="B16" s="583"/>
      <c r="C16" s="583"/>
      <c r="D16" s="582"/>
      <c r="E16" s="582"/>
      <c r="F16" s="582"/>
      <c r="G16" s="463"/>
    </row>
    <row r="17" spans="1:7" ht="15">
      <c r="A17" s="581" t="s">
        <v>110</v>
      </c>
      <c r="B17" s="581"/>
      <c r="C17" s="581"/>
      <c r="D17" s="582"/>
      <c r="E17" s="582"/>
      <c r="F17" s="582"/>
      <c r="G17" s="463"/>
    </row>
    <row r="18" spans="1:7" ht="15">
      <c r="A18" s="581" t="s">
        <v>111</v>
      </c>
      <c r="B18" s="581"/>
      <c r="C18" s="581"/>
      <c r="D18" s="582"/>
      <c r="E18" s="582"/>
      <c r="F18" s="582"/>
      <c r="G18" s="463"/>
    </row>
    <row r="19" spans="1:7" ht="15">
      <c r="A19" s="581" t="s">
        <v>69</v>
      </c>
      <c r="B19" s="581"/>
      <c r="C19" s="581"/>
      <c r="D19" s="582"/>
      <c r="E19" s="582"/>
      <c r="F19" s="582"/>
      <c r="G19" s="463"/>
    </row>
    <row r="20" spans="1:7" ht="15">
      <c r="A20" s="581" t="s">
        <v>866</v>
      </c>
      <c r="B20" s="581">
        <v>650000</v>
      </c>
      <c r="C20" s="581">
        <v>650000</v>
      </c>
      <c r="D20" s="582"/>
      <c r="E20" s="582"/>
      <c r="F20" s="582"/>
      <c r="G20" s="463"/>
    </row>
    <row r="21" spans="1:7" ht="15">
      <c r="A21" s="581" t="s">
        <v>867</v>
      </c>
      <c r="B21" s="581"/>
      <c r="C21" s="581"/>
      <c r="D21" s="582"/>
      <c r="E21" s="582"/>
      <c r="F21" s="582"/>
      <c r="G21" s="463"/>
    </row>
    <row r="22" spans="1:7" ht="15">
      <c r="A22" s="580" t="s">
        <v>868</v>
      </c>
      <c r="B22" s="589">
        <f>+B20</f>
        <v>650000</v>
      </c>
      <c r="C22" s="589">
        <v>650000</v>
      </c>
      <c r="D22" s="582"/>
      <c r="E22" s="582"/>
      <c r="F22" s="582"/>
      <c r="G22" s="463"/>
    </row>
    <row r="23" spans="1:7" ht="15">
      <c r="A23" s="582"/>
      <c r="B23" s="582"/>
      <c r="C23" s="582"/>
      <c r="D23" s="582"/>
      <c r="E23" s="582"/>
      <c r="F23" s="582"/>
      <c r="G23" s="463"/>
    </row>
    <row r="24" spans="1:7" ht="15">
      <c r="A24" s="776"/>
      <c r="B24" s="776"/>
      <c r="C24" s="776"/>
      <c r="D24" s="776"/>
      <c r="E24" s="776"/>
      <c r="F24" s="776"/>
      <c r="G24" s="465"/>
    </row>
    <row r="25" spans="1:7" ht="15">
      <c r="A25" s="584"/>
      <c r="B25" s="584"/>
      <c r="C25" s="584"/>
      <c r="D25" s="584"/>
      <c r="E25" s="584"/>
      <c r="F25" s="584"/>
      <c r="G25" s="465"/>
    </row>
    <row r="26" spans="1:7" ht="15">
      <c r="A26" s="585"/>
      <c r="B26" s="586">
        <f>_xlfn.IFERROR(IF(Indice!B6="","2XX2",YEAR(Indice!B6)),"2XX2")</f>
        <v>2022</v>
      </c>
      <c r="C26" s="586">
        <f>+_xlfn.IFERROR(YEAR(Indice!B6-365),"2XX1")</f>
        <v>2021</v>
      </c>
      <c r="D26" s="584"/>
      <c r="E26" s="584"/>
      <c r="F26" s="584"/>
      <c r="G26" s="465"/>
    </row>
    <row r="27" spans="1:7" ht="15">
      <c r="A27" s="587" t="s">
        <v>152</v>
      </c>
      <c r="B27" s="588"/>
      <c r="C27" s="588"/>
      <c r="D27" s="584"/>
      <c r="E27" s="584"/>
      <c r="F27" s="584"/>
      <c r="G27" s="465"/>
    </row>
    <row r="28" spans="1:7" ht="15">
      <c r="A28" s="588" t="s">
        <v>869</v>
      </c>
      <c r="B28" s="588"/>
      <c r="C28" s="588"/>
      <c r="D28" s="584"/>
      <c r="E28" s="584"/>
      <c r="F28" s="584"/>
      <c r="G28" s="465"/>
    </row>
    <row r="29" spans="1:7" ht="15">
      <c r="A29" s="588"/>
      <c r="B29" s="588"/>
      <c r="C29" s="588"/>
      <c r="D29" s="584"/>
      <c r="E29" s="584"/>
      <c r="F29" s="584"/>
      <c r="G29" s="465"/>
    </row>
    <row r="30" spans="1:7" ht="15">
      <c r="A30" s="587" t="s">
        <v>167</v>
      </c>
      <c r="B30" s="587">
        <f>+B31</f>
        <v>216000</v>
      </c>
      <c r="C30" s="587">
        <f>+C31</f>
        <v>360000</v>
      </c>
      <c r="D30" s="584"/>
      <c r="E30" s="584"/>
      <c r="F30" s="584"/>
      <c r="G30" s="465"/>
    </row>
    <row r="31" spans="1:7" ht="15">
      <c r="A31" s="588" t="s">
        <v>870</v>
      </c>
      <c r="B31" s="588">
        <v>216000</v>
      </c>
      <c r="C31" s="588">
        <v>360000</v>
      </c>
      <c r="D31" s="584"/>
      <c r="E31" s="584"/>
      <c r="F31" s="584"/>
      <c r="G31" s="465"/>
    </row>
    <row r="32" spans="1:7" ht="15">
      <c r="A32" s="588" t="s">
        <v>871</v>
      </c>
      <c r="B32" s="588"/>
      <c r="C32" s="588"/>
      <c r="D32" s="584"/>
      <c r="E32" s="584"/>
      <c r="F32" s="584"/>
      <c r="G32" s="465"/>
    </row>
    <row r="33" spans="1:7" ht="15">
      <c r="A33" s="587" t="s">
        <v>872</v>
      </c>
      <c r="B33" s="588"/>
      <c r="C33" s="588"/>
      <c r="D33" s="584"/>
      <c r="E33" s="584"/>
      <c r="F33" s="584"/>
      <c r="G33" s="465"/>
    </row>
    <row r="34" spans="1:7" ht="15">
      <c r="A34" s="588" t="s">
        <v>873</v>
      </c>
      <c r="B34" s="588"/>
      <c r="C34" s="588"/>
      <c r="D34" s="584"/>
      <c r="E34" s="584"/>
      <c r="F34" s="584"/>
      <c r="G34" s="465"/>
    </row>
    <row r="35" spans="1:7" ht="15">
      <c r="A35" s="465"/>
      <c r="B35" s="465"/>
      <c r="C35" s="465"/>
      <c r="D35" s="465"/>
      <c r="E35" s="465"/>
      <c r="F35" s="465"/>
      <c r="G35" s="465"/>
    </row>
    <row r="36" spans="1:7" ht="15">
      <c r="A36" s="465"/>
      <c r="B36" s="465"/>
      <c r="C36" s="465"/>
      <c r="D36" s="465"/>
      <c r="E36" s="465"/>
      <c r="F36" s="465"/>
      <c r="G36" s="465"/>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C179"/>
  <sheetViews>
    <sheetView zoomScalePageLayoutView="0" workbookViewId="0" topLeftCell="A4">
      <selection activeCell="C1" sqref="C1"/>
    </sheetView>
  </sheetViews>
  <sheetFormatPr defaultColWidth="11.421875" defaultRowHeight="15"/>
  <cols>
    <col min="1" max="1" width="11.421875" style="319" customWidth="1"/>
    <col min="2" max="2" width="66.140625" style="319" bestFit="1" customWidth="1"/>
  </cols>
  <sheetData>
    <row r="1" spans="1:3" ht="15">
      <c r="A1" s="319" t="s">
        <v>408</v>
      </c>
      <c r="B1" s="319" t="s">
        <v>732</v>
      </c>
      <c r="C1" s="176" t="s">
        <v>878</v>
      </c>
    </row>
    <row r="2" spans="1:2" ht="15">
      <c r="A2" s="319" t="s">
        <v>407</v>
      </c>
      <c r="B2" s="319" t="s">
        <v>598</v>
      </c>
    </row>
    <row r="3" spans="1:2" ht="15">
      <c r="A3" s="319" t="s">
        <v>500</v>
      </c>
      <c r="B3" s="319" t="s">
        <v>664</v>
      </c>
    </row>
    <row r="4" spans="1:2" ht="15">
      <c r="A4" s="319" t="s">
        <v>456</v>
      </c>
      <c r="B4" s="319" t="s">
        <v>457</v>
      </c>
    </row>
    <row r="5" spans="1:2" ht="15">
      <c r="A5" s="319" t="s">
        <v>458</v>
      </c>
      <c r="B5" s="319" t="s">
        <v>612</v>
      </c>
    </row>
    <row r="6" spans="1:2" ht="15">
      <c r="A6" s="319" t="s">
        <v>459</v>
      </c>
      <c r="B6" s="319" t="s">
        <v>613</v>
      </c>
    </row>
    <row r="7" spans="1:2" ht="15">
      <c r="A7" s="319" t="s">
        <v>460</v>
      </c>
      <c r="B7" s="319" t="s">
        <v>614</v>
      </c>
    </row>
    <row r="8" spans="1:2" ht="15">
      <c r="A8" s="319" t="s">
        <v>461</v>
      </c>
      <c r="B8" s="319" t="s">
        <v>615</v>
      </c>
    </row>
    <row r="9" spans="1:2" ht="15">
      <c r="A9" s="319" t="s">
        <v>462</v>
      </c>
      <c r="B9" s="319" t="s">
        <v>616</v>
      </c>
    </row>
    <row r="10" spans="1:2" ht="15">
      <c r="A10" s="319" t="s">
        <v>463</v>
      </c>
      <c r="B10" s="319" t="s">
        <v>617</v>
      </c>
    </row>
    <row r="11" spans="1:2" ht="15">
      <c r="A11" s="319" t="s">
        <v>464</v>
      </c>
      <c r="B11" s="319" t="s">
        <v>618</v>
      </c>
    </row>
    <row r="12" spans="1:2" ht="15">
      <c r="A12" s="319" t="s">
        <v>465</v>
      </c>
      <c r="B12" s="319" t="s">
        <v>619</v>
      </c>
    </row>
    <row r="13" spans="1:2" ht="15">
      <c r="A13" s="319" t="s">
        <v>466</v>
      </c>
      <c r="B13" s="319" t="s">
        <v>620</v>
      </c>
    </row>
    <row r="14" spans="1:2" ht="15">
      <c r="A14" s="319" t="s">
        <v>467</v>
      </c>
      <c r="B14" s="319" t="s">
        <v>621</v>
      </c>
    </row>
    <row r="15" spans="1:2" ht="15">
      <c r="A15" s="319" t="s">
        <v>468</v>
      </c>
      <c r="B15" s="319" t="s">
        <v>622</v>
      </c>
    </row>
    <row r="16" spans="1:2" ht="15">
      <c r="A16" s="319" t="s">
        <v>469</v>
      </c>
      <c r="B16" s="319" t="s">
        <v>623</v>
      </c>
    </row>
    <row r="17" spans="1:2" ht="15">
      <c r="A17" s="319" t="s">
        <v>470</v>
      </c>
      <c r="B17" s="319" t="s">
        <v>624</v>
      </c>
    </row>
    <row r="18" spans="1:2" ht="15">
      <c r="A18" s="319" t="s">
        <v>471</v>
      </c>
      <c r="B18" s="319" t="s">
        <v>625</v>
      </c>
    </row>
    <row r="19" spans="1:2" ht="15">
      <c r="A19" s="319" t="s">
        <v>472</v>
      </c>
      <c r="B19" s="319" t="s">
        <v>626</v>
      </c>
    </row>
    <row r="20" spans="1:2" ht="15">
      <c r="A20" s="319" t="s">
        <v>473</v>
      </c>
      <c r="B20" s="319" t="s">
        <v>627</v>
      </c>
    </row>
    <row r="21" spans="1:2" ht="15">
      <c r="A21" s="319" t="s">
        <v>474</v>
      </c>
      <c r="B21" s="319" t="s">
        <v>628</v>
      </c>
    </row>
    <row r="22" spans="1:2" ht="15">
      <c r="A22" s="319" t="s">
        <v>475</v>
      </c>
      <c r="B22" s="319" t="s">
        <v>629</v>
      </c>
    </row>
    <row r="23" spans="1:2" ht="15">
      <c r="A23" s="319" t="s">
        <v>630</v>
      </c>
      <c r="B23" s="319" t="s">
        <v>631</v>
      </c>
    </row>
    <row r="24" spans="1:2" ht="15">
      <c r="A24" s="319" t="s">
        <v>476</v>
      </c>
      <c r="B24" s="319" t="s">
        <v>632</v>
      </c>
    </row>
    <row r="25" spans="1:2" ht="15">
      <c r="A25" s="319" t="s">
        <v>477</v>
      </c>
      <c r="B25" s="319" t="s">
        <v>633</v>
      </c>
    </row>
    <row r="26" spans="1:2" ht="15">
      <c r="A26" s="319" t="s">
        <v>478</v>
      </c>
      <c r="B26" s="319" t="s">
        <v>634</v>
      </c>
    </row>
    <row r="27" spans="1:2" ht="15">
      <c r="A27" s="319" t="s">
        <v>479</v>
      </c>
      <c r="B27" s="319" t="s">
        <v>635</v>
      </c>
    </row>
    <row r="28" spans="1:2" ht="15">
      <c r="A28" s="319" t="s">
        <v>480</v>
      </c>
      <c r="B28" s="319" t="s">
        <v>636</v>
      </c>
    </row>
    <row r="29" spans="1:2" ht="15">
      <c r="A29" s="319" t="s">
        <v>481</v>
      </c>
      <c r="B29" s="319" t="s">
        <v>637</v>
      </c>
    </row>
    <row r="30" spans="1:2" ht="15">
      <c r="A30" s="319" t="s">
        <v>482</v>
      </c>
      <c r="B30" s="319" t="s">
        <v>638</v>
      </c>
    </row>
    <row r="31" spans="1:2" ht="15">
      <c r="A31" s="319" t="s">
        <v>483</v>
      </c>
      <c r="B31" s="319" t="s">
        <v>639</v>
      </c>
    </row>
    <row r="32" spans="1:2" ht="15">
      <c r="A32" s="319" t="s">
        <v>640</v>
      </c>
      <c r="B32" s="319" t="s">
        <v>641</v>
      </c>
    </row>
    <row r="33" spans="1:2" ht="15">
      <c r="A33" s="319" t="s">
        <v>484</v>
      </c>
      <c r="B33" s="319" t="s">
        <v>642</v>
      </c>
    </row>
    <row r="34" spans="1:2" ht="15">
      <c r="A34" s="319" t="s">
        <v>643</v>
      </c>
      <c r="B34" s="319" t="s">
        <v>644</v>
      </c>
    </row>
    <row r="35" spans="1:2" ht="15">
      <c r="A35" s="319" t="s">
        <v>645</v>
      </c>
      <c r="B35" s="319" t="s">
        <v>646</v>
      </c>
    </row>
    <row r="36" spans="1:2" ht="15">
      <c r="A36" s="319" t="s">
        <v>485</v>
      </c>
      <c r="B36" s="319" t="s">
        <v>647</v>
      </c>
    </row>
    <row r="37" spans="1:2" ht="15">
      <c r="A37" s="319" t="s">
        <v>486</v>
      </c>
      <c r="B37" s="319" t="s">
        <v>648</v>
      </c>
    </row>
    <row r="38" spans="1:2" ht="15">
      <c r="A38" s="319" t="s">
        <v>487</v>
      </c>
      <c r="B38" s="319" t="s">
        <v>649</v>
      </c>
    </row>
    <row r="39" spans="1:2" ht="15">
      <c r="A39" s="319" t="s">
        <v>650</v>
      </c>
      <c r="B39" s="319" t="s">
        <v>651</v>
      </c>
    </row>
    <row r="40" spans="1:2" ht="15">
      <c r="A40" s="319" t="s">
        <v>488</v>
      </c>
      <c r="B40" s="319" t="s">
        <v>652</v>
      </c>
    </row>
    <row r="41" spans="1:2" ht="15">
      <c r="A41" s="319" t="s">
        <v>489</v>
      </c>
      <c r="B41" s="319" t="s">
        <v>653</v>
      </c>
    </row>
    <row r="42" spans="1:2" ht="15">
      <c r="A42" s="319" t="s">
        <v>490</v>
      </c>
      <c r="B42" s="319" t="s">
        <v>654</v>
      </c>
    </row>
    <row r="43" spans="1:2" ht="15">
      <c r="A43" s="319" t="s">
        <v>491</v>
      </c>
      <c r="B43" s="319" t="s">
        <v>655</v>
      </c>
    </row>
    <row r="44" spans="1:2" ht="15">
      <c r="A44" s="319" t="s">
        <v>492</v>
      </c>
      <c r="B44" s="319" t="s">
        <v>656</v>
      </c>
    </row>
    <row r="45" spans="1:2" ht="15">
      <c r="A45" s="319" t="s">
        <v>493</v>
      </c>
      <c r="B45" s="319" t="s">
        <v>657</v>
      </c>
    </row>
    <row r="46" spans="1:2" ht="15">
      <c r="A46" s="319" t="s">
        <v>494</v>
      </c>
      <c r="B46" s="319" t="s">
        <v>658</v>
      </c>
    </row>
    <row r="47" spans="1:2" ht="15">
      <c r="A47" s="319" t="s">
        <v>495</v>
      </c>
      <c r="B47" s="319" t="s">
        <v>659</v>
      </c>
    </row>
    <row r="48" spans="1:2" ht="15">
      <c r="A48" s="319" t="s">
        <v>496</v>
      </c>
      <c r="B48" s="319" t="s">
        <v>660</v>
      </c>
    </row>
    <row r="49" spans="1:2" ht="15">
      <c r="A49" s="319" t="s">
        <v>497</v>
      </c>
      <c r="B49" s="319" t="s">
        <v>661</v>
      </c>
    </row>
    <row r="50" spans="1:2" ht="15">
      <c r="A50" s="319" t="s">
        <v>498</v>
      </c>
      <c r="B50" s="319" t="s">
        <v>662</v>
      </c>
    </row>
    <row r="51" spans="1:2" ht="15">
      <c r="A51" s="319" t="s">
        <v>499</v>
      </c>
      <c r="B51" s="319" t="s">
        <v>663</v>
      </c>
    </row>
    <row r="52" spans="1:2" ht="15">
      <c r="A52" s="319" t="s">
        <v>501</v>
      </c>
      <c r="B52" s="319" t="s">
        <v>665</v>
      </c>
    </row>
    <row r="53" spans="1:2" ht="15">
      <c r="A53" s="319" t="s">
        <v>502</v>
      </c>
      <c r="B53" s="319" t="s">
        <v>666</v>
      </c>
    </row>
    <row r="54" spans="1:2" ht="15">
      <c r="A54" s="319" t="s">
        <v>503</v>
      </c>
      <c r="B54" s="319" t="s">
        <v>667</v>
      </c>
    </row>
    <row r="55" spans="1:2" ht="15">
      <c r="A55" s="319" t="s">
        <v>504</v>
      </c>
      <c r="B55" s="319" t="s">
        <v>668</v>
      </c>
    </row>
    <row r="56" spans="1:2" ht="15">
      <c r="A56" s="319" t="s">
        <v>505</v>
      </c>
      <c r="B56" s="319" t="s">
        <v>669</v>
      </c>
    </row>
    <row r="57" spans="1:2" ht="15">
      <c r="A57" s="319" t="s">
        <v>506</v>
      </c>
      <c r="B57" s="319" t="s">
        <v>670</v>
      </c>
    </row>
    <row r="58" spans="1:2" ht="15">
      <c r="A58" s="319" t="s">
        <v>507</v>
      </c>
      <c r="B58" s="319" t="s">
        <v>671</v>
      </c>
    </row>
    <row r="59" spans="1:2" ht="15">
      <c r="A59" s="319" t="s">
        <v>508</v>
      </c>
      <c r="B59" s="319" t="s">
        <v>672</v>
      </c>
    </row>
    <row r="60" spans="1:2" ht="15">
      <c r="A60" s="319" t="s">
        <v>509</v>
      </c>
      <c r="B60" s="319" t="s">
        <v>673</v>
      </c>
    </row>
    <row r="61" spans="1:2" ht="15">
      <c r="A61" s="319" t="s">
        <v>510</v>
      </c>
      <c r="B61" s="319" t="s">
        <v>674</v>
      </c>
    </row>
    <row r="62" spans="1:2" ht="15">
      <c r="A62" s="319" t="s">
        <v>511</v>
      </c>
      <c r="B62" s="319" t="s">
        <v>675</v>
      </c>
    </row>
    <row r="63" spans="1:2" ht="15">
      <c r="A63" s="319" t="s">
        <v>512</v>
      </c>
      <c r="B63" s="319" t="s">
        <v>676</v>
      </c>
    </row>
    <row r="64" spans="1:2" ht="15">
      <c r="A64" s="319" t="s">
        <v>513</v>
      </c>
      <c r="B64" s="319" t="s">
        <v>677</v>
      </c>
    </row>
    <row r="65" spans="1:2" ht="15">
      <c r="A65" s="319" t="s">
        <v>514</v>
      </c>
      <c r="B65" s="319" t="s">
        <v>678</v>
      </c>
    </row>
    <row r="66" spans="1:2" ht="15">
      <c r="A66" s="319" t="s">
        <v>515</v>
      </c>
      <c r="B66" s="319" t="s">
        <v>679</v>
      </c>
    </row>
    <row r="67" spans="1:2" ht="15">
      <c r="A67" s="319" t="s">
        <v>516</v>
      </c>
      <c r="B67" s="319" t="s">
        <v>680</v>
      </c>
    </row>
    <row r="68" spans="1:2" ht="15">
      <c r="A68" s="319" t="s">
        <v>517</v>
      </c>
      <c r="B68" s="319" t="s">
        <v>681</v>
      </c>
    </row>
    <row r="69" spans="1:2" ht="15">
      <c r="A69" s="319" t="s">
        <v>518</v>
      </c>
      <c r="B69" s="319" t="s">
        <v>682</v>
      </c>
    </row>
    <row r="70" spans="1:2" ht="15">
      <c r="A70" s="319" t="s">
        <v>519</v>
      </c>
      <c r="B70" s="319" t="s">
        <v>683</v>
      </c>
    </row>
    <row r="71" spans="1:2" ht="15">
      <c r="A71" s="319" t="s">
        <v>520</v>
      </c>
      <c r="B71" s="319" t="s">
        <v>684</v>
      </c>
    </row>
    <row r="72" spans="1:2" ht="15">
      <c r="A72" s="319" t="s">
        <v>521</v>
      </c>
      <c r="B72" s="319" t="s">
        <v>685</v>
      </c>
    </row>
    <row r="73" spans="1:2" ht="15">
      <c r="A73" s="319" t="s">
        <v>522</v>
      </c>
      <c r="B73" s="319" t="s">
        <v>686</v>
      </c>
    </row>
    <row r="74" spans="1:2" ht="15">
      <c r="A74" s="319" t="s">
        <v>523</v>
      </c>
      <c r="B74" s="319" t="s">
        <v>687</v>
      </c>
    </row>
    <row r="75" spans="1:2" ht="15">
      <c r="A75" s="319" t="s">
        <v>524</v>
      </c>
      <c r="B75" s="319" t="s">
        <v>688</v>
      </c>
    </row>
    <row r="76" spans="1:2" ht="15">
      <c r="A76" s="319" t="s">
        <v>525</v>
      </c>
      <c r="B76" s="319" t="s">
        <v>689</v>
      </c>
    </row>
    <row r="77" spans="1:2" ht="15">
      <c r="A77" s="319" t="s">
        <v>526</v>
      </c>
      <c r="B77" s="319" t="s">
        <v>690</v>
      </c>
    </row>
    <row r="78" spans="1:2" ht="15">
      <c r="A78" s="319" t="s">
        <v>527</v>
      </c>
      <c r="B78" s="319" t="s">
        <v>691</v>
      </c>
    </row>
    <row r="79" spans="1:2" ht="15">
      <c r="A79" s="319" t="s">
        <v>528</v>
      </c>
      <c r="B79" s="319" t="s">
        <v>692</v>
      </c>
    </row>
    <row r="80" spans="1:2" ht="15">
      <c r="A80" s="319" t="s">
        <v>529</v>
      </c>
      <c r="B80" s="319" t="s">
        <v>693</v>
      </c>
    </row>
    <row r="81" spans="1:2" ht="15">
      <c r="A81" s="319" t="s">
        <v>530</v>
      </c>
      <c r="B81" s="319" t="s">
        <v>694</v>
      </c>
    </row>
    <row r="82" spans="1:2" ht="15">
      <c r="A82" s="319" t="s">
        <v>531</v>
      </c>
      <c r="B82" s="319" t="s">
        <v>695</v>
      </c>
    </row>
    <row r="83" spans="1:2" ht="15">
      <c r="A83" s="319" t="s">
        <v>532</v>
      </c>
      <c r="B83" s="319" t="s">
        <v>696</v>
      </c>
    </row>
    <row r="84" spans="1:2" ht="15">
      <c r="A84" s="319" t="s">
        <v>533</v>
      </c>
      <c r="B84" s="319" t="s">
        <v>697</v>
      </c>
    </row>
    <row r="85" spans="1:2" ht="15">
      <c r="A85" s="319" t="s">
        <v>534</v>
      </c>
      <c r="B85" s="319" t="s">
        <v>698</v>
      </c>
    </row>
    <row r="86" spans="1:2" ht="15">
      <c r="A86" s="319" t="s">
        <v>535</v>
      </c>
      <c r="B86" s="319" t="s">
        <v>699</v>
      </c>
    </row>
    <row r="87" spans="1:2" ht="15">
      <c r="A87" s="319" t="s">
        <v>536</v>
      </c>
      <c r="B87" s="319" t="s">
        <v>700</v>
      </c>
    </row>
    <row r="88" spans="1:2" ht="15">
      <c r="A88" s="319" t="s">
        <v>537</v>
      </c>
      <c r="B88" s="319" t="s">
        <v>701</v>
      </c>
    </row>
    <row r="89" spans="1:2" ht="15">
      <c r="A89" s="319" t="s">
        <v>538</v>
      </c>
      <c r="B89" s="319" t="s">
        <v>702</v>
      </c>
    </row>
    <row r="90" spans="1:2" ht="15">
      <c r="A90" s="319" t="s">
        <v>539</v>
      </c>
      <c r="B90" s="319" t="s">
        <v>703</v>
      </c>
    </row>
    <row r="91" spans="1:2" ht="15">
      <c r="A91" s="319" t="s">
        <v>540</v>
      </c>
      <c r="B91" s="319" t="s">
        <v>704</v>
      </c>
    </row>
    <row r="92" spans="1:2" ht="15">
      <c r="A92" s="319" t="s">
        <v>541</v>
      </c>
      <c r="B92" s="319" t="s">
        <v>705</v>
      </c>
    </row>
    <row r="93" spans="1:2" ht="15">
      <c r="A93" s="319" t="s">
        <v>542</v>
      </c>
      <c r="B93" s="319" t="s">
        <v>706</v>
      </c>
    </row>
    <row r="94" spans="1:2" ht="15">
      <c r="A94" s="319" t="s">
        <v>543</v>
      </c>
      <c r="B94" s="319" t="s">
        <v>707</v>
      </c>
    </row>
    <row r="95" spans="1:2" ht="15">
      <c r="A95" s="319" t="s">
        <v>544</v>
      </c>
      <c r="B95" s="319" t="s">
        <v>708</v>
      </c>
    </row>
    <row r="96" spans="1:2" ht="15">
      <c r="A96" s="319" t="s">
        <v>545</v>
      </c>
      <c r="B96" s="319" t="s">
        <v>709</v>
      </c>
    </row>
    <row r="97" spans="1:2" ht="15">
      <c r="A97" s="319" t="s">
        <v>546</v>
      </c>
      <c r="B97" s="319" t="s">
        <v>710</v>
      </c>
    </row>
    <row r="98" spans="1:2" ht="15">
      <c r="A98" s="319" t="s">
        <v>547</v>
      </c>
      <c r="B98" s="319" t="s">
        <v>711</v>
      </c>
    </row>
    <row r="99" spans="1:2" ht="15">
      <c r="A99" s="319" t="s">
        <v>548</v>
      </c>
      <c r="B99" s="319" t="s">
        <v>712</v>
      </c>
    </row>
    <row r="100" spans="1:2" ht="15">
      <c r="A100" s="319" t="s">
        <v>549</v>
      </c>
      <c r="B100" s="319" t="s">
        <v>713</v>
      </c>
    </row>
    <row r="101" spans="1:2" ht="15">
      <c r="A101" s="319" t="s">
        <v>550</v>
      </c>
      <c r="B101" s="319" t="s">
        <v>714</v>
      </c>
    </row>
    <row r="102" spans="1:2" ht="15">
      <c r="A102" s="319" t="s">
        <v>551</v>
      </c>
      <c r="B102" s="319" t="s">
        <v>715</v>
      </c>
    </row>
    <row r="103" spans="1:2" ht="15">
      <c r="A103" s="319" t="s">
        <v>716</v>
      </c>
      <c r="B103" s="319" t="s">
        <v>717</v>
      </c>
    </row>
    <row r="104" spans="1:2" ht="15">
      <c r="A104" s="319" t="s">
        <v>552</v>
      </c>
      <c r="B104" s="319" t="s">
        <v>718</v>
      </c>
    </row>
    <row r="105" spans="1:2" ht="15">
      <c r="A105" s="319" t="s">
        <v>553</v>
      </c>
      <c r="B105" s="319" t="s">
        <v>719</v>
      </c>
    </row>
    <row r="106" spans="1:2" ht="15">
      <c r="A106" s="319" t="s">
        <v>554</v>
      </c>
      <c r="B106" s="319" t="s">
        <v>720</v>
      </c>
    </row>
    <row r="107" spans="1:2" ht="15">
      <c r="A107" s="319" t="s">
        <v>555</v>
      </c>
      <c r="B107" s="319" t="s">
        <v>721</v>
      </c>
    </row>
    <row r="108" spans="1:2" ht="15">
      <c r="A108" s="319" t="s">
        <v>556</v>
      </c>
      <c r="B108" s="319" t="s">
        <v>722</v>
      </c>
    </row>
    <row r="109" spans="1:2" ht="15">
      <c r="A109" s="319" t="s">
        <v>557</v>
      </c>
      <c r="B109" s="319" t="s">
        <v>723</v>
      </c>
    </row>
    <row r="110" spans="1:2" ht="15">
      <c r="A110" s="319" t="s">
        <v>558</v>
      </c>
      <c r="B110" s="319" t="s">
        <v>724</v>
      </c>
    </row>
    <row r="111" spans="1:2" ht="15">
      <c r="A111" s="319" t="s">
        <v>559</v>
      </c>
      <c r="B111" s="319" t="s">
        <v>560</v>
      </c>
    </row>
    <row r="112" spans="1:2" ht="15">
      <c r="A112" s="319" t="s">
        <v>561</v>
      </c>
      <c r="B112" s="319" t="s">
        <v>725</v>
      </c>
    </row>
    <row r="113" spans="1:2" ht="15">
      <c r="A113" s="319" t="s">
        <v>562</v>
      </c>
      <c r="B113" s="319" t="s">
        <v>726</v>
      </c>
    </row>
    <row r="114" spans="1:2" ht="15">
      <c r="A114" s="319" t="s">
        <v>563</v>
      </c>
      <c r="B114" s="319" t="s">
        <v>727</v>
      </c>
    </row>
    <row r="115" spans="1:2" ht="15">
      <c r="A115" s="319" t="s">
        <v>564</v>
      </c>
      <c r="B115" s="319" t="s">
        <v>728</v>
      </c>
    </row>
    <row r="116" spans="1:2" ht="15">
      <c r="A116" s="319" t="s">
        <v>565</v>
      </c>
      <c r="B116" s="319" t="s">
        <v>729</v>
      </c>
    </row>
    <row r="117" spans="1:2" ht="15">
      <c r="A117" s="319" t="s">
        <v>566</v>
      </c>
      <c r="B117" s="319" t="s">
        <v>730</v>
      </c>
    </row>
    <row r="118" spans="1:2" ht="15">
      <c r="A118" s="319" t="s">
        <v>567</v>
      </c>
      <c r="B118" s="319" t="s">
        <v>731</v>
      </c>
    </row>
    <row r="119" spans="1:2" ht="15">
      <c r="A119" s="319" t="s">
        <v>568</v>
      </c>
      <c r="B119" s="319" t="s">
        <v>733</v>
      </c>
    </row>
    <row r="120" spans="1:2" ht="15">
      <c r="A120" s="319" t="s">
        <v>569</v>
      </c>
      <c r="B120" s="319" t="s">
        <v>734</v>
      </c>
    </row>
    <row r="121" spans="1:2" ht="15">
      <c r="A121" s="319" t="s">
        <v>570</v>
      </c>
      <c r="B121" s="319" t="s">
        <v>735</v>
      </c>
    </row>
    <row r="122" spans="1:2" ht="15">
      <c r="A122" s="319" t="s">
        <v>571</v>
      </c>
      <c r="B122" s="319" t="s">
        <v>736</v>
      </c>
    </row>
    <row r="123" spans="1:2" ht="15">
      <c r="A123" s="319" t="s">
        <v>572</v>
      </c>
      <c r="B123" s="319" t="s">
        <v>737</v>
      </c>
    </row>
    <row r="124" spans="1:2" ht="15">
      <c r="A124" s="319" t="s">
        <v>573</v>
      </c>
      <c r="B124" s="319" t="s">
        <v>738</v>
      </c>
    </row>
    <row r="125" spans="1:2" ht="15">
      <c r="A125" s="319" t="s">
        <v>574</v>
      </c>
      <c r="B125" s="319" t="s">
        <v>739</v>
      </c>
    </row>
    <row r="126" spans="1:2" ht="15">
      <c r="A126" s="319" t="s">
        <v>575</v>
      </c>
      <c r="B126" s="319" t="s">
        <v>740</v>
      </c>
    </row>
    <row r="127" spans="1:2" ht="15">
      <c r="A127" s="319" t="s">
        <v>576</v>
      </c>
      <c r="B127" s="319" t="s">
        <v>741</v>
      </c>
    </row>
    <row r="128" spans="1:2" ht="15">
      <c r="A128" s="319" t="s">
        <v>577</v>
      </c>
      <c r="B128" s="319" t="s">
        <v>742</v>
      </c>
    </row>
    <row r="129" spans="1:2" ht="15">
      <c r="A129" s="319" t="s">
        <v>578</v>
      </c>
      <c r="B129" s="319" t="s">
        <v>743</v>
      </c>
    </row>
    <row r="130" spans="1:2" ht="15">
      <c r="A130" s="319" t="s">
        <v>579</v>
      </c>
      <c r="B130" s="319" t="s">
        <v>744</v>
      </c>
    </row>
    <row r="131" spans="1:2" ht="15">
      <c r="A131" s="319" t="s">
        <v>580</v>
      </c>
      <c r="B131" s="319" t="s">
        <v>745</v>
      </c>
    </row>
    <row r="132" spans="1:2" ht="15">
      <c r="A132" s="319" t="s">
        <v>581</v>
      </c>
      <c r="B132" s="319" t="s">
        <v>746</v>
      </c>
    </row>
    <row r="133" spans="1:2" ht="15">
      <c r="A133" s="319" t="s">
        <v>582</v>
      </c>
      <c r="B133" s="319" t="s">
        <v>747</v>
      </c>
    </row>
    <row r="134" spans="1:2" ht="15">
      <c r="A134" s="319" t="s">
        <v>748</v>
      </c>
      <c r="B134" s="319" t="s">
        <v>749</v>
      </c>
    </row>
    <row r="135" spans="1:2" ht="15">
      <c r="A135" s="319" t="s">
        <v>583</v>
      </c>
      <c r="B135" s="319" t="s">
        <v>750</v>
      </c>
    </row>
    <row r="136" spans="1:2" ht="15">
      <c r="A136" s="319" t="s">
        <v>584</v>
      </c>
      <c r="B136" s="319" t="s">
        <v>751</v>
      </c>
    </row>
    <row r="137" spans="1:2" ht="15">
      <c r="A137" s="319" t="s">
        <v>585</v>
      </c>
      <c r="B137" s="319" t="s">
        <v>752</v>
      </c>
    </row>
    <row r="138" spans="1:2" ht="15">
      <c r="A138" s="319" t="s">
        <v>586</v>
      </c>
      <c r="B138" s="319" t="s">
        <v>753</v>
      </c>
    </row>
    <row r="139" spans="1:2" ht="15">
      <c r="A139" s="319" t="s">
        <v>587</v>
      </c>
      <c r="B139" s="319" t="s">
        <v>754</v>
      </c>
    </row>
    <row r="140" spans="1:2" ht="15">
      <c r="A140" s="319" t="s">
        <v>588</v>
      </c>
      <c r="B140" s="319" t="s">
        <v>755</v>
      </c>
    </row>
    <row r="141" spans="1:2" ht="15">
      <c r="A141" s="319" t="s">
        <v>589</v>
      </c>
      <c r="B141" s="319" t="s">
        <v>756</v>
      </c>
    </row>
    <row r="142" spans="1:2" ht="15">
      <c r="A142" s="319" t="s">
        <v>590</v>
      </c>
      <c r="B142" s="319" t="s">
        <v>757</v>
      </c>
    </row>
    <row r="143" spans="1:2" ht="15">
      <c r="A143" s="319" t="s">
        <v>591</v>
      </c>
      <c r="B143" s="319" t="s">
        <v>758</v>
      </c>
    </row>
    <row r="144" spans="1:2" ht="15">
      <c r="A144" s="319" t="s">
        <v>592</v>
      </c>
      <c r="B144" s="319" t="s">
        <v>759</v>
      </c>
    </row>
    <row r="145" spans="1:2" ht="15">
      <c r="A145" s="319" t="s">
        <v>593</v>
      </c>
      <c r="B145" s="319" t="s">
        <v>760</v>
      </c>
    </row>
    <row r="146" spans="1:2" ht="15">
      <c r="A146" s="319" t="s">
        <v>594</v>
      </c>
      <c r="B146" s="319" t="s">
        <v>761</v>
      </c>
    </row>
    <row r="147" spans="1:2" ht="15">
      <c r="A147" s="319" t="s">
        <v>595</v>
      </c>
      <c r="B147" s="319" t="s">
        <v>762</v>
      </c>
    </row>
    <row r="148" spans="1:2" ht="15">
      <c r="A148" s="319" t="s">
        <v>596</v>
      </c>
      <c r="B148" s="319" t="s">
        <v>763</v>
      </c>
    </row>
    <row r="149" spans="1:2" ht="15">
      <c r="A149" s="319" t="s">
        <v>597</v>
      </c>
      <c r="B149" s="319" t="s">
        <v>764</v>
      </c>
    </row>
    <row r="150" spans="1:2" ht="15">
      <c r="A150" s="319" t="s">
        <v>765</v>
      </c>
      <c r="B150" s="319" t="s">
        <v>766</v>
      </c>
    </row>
    <row r="151" spans="1:2" ht="15">
      <c r="A151" s="319" t="s">
        <v>767</v>
      </c>
      <c r="B151" s="319" t="s">
        <v>768</v>
      </c>
    </row>
    <row r="152" spans="1:2" ht="15">
      <c r="A152" s="319" t="s">
        <v>599</v>
      </c>
      <c r="B152" s="319" t="s">
        <v>769</v>
      </c>
    </row>
    <row r="153" spans="1:2" ht="15">
      <c r="A153" s="319" t="s">
        <v>770</v>
      </c>
      <c r="B153" s="319" t="s">
        <v>771</v>
      </c>
    </row>
    <row r="154" spans="1:2" ht="15">
      <c r="A154" s="319" t="s">
        <v>600</v>
      </c>
      <c r="B154" s="319" t="s">
        <v>772</v>
      </c>
    </row>
    <row r="155" spans="1:2" ht="15">
      <c r="A155" s="319" t="s">
        <v>773</v>
      </c>
      <c r="B155" s="319" t="s">
        <v>774</v>
      </c>
    </row>
    <row r="156" spans="1:2" ht="15">
      <c r="A156" s="319" t="s">
        <v>601</v>
      </c>
      <c r="B156" s="319" t="s">
        <v>775</v>
      </c>
    </row>
    <row r="157" spans="1:2" ht="15">
      <c r="A157" s="319" t="s">
        <v>602</v>
      </c>
      <c r="B157" s="319" t="s">
        <v>776</v>
      </c>
    </row>
    <row r="158" spans="1:2" ht="15">
      <c r="A158" s="319" t="s">
        <v>603</v>
      </c>
      <c r="B158" s="319" t="s">
        <v>777</v>
      </c>
    </row>
    <row r="159" spans="1:2" ht="15">
      <c r="A159" s="319" t="s">
        <v>604</v>
      </c>
      <c r="B159" s="319" t="s">
        <v>778</v>
      </c>
    </row>
    <row r="160" spans="1:2" ht="15">
      <c r="A160" s="319" t="s">
        <v>779</v>
      </c>
      <c r="B160" s="319" t="s">
        <v>780</v>
      </c>
    </row>
    <row r="161" spans="1:2" ht="15">
      <c r="A161" s="319" t="s">
        <v>781</v>
      </c>
      <c r="B161" s="319" t="s">
        <v>782</v>
      </c>
    </row>
    <row r="162" spans="1:2" ht="15">
      <c r="A162" s="319" t="s">
        <v>783</v>
      </c>
      <c r="B162" s="319" t="s">
        <v>784</v>
      </c>
    </row>
    <row r="163" spans="1:2" ht="15">
      <c r="A163" s="319" t="s">
        <v>785</v>
      </c>
      <c r="B163" s="319" t="s">
        <v>786</v>
      </c>
    </row>
    <row r="164" spans="1:2" ht="15">
      <c r="A164" s="319" t="s">
        <v>787</v>
      </c>
      <c r="B164" s="319" t="s">
        <v>788</v>
      </c>
    </row>
    <row r="165" spans="1:2" ht="15">
      <c r="A165" s="319" t="s">
        <v>789</v>
      </c>
      <c r="B165" s="319" t="s">
        <v>790</v>
      </c>
    </row>
    <row r="166" spans="1:2" ht="15">
      <c r="A166" s="319" t="s">
        <v>605</v>
      </c>
      <c r="B166" s="319" t="s">
        <v>791</v>
      </c>
    </row>
    <row r="167" spans="1:2" ht="15">
      <c r="A167" s="319" t="s">
        <v>606</v>
      </c>
      <c r="B167" s="319" t="s">
        <v>792</v>
      </c>
    </row>
    <row r="168" spans="1:2" ht="15">
      <c r="A168" s="319" t="s">
        <v>607</v>
      </c>
      <c r="B168" s="319" t="s">
        <v>793</v>
      </c>
    </row>
    <row r="169" spans="1:2" ht="15">
      <c r="A169" s="319" t="s">
        <v>794</v>
      </c>
      <c r="B169" s="319" t="s">
        <v>795</v>
      </c>
    </row>
    <row r="170" spans="1:2" ht="15">
      <c r="A170" s="319" t="s">
        <v>608</v>
      </c>
      <c r="B170" s="319" t="s">
        <v>796</v>
      </c>
    </row>
    <row r="171" spans="1:2" ht="15">
      <c r="A171" s="319" t="s">
        <v>797</v>
      </c>
      <c r="B171" s="319" t="s">
        <v>798</v>
      </c>
    </row>
    <row r="172" spans="1:2" ht="15">
      <c r="A172" s="319" t="s">
        <v>799</v>
      </c>
      <c r="B172" s="319" t="s">
        <v>800</v>
      </c>
    </row>
    <row r="173" spans="1:2" ht="15">
      <c r="A173" s="319" t="s">
        <v>801</v>
      </c>
      <c r="B173" s="319" t="s">
        <v>802</v>
      </c>
    </row>
    <row r="174" spans="1:2" ht="15">
      <c r="A174" s="319" t="s">
        <v>803</v>
      </c>
      <c r="B174" s="319" t="s">
        <v>804</v>
      </c>
    </row>
    <row r="175" spans="1:2" ht="15">
      <c r="A175" s="319" t="s">
        <v>805</v>
      </c>
      <c r="B175" s="319" t="s">
        <v>806</v>
      </c>
    </row>
    <row r="176" spans="1:2" ht="15">
      <c r="A176" s="319" t="s">
        <v>609</v>
      </c>
      <c r="B176" s="319" t="s">
        <v>807</v>
      </c>
    </row>
    <row r="177" spans="1:2" ht="15">
      <c r="A177" s="319" t="s">
        <v>610</v>
      </c>
      <c r="B177" s="319" t="s">
        <v>808</v>
      </c>
    </row>
    <row r="178" spans="1:2" ht="15">
      <c r="A178" s="319" t="s">
        <v>611</v>
      </c>
      <c r="B178" s="319" t="s">
        <v>809</v>
      </c>
    </row>
    <row r="179" spans="1:2" ht="15">
      <c r="A179" s="319" t="s">
        <v>810</v>
      </c>
      <c r="B179" s="319" t="s">
        <v>811</v>
      </c>
    </row>
  </sheetData>
  <sheetProtection/>
  <hyperlinks>
    <hyperlink ref="C1" location="Indice!A1" display="Índic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U41"/>
  <sheetViews>
    <sheetView showGridLines="0" zoomScale="90" zoomScaleNormal="90" zoomScalePageLayoutView="0" workbookViewId="0" topLeftCell="A1">
      <selection activeCell="A1" sqref="A1"/>
    </sheetView>
  </sheetViews>
  <sheetFormatPr defaultColWidth="11.421875" defaultRowHeight="15"/>
  <cols>
    <col min="1" max="1" width="40.7109375" style="2" customWidth="1"/>
    <col min="2" max="2" width="0.85546875" style="2" customWidth="1"/>
    <col min="3" max="3" width="19.57421875" style="86" customWidth="1"/>
    <col min="4" max="4" width="2.57421875" style="86" hidden="1" customWidth="1"/>
    <col min="5" max="5" width="0.9921875" style="112" customWidth="1"/>
    <col min="6" max="6" width="18.140625" style="86" customWidth="1"/>
    <col min="7" max="7" width="0.85546875" style="112" customWidth="1"/>
    <col min="8" max="8" width="18.8515625" style="86" customWidth="1"/>
    <col min="9" max="9" width="0.9921875" style="112" customWidth="1"/>
    <col min="10" max="10" width="20.00390625" style="86" customWidth="1"/>
    <col min="11" max="11" width="0.71875" style="112" customWidth="1"/>
    <col min="12" max="12" width="18.421875" style="86" customWidth="1"/>
    <col min="13" max="13" width="0.71875" style="112" customWidth="1"/>
    <col min="14" max="14" width="20.421875" style="86" customWidth="1"/>
    <col min="15" max="15" width="1.1484375" style="112" customWidth="1"/>
    <col min="16" max="16" width="19.7109375" style="86" customWidth="1"/>
    <col min="17" max="17" width="1.1484375" style="74" customWidth="1"/>
    <col min="18" max="18" width="17.421875" style="2" bestFit="1" customWidth="1"/>
    <col min="19" max="19" width="1.1484375" style="2" customWidth="1"/>
    <col min="20" max="20" width="16.421875" style="2" customWidth="1"/>
    <col min="21" max="16384" width="11.421875" style="2" customWidth="1"/>
  </cols>
  <sheetData>
    <row r="1" spans="1:8" ht="15">
      <c r="A1" s="2" t="str">
        <f>Indice!C1</f>
        <v>IMPORT CENTER S.A.</v>
      </c>
      <c r="H1" s="354" t="s">
        <v>363</v>
      </c>
    </row>
    <row r="2" ht="12.75">
      <c r="C2" s="86" t="str">
        <f>+Indice!C1</f>
        <v>IMPORT CENTER S.A.</v>
      </c>
    </row>
    <row r="3" spans="14:18" ht="15">
      <c r="N3" s="399"/>
      <c r="R3" s="73"/>
    </row>
    <row r="4" spans="2:18" ht="15">
      <c r="B4" s="399"/>
      <c r="C4" s="399"/>
      <c r="D4" s="399"/>
      <c r="E4" s="399"/>
      <c r="F4" s="399" t="s">
        <v>851</v>
      </c>
      <c r="G4" s="399"/>
      <c r="H4" s="399"/>
      <c r="I4" s="399"/>
      <c r="J4" s="399"/>
      <c r="K4" s="399"/>
      <c r="L4" s="399"/>
      <c r="M4" s="399"/>
      <c r="N4" s="399"/>
      <c r="O4" s="399"/>
      <c r="P4" s="399"/>
      <c r="R4" s="73"/>
    </row>
    <row r="5" spans="1:18" ht="15">
      <c r="A5" s="399"/>
      <c r="B5" s="399"/>
      <c r="C5" s="399"/>
      <c r="D5" s="399"/>
      <c r="E5" s="399"/>
      <c r="F5" s="399"/>
      <c r="G5" s="399"/>
      <c r="H5" s="399" t="str">
        <f>_xlfn.IFERROR(IF(Indice!B6="","Al dia... de mes… de año 2XX2…","Al "&amp;DAY(Indice!B6)&amp;" de "&amp;VLOOKUP(MONTH(Indice!B6),Indice!S:T,2,0)&amp;" de "&amp;YEAR(Indice!B6)),"Al dia... de mes… de año 2XX2…")</f>
        <v>Al 30 de Septiembre de 2022</v>
      </c>
      <c r="I5" s="399"/>
      <c r="J5" s="399"/>
      <c r="K5" s="399"/>
      <c r="L5" s="399"/>
      <c r="M5" s="399"/>
      <c r="N5" s="399"/>
      <c r="O5" s="399"/>
      <c r="P5" s="399"/>
      <c r="R5" s="73"/>
    </row>
    <row r="6" spans="1:18" ht="14.25">
      <c r="A6" s="690" t="s">
        <v>281</v>
      </c>
      <c r="B6" s="690"/>
      <c r="C6" s="690"/>
      <c r="D6" s="690"/>
      <c r="E6" s="690"/>
      <c r="F6" s="690"/>
      <c r="G6" s="690"/>
      <c r="H6" s="690"/>
      <c r="I6" s="690"/>
      <c r="J6" s="690"/>
      <c r="K6" s="690"/>
      <c r="L6" s="690"/>
      <c r="M6" s="690"/>
      <c r="N6" s="690"/>
      <c r="O6" s="690"/>
      <c r="P6" s="690"/>
      <c r="R6" s="73"/>
    </row>
    <row r="7" spans="1:18" ht="14.25">
      <c r="A7" s="690" t="s">
        <v>258</v>
      </c>
      <c r="B7" s="690"/>
      <c r="C7" s="690"/>
      <c r="D7" s="690"/>
      <c r="E7" s="690"/>
      <c r="F7" s="690"/>
      <c r="G7" s="690"/>
      <c r="H7" s="690"/>
      <c r="I7" s="690"/>
      <c r="J7" s="690"/>
      <c r="K7" s="690"/>
      <c r="L7" s="690"/>
      <c r="M7" s="690"/>
      <c r="N7" s="690"/>
      <c r="O7" s="690"/>
      <c r="P7" s="690"/>
      <c r="R7" s="73"/>
    </row>
    <row r="8" spans="1:18" ht="14.25">
      <c r="A8" s="257"/>
      <c r="B8" s="257"/>
      <c r="C8" s="257"/>
      <c r="D8" s="257"/>
      <c r="E8" s="257"/>
      <c r="F8" s="257"/>
      <c r="G8" s="257"/>
      <c r="H8" s="257"/>
      <c r="I8" s="257"/>
      <c r="J8" s="257"/>
      <c r="K8" s="257"/>
      <c r="L8" s="257"/>
      <c r="M8" s="257"/>
      <c r="N8" s="257"/>
      <c r="O8" s="257"/>
      <c r="P8" s="257"/>
      <c r="R8" s="73"/>
    </row>
    <row r="9" spans="1:18" ht="14.25">
      <c r="A9" s="257"/>
      <c r="B9" s="257"/>
      <c r="C9" s="257"/>
      <c r="D9" s="257"/>
      <c r="E9" s="257"/>
      <c r="F9" s="257"/>
      <c r="G9" s="257"/>
      <c r="H9" s="257"/>
      <c r="I9" s="257"/>
      <c r="J9" s="257"/>
      <c r="K9" s="257"/>
      <c r="L9" s="257"/>
      <c r="M9" s="257"/>
      <c r="N9" s="257"/>
      <c r="O9" s="257"/>
      <c r="P9" s="257"/>
      <c r="R9" s="73"/>
    </row>
    <row r="10" spans="1:18" ht="25.5" customHeight="1">
      <c r="A10" s="87"/>
      <c r="B10" s="100"/>
      <c r="C10" s="689" t="s">
        <v>264</v>
      </c>
      <c r="D10" s="689"/>
      <c r="E10" s="689"/>
      <c r="F10" s="689"/>
      <c r="G10" s="113"/>
      <c r="H10" s="87"/>
      <c r="I10" s="113"/>
      <c r="J10" s="87"/>
      <c r="K10" s="113"/>
      <c r="L10" s="689" t="s">
        <v>398</v>
      </c>
      <c r="M10" s="689"/>
      <c r="N10" s="689"/>
      <c r="O10" s="689"/>
      <c r="P10" s="689"/>
      <c r="R10" s="73"/>
    </row>
    <row r="11" spans="1:20" ht="15" customHeight="1">
      <c r="A11" s="688"/>
      <c r="C11" s="686" t="s">
        <v>78</v>
      </c>
      <c r="D11" s="88" t="s">
        <v>47</v>
      </c>
      <c r="E11" s="114"/>
      <c r="F11" s="686" t="s">
        <v>79</v>
      </c>
      <c r="G11" s="114"/>
      <c r="H11" s="686" t="s">
        <v>43</v>
      </c>
      <c r="I11" s="114"/>
      <c r="J11" s="686" t="s">
        <v>80</v>
      </c>
      <c r="K11" s="114"/>
      <c r="L11" s="686" t="s">
        <v>81</v>
      </c>
      <c r="M11" s="114"/>
      <c r="N11" s="686" t="s">
        <v>82</v>
      </c>
      <c r="O11" s="114"/>
      <c r="P11" s="686" t="s">
        <v>44</v>
      </c>
      <c r="R11" s="686" t="s">
        <v>83</v>
      </c>
      <c r="S11" s="114"/>
      <c r="T11" s="686" t="s">
        <v>3</v>
      </c>
    </row>
    <row r="12" spans="1:20" ht="15.75" customHeight="1">
      <c r="A12" s="688"/>
      <c r="C12" s="687"/>
      <c r="D12" s="88" t="s">
        <v>48</v>
      </c>
      <c r="E12" s="114"/>
      <c r="F12" s="687"/>
      <c r="G12" s="114"/>
      <c r="H12" s="687"/>
      <c r="I12" s="114"/>
      <c r="J12" s="687"/>
      <c r="K12" s="114"/>
      <c r="L12" s="687"/>
      <c r="M12" s="114"/>
      <c r="N12" s="687"/>
      <c r="O12" s="114"/>
      <c r="P12" s="687" t="s">
        <v>3</v>
      </c>
      <c r="R12" s="687"/>
      <c r="S12" s="114"/>
      <c r="T12" s="687"/>
    </row>
    <row r="13" ht="7.5" customHeight="1">
      <c r="R13" s="73"/>
    </row>
    <row r="14" spans="1:21" ht="12.75">
      <c r="A14" s="133" t="str">
        <f>_xlfn.IFERROR(IF(Indice!B6="","Saldo al .. de  de 20X0 ","Saldo al "&amp;DAY(Indice!B6)&amp;" de "&amp;VLOOKUP(MONTH(Indice!B6),Indice!S:T,2,0)&amp;" de "&amp;YEAR(Indice!B6-730)),"Saldo al .. de  de 20X0 ")</f>
        <v>Saldo al 30 de Septiembre de 2020</v>
      </c>
      <c r="B14" s="35"/>
      <c r="C14" s="134">
        <v>20000000</v>
      </c>
      <c r="F14" s="134">
        <v>0</v>
      </c>
      <c r="H14" s="134">
        <v>6300015</v>
      </c>
      <c r="J14" s="134"/>
      <c r="L14" s="134">
        <v>1417543</v>
      </c>
      <c r="N14" s="134">
        <v>0</v>
      </c>
      <c r="P14" s="134">
        <v>5513861</v>
      </c>
      <c r="R14" s="134"/>
      <c r="S14" s="74"/>
      <c r="T14" s="134">
        <f>+C14+H14+L14+P14</f>
        <v>33231419</v>
      </c>
      <c r="U14" s="74"/>
    </row>
    <row r="15" spans="1:21" ht="12.75">
      <c r="A15" s="2" t="s">
        <v>399</v>
      </c>
      <c r="R15" s="86"/>
      <c r="S15" s="74"/>
      <c r="T15" s="86"/>
      <c r="U15" s="74"/>
    </row>
    <row r="16" spans="1:21" ht="12.75">
      <c r="A16" s="133" t="s">
        <v>77</v>
      </c>
      <c r="C16" s="134"/>
      <c r="F16" s="134"/>
      <c r="H16" s="134"/>
      <c r="J16" s="134"/>
      <c r="L16" s="134"/>
      <c r="N16" s="134"/>
      <c r="P16" s="134"/>
      <c r="R16" s="134"/>
      <c r="S16" s="74"/>
      <c r="T16" s="134"/>
      <c r="U16" s="74"/>
    </row>
    <row r="17" spans="1:20" ht="25.5">
      <c r="A17" s="148" t="s">
        <v>1016</v>
      </c>
      <c r="N17" s="77"/>
      <c r="P17" s="86">
        <v>-150000</v>
      </c>
      <c r="R17" s="73"/>
      <c r="T17" s="134">
        <f>SUM(C17:R17)</f>
        <v>-150000</v>
      </c>
    </row>
    <row r="18" spans="1:20" ht="12.75">
      <c r="A18" s="133" t="s">
        <v>84</v>
      </c>
      <c r="C18" s="134">
        <v>0</v>
      </c>
      <c r="F18" s="134"/>
      <c r="H18" s="134"/>
      <c r="J18" s="134"/>
      <c r="L18" s="134"/>
      <c r="N18" s="134">
        <v>1882449</v>
      </c>
      <c r="P18" s="134">
        <v>0</v>
      </c>
      <c r="R18" s="134"/>
      <c r="S18" s="74"/>
      <c r="T18" s="134">
        <f>+C18+H18+L18+P18</f>
        <v>0</v>
      </c>
    </row>
    <row r="19" spans="1:18" ht="25.5">
      <c r="A19" s="148" t="s">
        <v>1017</v>
      </c>
      <c r="L19" s="77"/>
      <c r="P19" s="77">
        <v>-1882449</v>
      </c>
      <c r="Q19" s="78"/>
      <c r="R19" s="73"/>
    </row>
    <row r="20" spans="1:20" ht="12.75">
      <c r="A20" s="133" t="s">
        <v>85</v>
      </c>
      <c r="C20" s="134"/>
      <c r="F20" s="134"/>
      <c r="H20" s="134">
        <v>0</v>
      </c>
      <c r="J20" s="134"/>
      <c r="L20" s="134"/>
      <c r="N20" s="134"/>
      <c r="P20" s="134"/>
      <c r="R20" s="134"/>
      <c r="S20" s="74"/>
      <c r="T20" s="134">
        <v>0</v>
      </c>
    </row>
    <row r="21" spans="1:20" ht="12.75">
      <c r="A21" s="133" t="s">
        <v>86</v>
      </c>
      <c r="C21" s="134"/>
      <c r="F21" s="134"/>
      <c r="H21" s="134"/>
      <c r="J21" s="134"/>
      <c r="L21" s="134"/>
      <c r="N21" s="134"/>
      <c r="P21" s="134"/>
      <c r="R21" s="134"/>
      <c r="S21" s="74"/>
      <c r="T21" s="134">
        <v>0</v>
      </c>
    </row>
    <row r="22" spans="1:20" ht="12.75">
      <c r="A22" s="133" t="s">
        <v>87</v>
      </c>
      <c r="C22" s="134"/>
      <c r="F22" s="134"/>
      <c r="H22" s="134"/>
      <c r="J22" s="134"/>
      <c r="L22" s="134">
        <v>106971</v>
      </c>
      <c r="N22" s="134"/>
      <c r="P22" s="134">
        <f>2703366+894780</f>
        <v>3598146</v>
      </c>
      <c r="R22" s="134"/>
      <c r="S22" s="74"/>
      <c r="T22" s="134">
        <f>+L22+P22</f>
        <v>3705117</v>
      </c>
    </row>
    <row r="23" ht="12.75">
      <c r="R23" s="73"/>
    </row>
    <row r="24" spans="1:20" ht="13.5" thickBot="1">
      <c r="A24" s="133" t="str">
        <f>_xlfn.IFERROR(IF(Indice!B6="","Saldo al .. de  de 20X1 ","Saldo al "&amp;DAY(Indice!B6)&amp;" de "&amp;VLOOKUP(MONTH(Indice!B6),Indice!S:T,2,0)&amp;" de "&amp;YEAR(Indice!B6-365)),"Saldo al .. de  de 20X1 ")</f>
        <v>Saldo al 30 de Septiembre de 2021</v>
      </c>
      <c r="B24" s="35"/>
      <c r="C24" s="135">
        <f>+C14+C18</f>
        <v>20000000</v>
      </c>
      <c r="D24" s="75">
        <f>SUM(D14:D22)</f>
        <v>0</v>
      </c>
      <c r="E24" s="115"/>
      <c r="F24" s="135">
        <f>F16+F17+F18+F19+F20+F21+F22</f>
        <v>0</v>
      </c>
      <c r="G24" s="115">
        <f>SUM(G14:G23)</f>
        <v>0</v>
      </c>
      <c r="H24" s="135">
        <f>+H14+H20</f>
        <v>6300015</v>
      </c>
      <c r="I24" s="115"/>
      <c r="J24" s="135">
        <f>J16+J17+J18+J19+J20+J21+J22</f>
        <v>0</v>
      </c>
      <c r="K24" s="115"/>
      <c r="L24" s="135">
        <f>+L14+L22</f>
        <v>1524514</v>
      </c>
      <c r="M24" s="115"/>
      <c r="N24" s="135">
        <f>N16+N17+N18+N19+N20+N21+N22</f>
        <v>1882449</v>
      </c>
      <c r="O24" s="115"/>
      <c r="P24" s="135">
        <f>+P14+P18+P19+P22+P17</f>
        <v>7079558</v>
      </c>
      <c r="Q24" s="78"/>
      <c r="R24" s="135">
        <f>R16+R17+R18+R19+R20+R21+R22</f>
        <v>0</v>
      </c>
      <c r="S24" s="78"/>
      <c r="T24" s="135">
        <f>SUM(C24:R24)</f>
        <v>36786536</v>
      </c>
    </row>
    <row r="25" spans="1:20" ht="41.25" customHeight="1" thickTop="1">
      <c r="A25" s="148" t="s">
        <v>1015</v>
      </c>
      <c r="N25" s="77">
        <v>0</v>
      </c>
      <c r="P25" s="86">
        <v>-3240076</v>
      </c>
      <c r="R25" s="79"/>
      <c r="S25" s="65"/>
      <c r="T25" s="603">
        <f>+P25</f>
        <v>-3240076</v>
      </c>
    </row>
    <row r="26" spans="1:20" ht="12.75">
      <c r="A26" s="133" t="s">
        <v>85</v>
      </c>
      <c r="B26" s="85"/>
      <c r="C26" s="134"/>
      <c r="F26" s="134"/>
      <c r="H26" s="134"/>
      <c r="J26" s="134"/>
      <c r="L26" s="134"/>
      <c r="N26" s="134">
        <v>0</v>
      </c>
      <c r="P26" s="134">
        <v>0</v>
      </c>
      <c r="R26" s="134"/>
      <c r="S26" s="74"/>
      <c r="T26" s="134"/>
    </row>
    <row r="27" spans="1:19" ht="12.75">
      <c r="A27" s="85" t="s">
        <v>88</v>
      </c>
      <c r="B27" s="85"/>
      <c r="L27" s="77"/>
      <c r="S27" s="86"/>
    </row>
    <row r="28" spans="1:20" ht="12.75">
      <c r="A28" s="133" t="s">
        <v>84</v>
      </c>
      <c r="C28" s="134"/>
      <c r="F28" s="134"/>
      <c r="H28" s="134"/>
      <c r="J28" s="134"/>
      <c r="L28" s="134"/>
      <c r="N28" s="134"/>
      <c r="P28" s="134"/>
      <c r="R28" s="134"/>
      <c r="S28" s="74"/>
      <c r="T28" s="134">
        <f>+C28+H28+L28+P28</f>
        <v>0</v>
      </c>
    </row>
    <row r="29" spans="1:20" ht="12.75">
      <c r="A29" s="590" t="s">
        <v>963</v>
      </c>
      <c r="B29" s="48"/>
      <c r="C29" s="591">
        <v>0</v>
      </c>
      <c r="D29" s="107"/>
      <c r="E29" s="592"/>
      <c r="F29" s="591"/>
      <c r="G29" s="592"/>
      <c r="H29" s="591"/>
      <c r="I29" s="592"/>
      <c r="J29" s="591"/>
      <c r="K29" s="592"/>
      <c r="L29" s="591"/>
      <c r="M29" s="592"/>
      <c r="N29" s="591"/>
      <c r="O29" s="592"/>
      <c r="P29" s="591">
        <v>0</v>
      </c>
      <c r="Q29" s="107"/>
      <c r="R29" s="591"/>
      <c r="S29" s="107"/>
      <c r="T29" s="591"/>
    </row>
    <row r="30" spans="1:20" ht="12.75">
      <c r="A30" s="133" t="s">
        <v>87</v>
      </c>
      <c r="C30" s="134"/>
      <c r="F30" s="134"/>
      <c r="H30" s="134"/>
      <c r="J30" s="134"/>
      <c r="L30" s="134">
        <v>170531</v>
      </c>
      <c r="N30" s="134">
        <v>2740076</v>
      </c>
      <c r="P30" s="134">
        <v>2172774</v>
      </c>
      <c r="R30" s="134"/>
      <c r="S30" s="74"/>
      <c r="T30" s="134">
        <f>+C30+H30+L30+P30+N30</f>
        <v>5083381</v>
      </c>
    </row>
    <row r="31" ht="12.75">
      <c r="R31" s="73"/>
    </row>
    <row r="32" spans="1:20" ht="13.5" thickBot="1">
      <c r="A32" s="133" t="str">
        <f>_xlfn.IFERROR(IF(Indice!B6="","Saldo al .. de  de 20X2 ","Saldo al "&amp;DAY(Indice!B6)&amp;" de "&amp;VLOOKUP(MONTH(Indice!B6),Indice!S:T,2,0)&amp;" de "&amp;YEAR(Indice!B6)),"Saldo al .. de  de 20X2 ")</f>
        <v>Saldo al 30 de Septiembre de 2022</v>
      </c>
      <c r="B32" s="35"/>
      <c r="C32" s="135">
        <f>+C24+C29</f>
        <v>20000000</v>
      </c>
      <c r="D32" s="75">
        <f>SUM(D24:D30)</f>
        <v>0</v>
      </c>
      <c r="E32" s="116"/>
      <c r="F32" s="135">
        <f>F24+F25+F26+F27+F30</f>
        <v>0</v>
      </c>
      <c r="G32" s="116"/>
      <c r="H32" s="135">
        <f>+H24</f>
        <v>6300015</v>
      </c>
      <c r="I32" s="116"/>
      <c r="J32" s="135">
        <f>J24+J25+J26+J27+J30</f>
        <v>0</v>
      </c>
      <c r="K32" s="116"/>
      <c r="L32" s="135">
        <f>+L14+L22+L30-1</f>
        <v>1695044</v>
      </c>
      <c r="M32" s="116"/>
      <c r="N32" s="135">
        <f>N24+N25+N26+N27+N30</f>
        <v>4622525</v>
      </c>
      <c r="O32" s="116"/>
      <c r="P32" s="135">
        <f>+P24+P25+P30</f>
        <v>6012256</v>
      </c>
      <c r="R32" s="135">
        <f>R24+R25+R26+R27+R30</f>
        <v>0</v>
      </c>
      <c r="S32" s="78"/>
      <c r="T32" s="135">
        <f>T24+T25+T26+T27+T30-1</f>
        <v>38629840</v>
      </c>
    </row>
    <row r="33" spans="1:20" ht="13.5" thickTop="1">
      <c r="A33" s="35"/>
      <c r="B33" s="35"/>
      <c r="C33" s="82"/>
      <c r="D33" s="81"/>
      <c r="E33" s="116"/>
      <c r="F33" s="82"/>
      <c r="G33" s="116"/>
      <c r="H33" s="82"/>
      <c r="I33" s="116"/>
      <c r="J33" s="82"/>
      <c r="K33" s="116"/>
      <c r="L33" s="82"/>
      <c r="M33" s="116"/>
      <c r="N33" s="82"/>
      <c r="O33" s="116"/>
      <c r="P33" s="82"/>
      <c r="R33" s="76"/>
      <c r="T33" s="65"/>
    </row>
    <row r="34" spans="1:16" ht="12.75">
      <c r="A34" s="2" t="s">
        <v>387</v>
      </c>
      <c r="C34" s="78"/>
      <c r="D34" s="78"/>
      <c r="E34" s="117"/>
      <c r="F34" s="78"/>
      <c r="G34" s="117"/>
      <c r="H34" s="2"/>
      <c r="I34" s="45"/>
      <c r="K34" s="117"/>
      <c r="L34" s="78"/>
      <c r="M34" s="117"/>
      <c r="N34" s="78"/>
      <c r="O34" s="117"/>
      <c r="P34" s="78"/>
    </row>
    <row r="35" spans="3:16" ht="12.75">
      <c r="C35" s="78"/>
      <c r="D35" s="78"/>
      <c r="E35" s="117"/>
      <c r="F35" s="78"/>
      <c r="G35" s="117"/>
      <c r="H35" s="2"/>
      <c r="I35" s="45"/>
      <c r="K35" s="117"/>
      <c r="L35" s="78"/>
      <c r="M35" s="117"/>
      <c r="N35" s="78"/>
      <c r="O35" s="117"/>
      <c r="P35" s="78"/>
    </row>
    <row r="36" spans="3:16" ht="12.75">
      <c r="C36" s="78"/>
      <c r="D36" s="78"/>
      <c r="E36" s="117"/>
      <c r="F36" s="78"/>
      <c r="G36" s="117"/>
      <c r="H36" s="2"/>
      <c r="I36" s="45"/>
      <c r="K36" s="117"/>
      <c r="L36" s="78"/>
      <c r="M36" s="117"/>
      <c r="N36" s="78"/>
      <c r="O36" s="117"/>
      <c r="P36" s="78"/>
    </row>
    <row r="37" spans="3:16" ht="12.75">
      <c r="C37" s="78"/>
      <c r="D37" s="78"/>
      <c r="E37" s="117"/>
      <c r="F37" s="78"/>
      <c r="G37" s="117"/>
      <c r="H37" s="2"/>
      <c r="I37" s="45"/>
      <c r="K37" s="117"/>
      <c r="L37" s="78"/>
      <c r="M37" s="117"/>
      <c r="N37" s="78"/>
      <c r="O37" s="117"/>
      <c r="P37" s="78"/>
    </row>
    <row r="38" spans="3:16" ht="12.75">
      <c r="C38" s="78"/>
      <c r="D38" s="78"/>
      <c r="E38" s="117"/>
      <c r="F38" s="78"/>
      <c r="G38" s="117"/>
      <c r="H38" s="2"/>
      <c r="I38" s="45"/>
      <c r="K38" s="117"/>
      <c r="L38" s="78"/>
      <c r="M38" s="117"/>
      <c r="N38" s="78"/>
      <c r="O38" s="117"/>
      <c r="P38" s="78"/>
    </row>
    <row r="40" spans="3:16" ht="12.75">
      <c r="C40" s="78"/>
      <c r="D40" s="78"/>
      <c r="E40" s="117"/>
      <c r="F40" s="78"/>
      <c r="G40" s="117"/>
      <c r="H40" s="2"/>
      <c r="I40" s="45"/>
      <c r="K40" s="117"/>
      <c r="L40" s="78"/>
      <c r="M40" s="117"/>
      <c r="N40" s="78"/>
      <c r="O40" s="117"/>
      <c r="P40" s="78"/>
    </row>
    <row r="41" spans="6:10" ht="12.75">
      <c r="F41" s="78"/>
      <c r="H41" s="2"/>
      <c r="I41" s="45"/>
      <c r="J41" s="80"/>
    </row>
  </sheetData>
  <sheetProtection/>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Hoja5"/>
  <dimension ref="A1:I46"/>
  <sheetViews>
    <sheetView showGridLines="0" zoomScale="90" zoomScaleNormal="90" zoomScalePageLayoutView="0" workbookViewId="0" topLeftCell="A1">
      <selection activeCell="B41" sqref="B41"/>
    </sheetView>
  </sheetViews>
  <sheetFormatPr defaultColWidth="10.8515625" defaultRowHeight="15"/>
  <cols>
    <col min="1" max="1" width="78.00390625" style="38" customWidth="1"/>
    <col min="2" max="2" width="21.140625" style="96" customWidth="1"/>
    <col min="3" max="3" width="27.57421875" style="96" customWidth="1"/>
    <col min="4" max="4" width="2.421875" style="38" customWidth="1"/>
    <col min="5" max="5" width="5.421875" style="38" customWidth="1"/>
    <col min="6" max="6" width="2.28125" style="38" customWidth="1"/>
    <col min="7" max="7" width="4.421875" style="38" customWidth="1"/>
    <col min="8" max="8" width="21.421875" style="38" customWidth="1"/>
    <col min="9" max="9" width="16.421875" style="96" bestFit="1" customWidth="1"/>
    <col min="10" max="16384" width="10.8515625" style="38" customWidth="1"/>
  </cols>
  <sheetData>
    <row r="1" ht="14.25">
      <c r="A1" s="38" t="str">
        <f>Indice!C1</f>
        <v>IMPORT CENTER S.A.</v>
      </c>
    </row>
    <row r="2" spans="1:9" ht="14.25">
      <c r="A2" s="83"/>
      <c r="B2" s="84"/>
      <c r="C2" s="84"/>
      <c r="I2" s="38"/>
    </row>
    <row r="3" spans="1:9" ht="14.25" hidden="1">
      <c r="A3" s="691"/>
      <c r="B3" s="691"/>
      <c r="C3" s="691"/>
      <c r="I3" s="38"/>
    </row>
    <row r="4" spans="1:9" ht="14.25">
      <c r="A4" s="83"/>
      <c r="B4" s="84"/>
      <c r="C4" s="84"/>
      <c r="I4" s="38"/>
    </row>
    <row r="5" spans="1:3" s="2" customFormat="1" ht="15">
      <c r="A5" s="692" t="s">
        <v>852</v>
      </c>
      <c r="B5" s="692"/>
      <c r="C5" s="692"/>
    </row>
    <row r="6" spans="1:3" s="2" customFormat="1" ht="15">
      <c r="A6" s="692" t="str">
        <f>_xlfn.IFERROR(IF(Indice!B6="","Al dia... de mes… de año 2XX2…","Al "&amp;DAY(Indice!B6)&amp;" de "&amp;VLOOKUP(MONTH(Indice!B6),Indice!S:T,2,0)&amp;" de "&amp;YEAR(Indice!B6)),"Al dia... de mes… de año 2XX2…")</f>
        <v>Al 30 de Septiembre de 2022</v>
      </c>
      <c r="B6" s="692"/>
      <c r="C6" s="692"/>
    </row>
    <row r="7" spans="1:3" s="2" customFormat="1" ht="14.25">
      <c r="A7" s="693" t="s">
        <v>281</v>
      </c>
      <c r="B7" s="693"/>
      <c r="C7" s="693"/>
    </row>
    <row r="8" spans="1:3" s="2" customFormat="1" ht="14.25">
      <c r="A8" s="693" t="s">
        <v>258</v>
      </c>
      <c r="B8" s="693"/>
      <c r="C8" s="693"/>
    </row>
    <row r="9" spans="1:3" s="2" customFormat="1" ht="14.25">
      <c r="A9" s="109"/>
      <c r="B9" s="109"/>
      <c r="C9" s="109"/>
    </row>
    <row r="10" spans="1:3" s="2" customFormat="1" ht="14.25">
      <c r="A10" s="109"/>
      <c r="B10" s="109"/>
      <c r="C10" s="109"/>
    </row>
    <row r="11" spans="1:3" s="2" customFormat="1" ht="15">
      <c r="A11" s="136"/>
      <c r="B11" s="330">
        <f>_xlfn.IFERROR(IF(Indice!B6="","2XX2",YEAR(Indice!B6)),"2XX2")</f>
        <v>2022</v>
      </c>
      <c r="C11" s="330">
        <f>_xlfn.IFERROR(YEAR(Indice!B6-365),"2XX1")</f>
        <v>2021</v>
      </c>
    </row>
    <row r="12" spans="1:3" s="2" customFormat="1" ht="14.25">
      <c r="A12" s="38"/>
      <c r="B12" s="110"/>
      <c r="C12" s="110"/>
    </row>
    <row r="13" spans="1:9" s="2" customFormat="1" ht="15">
      <c r="A13" s="111" t="s">
        <v>260</v>
      </c>
      <c r="B13" s="96"/>
      <c r="C13" s="96"/>
      <c r="I13" s="86"/>
    </row>
    <row r="14" spans="1:9" s="2" customFormat="1" ht="14.25">
      <c r="A14" s="38" t="s">
        <v>400</v>
      </c>
      <c r="B14" s="149">
        <v>26085956</v>
      </c>
      <c r="C14" s="96">
        <v>30593455</v>
      </c>
      <c r="I14" s="86"/>
    </row>
    <row r="15" spans="1:9" s="2" customFormat="1" ht="14.25">
      <c r="A15" s="38" t="s">
        <v>49</v>
      </c>
      <c r="B15" s="150">
        <f>-22590027-2468403</f>
        <v>-25058430</v>
      </c>
      <c r="C15" s="603">
        <f>-23866379-2307466</f>
        <v>-26173845</v>
      </c>
      <c r="F15" s="65"/>
      <c r="H15" s="66"/>
      <c r="I15" s="86"/>
    </row>
    <row r="16" spans="1:9" s="2" customFormat="1" ht="14.25">
      <c r="A16" s="38" t="s">
        <v>50</v>
      </c>
      <c r="B16" s="150">
        <v>0</v>
      </c>
      <c r="C16" s="603">
        <v>0</v>
      </c>
      <c r="F16" s="65"/>
      <c r="H16" s="66"/>
      <c r="I16" s="86"/>
    </row>
    <row r="17" spans="1:9" s="2" customFormat="1" ht="14.25">
      <c r="A17" s="38" t="s">
        <v>89</v>
      </c>
      <c r="B17" s="151"/>
      <c r="C17" s="604"/>
      <c r="F17" s="65"/>
      <c r="H17" s="66"/>
      <c r="I17" s="86"/>
    </row>
    <row r="18" spans="1:9" s="2" customFormat="1" ht="14.25">
      <c r="A18" s="38" t="s">
        <v>401</v>
      </c>
      <c r="B18" s="151">
        <v>-1477521</v>
      </c>
      <c r="C18" s="604">
        <v>-4416194</v>
      </c>
      <c r="F18" s="65"/>
      <c r="I18" s="86"/>
    </row>
    <row r="19" spans="1:9" s="2" customFormat="1" ht="14.25">
      <c r="A19" s="38" t="s">
        <v>259</v>
      </c>
      <c r="B19" s="151">
        <v>-891064</v>
      </c>
      <c r="C19" s="604">
        <v>-504581</v>
      </c>
      <c r="F19" s="65"/>
      <c r="I19" s="86"/>
    </row>
    <row r="20" spans="1:9" s="2" customFormat="1" ht="15">
      <c r="A20" s="460" t="s">
        <v>51</v>
      </c>
      <c r="B20" s="605">
        <f>SUM(B14:B19)</f>
        <v>-1341059</v>
      </c>
      <c r="C20" s="605">
        <f>SUM(C14:C19)</f>
        <v>-501165</v>
      </c>
      <c r="I20" s="86"/>
    </row>
    <row r="21" spans="1:9" s="2" customFormat="1" ht="14.25">
      <c r="A21" s="38"/>
      <c r="B21" s="606"/>
      <c r="C21" s="606"/>
      <c r="I21" s="86"/>
    </row>
    <row r="22" spans="1:9" s="2" customFormat="1" ht="15">
      <c r="A22" s="111" t="s">
        <v>261</v>
      </c>
      <c r="B22" s="606"/>
      <c r="C22" s="606"/>
      <c r="I22" s="86"/>
    </row>
    <row r="23" spans="1:9" s="2" customFormat="1" ht="14.25">
      <c r="A23" s="38" t="s">
        <v>402</v>
      </c>
      <c r="B23" s="606">
        <v>-401046</v>
      </c>
      <c r="C23" s="606">
        <v>0</v>
      </c>
      <c r="F23" s="65"/>
      <c r="I23" s="86"/>
    </row>
    <row r="24" spans="1:9" s="2" customFormat="1" ht="14.25" hidden="1">
      <c r="A24" s="38" t="s">
        <v>52</v>
      </c>
      <c r="B24" s="606"/>
      <c r="C24" s="606"/>
      <c r="F24" s="65"/>
      <c r="I24" s="86"/>
    </row>
    <row r="25" spans="1:9" s="2" customFormat="1" ht="14.25" hidden="1">
      <c r="A25" s="38" t="s">
        <v>53</v>
      </c>
      <c r="B25" s="606">
        <v>0</v>
      </c>
      <c r="C25" s="606">
        <v>0</v>
      </c>
      <c r="I25" s="86"/>
    </row>
    <row r="26" spans="1:9" s="2" customFormat="1" ht="14.25">
      <c r="A26" s="38" t="s">
        <v>90</v>
      </c>
      <c r="B26" s="606"/>
      <c r="C26" s="606">
        <v>392852</v>
      </c>
      <c r="I26" s="86"/>
    </row>
    <row r="27" spans="1:9" s="2" customFormat="1" ht="14.25">
      <c r="A27" s="38" t="s">
        <v>91</v>
      </c>
      <c r="B27" s="606"/>
      <c r="C27" s="606"/>
      <c r="I27" s="86"/>
    </row>
    <row r="28" spans="1:9" s="2" customFormat="1" ht="14.25">
      <c r="A28" s="38" t="s">
        <v>262</v>
      </c>
      <c r="B28" s="606"/>
      <c r="C28" s="606"/>
      <c r="I28" s="86"/>
    </row>
    <row r="29" spans="1:9" s="2" customFormat="1" ht="15">
      <c r="A29" s="460" t="s">
        <v>54</v>
      </c>
      <c r="B29" s="605">
        <f>SUM(B23:B28)</f>
        <v>-401046</v>
      </c>
      <c r="C29" s="605">
        <f>SUM(C23:C28)</f>
        <v>392852</v>
      </c>
      <c r="I29" s="86"/>
    </row>
    <row r="30" spans="1:9" s="2" customFormat="1" ht="14.25">
      <c r="A30" s="38"/>
      <c r="B30" s="606"/>
      <c r="C30" s="606"/>
      <c r="I30" s="86"/>
    </row>
    <row r="31" spans="1:9" s="2" customFormat="1" ht="15">
      <c r="A31" s="111" t="s">
        <v>263</v>
      </c>
      <c r="B31" s="606"/>
      <c r="C31" s="606"/>
      <c r="I31" s="86"/>
    </row>
    <row r="32" spans="1:9" s="2" customFormat="1" ht="14.25">
      <c r="A32" s="38" t="s">
        <v>403</v>
      </c>
      <c r="B32" s="606">
        <f>3335427-1680686</f>
        <v>1654741</v>
      </c>
      <c r="C32" s="606">
        <f>-3140000-1714770</f>
        <v>-4854770</v>
      </c>
      <c r="I32" s="86"/>
    </row>
    <row r="33" spans="1:9" s="2" customFormat="1" ht="14.25">
      <c r="A33" s="38" t="s">
        <v>93</v>
      </c>
      <c r="B33" s="606"/>
      <c r="C33" s="606"/>
      <c r="I33" s="86"/>
    </row>
    <row r="34" spans="1:9" s="2" customFormat="1" ht="14.25">
      <c r="A34" s="38" t="s">
        <v>92</v>
      </c>
      <c r="B34" s="606">
        <v>0</v>
      </c>
      <c r="C34" s="606"/>
      <c r="I34" s="86"/>
    </row>
    <row r="35" spans="1:9" s="2" customFormat="1" ht="15">
      <c r="A35" s="460" t="s">
        <v>404</v>
      </c>
      <c r="B35" s="605">
        <f>B32+B33+B34</f>
        <v>1654741</v>
      </c>
      <c r="C35" s="605">
        <f>C32+C33+C34</f>
        <v>-4854770</v>
      </c>
      <c r="I35" s="86"/>
    </row>
    <row r="36" spans="1:9" s="48" customFormat="1" ht="15">
      <c r="A36" s="400"/>
      <c r="B36" s="607"/>
      <c r="C36" s="607"/>
      <c r="I36" s="94"/>
    </row>
    <row r="37" spans="1:9" s="2" customFormat="1" ht="14.25">
      <c r="A37" s="401" t="s">
        <v>94</v>
      </c>
      <c r="B37" s="606">
        <f>+B20+B29+B35</f>
        <v>-87364</v>
      </c>
      <c r="C37" s="606">
        <f>+C20+C29+C35</f>
        <v>-4963083</v>
      </c>
      <c r="I37" s="86"/>
    </row>
    <row r="38" spans="1:3" ht="14.25">
      <c r="A38" s="401" t="s">
        <v>95</v>
      </c>
      <c r="B38" s="606">
        <v>158520</v>
      </c>
      <c r="C38" s="606">
        <v>-406531</v>
      </c>
    </row>
    <row r="39" spans="1:9" s="2" customFormat="1" ht="14.25">
      <c r="A39" s="401" t="s">
        <v>96</v>
      </c>
      <c r="B39" s="606">
        <f>+C41</f>
        <v>1913731</v>
      </c>
      <c r="C39" s="606">
        <v>7283345</v>
      </c>
      <c r="H39" s="86"/>
      <c r="I39" s="86"/>
    </row>
    <row r="40" spans="1:9" s="2" customFormat="1" ht="14.25">
      <c r="A40" s="38"/>
      <c r="B40" s="606"/>
      <c r="C40" s="606"/>
      <c r="H40" s="86"/>
      <c r="I40" s="86"/>
    </row>
    <row r="41" spans="1:9" s="2" customFormat="1" ht="18.75">
      <c r="A41" s="137" t="s">
        <v>55</v>
      </c>
      <c r="B41" s="608">
        <f>+SUM(B37:B39)</f>
        <v>1984887</v>
      </c>
      <c r="C41" s="608">
        <f>+SUM(C37:C39)</f>
        <v>1913731</v>
      </c>
      <c r="I41" s="86"/>
    </row>
    <row r="42" spans="1:9" s="2" customFormat="1" ht="14.25">
      <c r="A42" s="38"/>
      <c r="B42" s="609" t="e">
        <v>#REF!</v>
      </c>
      <c r="C42" s="610"/>
      <c r="I42" s="86"/>
    </row>
    <row r="43" spans="1:3" ht="14.25">
      <c r="A43" s="38" t="s">
        <v>387</v>
      </c>
      <c r="B43" s="611"/>
      <c r="C43" s="611"/>
    </row>
    <row r="44" spans="2:3" ht="14.25">
      <c r="B44" s="78"/>
      <c r="C44" s="78"/>
    </row>
    <row r="45" spans="2:3" ht="14.25">
      <c r="B45" s="78"/>
      <c r="C45" s="78"/>
    </row>
    <row r="46" spans="2:3" ht="14.25">
      <c r="B46" s="78"/>
      <c r="C46" s="78"/>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L80"/>
  <sheetViews>
    <sheetView showGridLines="0" zoomScalePageLayoutView="0" workbookViewId="0" topLeftCell="A19">
      <selection activeCell="F7" sqref="F7"/>
    </sheetView>
  </sheetViews>
  <sheetFormatPr defaultColWidth="11.421875" defaultRowHeight="15"/>
  <cols>
    <col min="1" max="8" width="11.421875" style="38" customWidth="1"/>
    <col min="9" max="9" width="21.140625" style="38" customWidth="1"/>
    <col min="10" max="16384" width="11.421875" style="38" customWidth="1"/>
  </cols>
  <sheetData>
    <row r="1" spans="1:9" ht="15" customHeight="1">
      <c r="A1" s="480" t="str">
        <f>+Indice!C1</f>
        <v>IMPORT CENTER S.A.</v>
      </c>
      <c r="I1" s="176" t="s">
        <v>129</v>
      </c>
    </row>
    <row r="5" spans="1:9" ht="15" customHeight="1">
      <c r="A5" s="40"/>
      <c r="B5" s="40"/>
      <c r="C5" s="40"/>
      <c r="D5" s="40"/>
      <c r="E5" s="40"/>
      <c r="F5" s="40"/>
      <c r="G5" s="40"/>
      <c r="H5" s="40"/>
      <c r="I5" s="40"/>
    </row>
    <row r="6" spans="1:12" ht="15" customHeight="1">
      <c r="A6" s="369" t="s">
        <v>835</v>
      </c>
      <c r="B6" s="369"/>
      <c r="C6" s="369"/>
      <c r="D6" s="369"/>
      <c r="E6" s="369"/>
      <c r="F6" s="369"/>
      <c r="G6" s="369"/>
      <c r="H6" s="369" t="str">
        <f>_xlfn.IFERROR(IF(Indice!B6="","Al dia... de mes… de año 2XX2…","Al "&amp;DAY(Indice!B6)&amp;" de "&amp;VLOOKUP(MONTH(Indice!B6),Indice!S:T,2,0)&amp;" de "&amp;YEAR(Indice!B6)),"Al dia... de mes… de año 2XX2…")</f>
        <v>Al 30 de Septiembre de 2022</v>
      </c>
      <c r="I6" s="369"/>
      <c r="J6" s="3"/>
      <c r="K6" s="3"/>
      <c r="L6" s="3"/>
    </row>
    <row r="7" spans="1:12" ht="15" customHeight="1">
      <c r="A7" s="370" t="s">
        <v>836</v>
      </c>
      <c r="B7" s="370"/>
      <c r="C7" s="370"/>
      <c r="D7" s="370"/>
      <c r="E7" s="370"/>
      <c r="F7" s="370" t="str">
        <f>_xlfn.IFERROR("Al "&amp;DAY(Indice!B6)&amp;" de "&amp;VLOOKUP(MONTH(Indice!B6),Indice!S:T,2,0)&amp;" de "&amp;YEAR(Indice!B6-365),"Al dia... de mes… de año 2XX1…")</f>
        <v>Al 30 de Septiembre de 2021</v>
      </c>
      <c r="G7" s="370"/>
      <c r="H7" s="370"/>
      <c r="I7" s="370"/>
      <c r="J7" s="3"/>
      <c r="K7" s="3"/>
      <c r="L7" s="3"/>
    </row>
    <row r="8" spans="1:12" ht="15" customHeight="1">
      <c r="A8" s="694" t="s">
        <v>45</v>
      </c>
      <c r="B8" s="694"/>
      <c r="C8" s="694"/>
      <c r="D8" s="694"/>
      <c r="E8" s="694"/>
      <c r="F8" s="694"/>
      <c r="G8" s="694"/>
      <c r="H8" s="694"/>
      <c r="I8" s="694"/>
      <c r="J8" s="1"/>
      <c r="K8" s="1"/>
      <c r="L8" s="1"/>
    </row>
    <row r="9" spans="1:12" ht="15" customHeight="1">
      <c r="A9" s="37"/>
      <c r="B9" s="37"/>
      <c r="C9" s="37"/>
      <c r="D9" s="37"/>
      <c r="E9" s="37"/>
      <c r="F9" s="37"/>
      <c r="G9" s="37"/>
      <c r="H9" s="37"/>
      <c r="I9" s="37"/>
      <c r="J9" s="1"/>
      <c r="K9" s="1"/>
      <c r="L9" s="1"/>
    </row>
    <row r="10" spans="1:9" ht="15" customHeight="1">
      <c r="A10" s="40"/>
      <c r="B10" s="40"/>
      <c r="C10" s="40"/>
      <c r="D10" s="40"/>
      <c r="E10" s="40"/>
      <c r="F10" s="40"/>
      <c r="G10" s="40"/>
      <c r="H10" s="40"/>
      <c r="I10" s="40"/>
    </row>
    <row r="11" spans="1:12" ht="15" customHeight="1">
      <c r="A11" s="366" t="s">
        <v>0</v>
      </c>
      <c r="B11" s="367"/>
      <c r="C11" s="367"/>
      <c r="D11" s="367"/>
      <c r="E11" s="367"/>
      <c r="F11" s="367"/>
      <c r="G11" s="367"/>
      <c r="H11" s="367"/>
      <c r="I11" s="368"/>
      <c r="J11" s="698"/>
      <c r="K11" s="698"/>
      <c r="L11" s="698"/>
    </row>
    <row r="12" spans="1:9" ht="15" customHeight="1">
      <c r="A12" s="699"/>
      <c r="B12" s="700"/>
      <c r="C12" s="700"/>
      <c r="D12" s="700"/>
      <c r="E12" s="700"/>
      <c r="F12" s="700"/>
      <c r="G12" s="700"/>
      <c r="H12" s="700"/>
      <c r="I12" s="701"/>
    </row>
    <row r="13" spans="1:12" ht="15" customHeight="1">
      <c r="A13" s="39" t="s">
        <v>879</v>
      </c>
      <c r="B13" s="40"/>
      <c r="C13" s="40"/>
      <c r="D13" s="40"/>
      <c r="E13" s="40"/>
      <c r="F13" s="40"/>
      <c r="G13" s="40"/>
      <c r="H13" s="40"/>
      <c r="I13" s="41"/>
      <c r="J13" s="1"/>
      <c r="K13" s="1"/>
      <c r="L13" s="1"/>
    </row>
    <row r="14" spans="1:9" ht="15" customHeight="1">
      <c r="A14" s="39" t="s">
        <v>880</v>
      </c>
      <c r="B14" s="40"/>
      <c r="C14" s="40"/>
      <c r="D14" s="40"/>
      <c r="E14" s="40"/>
      <c r="F14" s="40"/>
      <c r="G14" s="40"/>
      <c r="H14" s="40"/>
      <c r="I14" s="41"/>
    </row>
    <row r="15" spans="1:9" ht="15" customHeight="1">
      <c r="A15" s="695" t="s">
        <v>887</v>
      </c>
      <c r="B15" s="696"/>
      <c r="C15" s="696"/>
      <c r="D15" s="696"/>
      <c r="E15" s="696"/>
      <c r="F15" s="696"/>
      <c r="G15" s="696"/>
      <c r="H15" s="696"/>
      <c r="I15" s="697"/>
    </row>
    <row r="16" spans="1:9" ht="15" customHeight="1">
      <c r="A16" s="695" t="s">
        <v>881</v>
      </c>
      <c r="B16" s="696"/>
      <c r="C16" s="696"/>
      <c r="D16" s="696"/>
      <c r="E16" s="696"/>
      <c r="F16" s="696"/>
      <c r="G16" s="696"/>
      <c r="H16" s="696"/>
      <c r="I16" s="697"/>
    </row>
    <row r="17" spans="1:9" ht="15" customHeight="1">
      <c r="A17" s="695" t="s">
        <v>885</v>
      </c>
      <c r="B17" s="696"/>
      <c r="C17" s="696"/>
      <c r="D17" s="696"/>
      <c r="E17" s="696"/>
      <c r="F17" s="696"/>
      <c r="G17" s="696"/>
      <c r="H17" s="696"/>
      <c r="I17" s="697"/>
    </row>
    <row r="18" spans="1:9" ht="15" customHeight="1">
      <c r="A18" s="695" t="s">
        <v>886</v>
      </c>
      <c r="B18" s="696"/>
      <c r="C18" s="696"/>
      <c r="D18" s="696"/>
      <c r="E18" s="696"/>
      <c r="F18" s="696"/>
      <c r="G18" s="696"/>
      <c r="H18" s="696"/>
      <c r="I18" s="697"/>
    </row>
    <row r="19" spans="1:9" ht="15" customHeight="1">
      <c r="A19" s="695" t="s">
        <v>888</v>
      </c>
      <c r="B19" s="696"/>
      <c r="C19" s="696"/>
      <c r="D19" s="696"/>
      <c r="E19" s="696"/>
      <c r="F19" s="696"/>
      <c r="G19" s="696"/>
      <c r="H19" s="696"/>
      <c r="I19" s="697"/>
    </row>
    <row r="20" spans="1:9" ht="15" customHeight="1">
      <c r="A20" s="695" t="s">
        <v>882</v>
      </c>
      <c r="B20" s="696"/>
      <c r="C20" s="696"/>
      <c r="D20" s="696"/>
      <c r="E20" s="696"/>
      <c r="F20" s="696"/>
      <c r="G20" s="696"/>
      <c r="H20" s="696"/>
      <c r="I20" s="697"/>
    </row>
    <row r="21" spans="1:9" ht="15" customHeight="1">
      <c r="A21" s="695"/>
      <c r="B21" s="696"/>
      <c r="C21" s="696"/>
      <c r="D21" s="696"/>
      <c r="E21" s="696"/>
      <c r="F21" s="696"/>
      <c r="G21" s="696"/>
      <c r="H21" s="696"/>
      <c r="I21" s="697"/>
    </row>
    <row r="22" spans="1:9" ht="15" customHeight="1">
      <c r="A22" s="695" t="s">
        <v>883</v>
      </c>
      <c r="B22" s="696"/>
      <c r="C22" s="696"/>
      <c r="D22" s="696"/>
      <c r="E22" s="696"/>
      <c r="F22" s="696"/>
      <c r="G22" s="696"/>
      <c r="H22" s="696"/>
      <c r="I22" s="697"/>
    </row>
    <row r="23" spans="1:9" ht="15" customHeight="1">
      <c r="A23" s="39" t="s">
        <v>889</v>
      </c>
      <c r="B23" s="40"/>
      <c r="C23" s="40"/>
      <c r="D23" s="40"/>
      <c r="E23" s="40"/>
      <c r="F23" s="40"/>
      <c r="G23" s="40"/>
      <c r="H23" s="40"/>
      <c r="I23" s="41"/>
    </row>
    <row r="24" spans="1:9" ht="15" customHeight="1">
      <c r="A24" s="39" t="s">
        <v>890</v>
      </c>
      <c r="B24" s="40"/>
      <c r="C24" s="40"/>
      <c r="D24" s="40"/>
      <c r="E24" s="40"/>
      <c r="F24" s="40"/>
      <c r="G24" s="40"/>
      <c r="H24" s="40"/>
      <c r="I24" s="41"/>
    </row>
    <row r="25" spans="1:9" ht="15" customHeight="1">
      <c r="A25" s="39" t="s">
        <v>891</v>
      </c>
      <c r="B25" s="40"/>
      <c r="C25" s="40"/>
      <c r="D25" s="40"/>
      <c r="E25" s="40"/>
      <c r="F25" s="40"/>
      <c r="G25" s="40"/>
      <c r="H25" s="40"/>
      <c r="I25" s="41"/>
    </row>
    <row r="26" spans="1:9" ht="15" customHeight="1">
      <c r="A26" s="39"/>
      <c r="B26" s="40"/>
      <c r="C26" s="40"/>
      <c r="D26" s="40"/>
      <c r="E26" s="40"/>
      <c r="F26" s="40"/>
      <c r="G26" s="40"/>
      <c r="H26" s="40"/>
      <c r="I26" s="41"/>
    </row>
    <row r="27" spans="1:9" ht="15" customHeight="1">
      <c r="A27" s="477" t="s">
        <v>892</v>
      </c>
      <c r="B27" s="478"/>
      <c r="C27" s="478"/>
      <c r="D27" s="478"/>
      <c r="E27" s="478"/>
      <c r="F27" s="478"/>
      <c r="G27" s="478"/>
      <c r="H27" s="478"/>
      <c r="I27" s="479"/>
    </row>
    <row r="28" spans="1:9" ht="15" customHeight="1">
      <c r="A28" s="477" t="s">
        <v>893</v>
      </c>
      <c r="B28" s="478"/>
      <c r="C28" s="478"/>
      <c r="D28" s="478"/>
      <c r="E28" s="478"/>
      <c r="F28" s="478"/>
      <c r="G28" s="478"/>
      <c r="H28" s="478"/>
      <c r="I28" s="479"/>
    </row>
    <row r="29" spans="1:9" ht="15" customHeight="1">
      <c r="A29" s="477" t="s">
        <v>894</v>
      </c>
      <c r="B29" s="478"/>
      <c r="C29" s="478"/>
      <c r="D29" s="478"/>
      <c r="E29" s="478"/>
      <c r="F29" s="478"/>
      <c r="G29" s="478"/>
      <c r="H29" s="478"/>
      <c r="I29" s="479"/>
    </row>
    <row r="30" spans="1:9" ht="15" customHeight="1">
      <c r="A30" s="477" t="s">
        <v>895</v>
      </c>
      <c r="B30" s="478"/>
      <c r="C30" s="478"/>
      <c r="D30" s="478"/>
      <c r="E30" s="478"/>
      <c r="F30" s="478"/>
      <c r="G30" s="478"/>
      <c r="H30" s="478"/>
      <c r="I30" s="479"/>
    </row>
    <row r="31" spans="1:9" ht="15" customHeight="1">
      <c r="A31" s="477" t="s">
        <v>896</v>
      </c>
      <c r="B31" s="478"/>
      <c r="C31" s="478"/>
      <c r="D31" s="478"/>
      <c r="E31" s="478"/>
      <c r="F31" s="478"/>
      <c r="G31" s="478"/>
      <c r="H31" s="478"/>
      <c r="I31" s="479"/>
    </row>
    <row r="32" spans="1:9" ht="15" customHeight="1">
      <c r="A32" s="477" t="s">
        <v>884</v>
      </c>
      <c r="B32" s="478"/>
      <c r="C32" s="478"/>
      <c r="D32" s="478"/>
      <c r="E32" s="478"/>
      <c r="F32" s="478"/>
      <c r="G32" s="478"/>
      <c r="H32" s="478"/>
      <c r="I32" s="479"/>
    </row>
    <row r="33" spans="1:9" ht="15" customHeight="1">
      <c r="A33" s="39"/>
      <c r="B33" s="40"/>
      <c r="C33" s="40"/>
      <c r="D33" s="40"/>
      <c r="E33" s="40"/>
      <c r="F33" s="40"/>
      <c r="G33" s="40"/>
      <c r="H33" s="40"/>
      <c r="I33" s="41"/>
    </row>
    <row r="34" spans="1:9" ht="15" customHeight="1">
      <c r="A34" s="39"/>
      <c r="B34" s="40"/>
      <c r="C34" s="40"/>
      <c r="D34" s="40"/>
      <c r="E34" s="40"/>
      <c r="F34" s="40"/>
      <c r="G34" s="40"/>
      <c r="H34" s="40"/>
      <c r="I34" s="41"/>
    </row>
    <row r="35" spans="1:9" ht="15" customHeight="1">
      <c r="A35" s="39"/>
      <c r="B35" s="40"/>
      <c r="C35" s="40"/>
      <c r="D35" s="40"/>
      <c r="E35" s="40"/>
      <c r="F35" s="40"/>
      <c r="G35" s="40"/>
      <c r="H35" s="40"/>
      <c r="I35" s="41"/>
    </row>
    <row r="36" spans="1:9" ht="15" customHeight="1">
      <c r="A36" s="39"/>
      <c r="B36" s="40"/>
      <c r="C36" s="40"/>
      <c r="D36" s="40"/>
      <c r="E36" s="40"/>
      <c r="F36" s="40"/>
      <c r="G36" s="40"/>
      <c r="H36" s="40"/>
      <c r="I36" s="41"/>
    </row>
    <row r="37" spans="1:9" ht="15" customHeight="1">
      <c r="A37" s="39"/>
      <c r="B37" s="40"/>
      <c r="C37" s="40"/>
      <c r="D37" s="40"/>
      <c r="E37" s="40"/>
      <c r="F37" s="40"/>
      <c r="G37" s="40"/>
      <c r="H37" s="40"/>
      <c r="I37" s="41"/>
    </row>
    <row r="38" spans="1:9" ht="15" customHeight="1">
      <c r="A38" s="39"/>
      <c r="B38" s="40"/>
      <c r="C38" s="40"/>
      <c r="D38" s="40"/>
      <c r="E38" s="40"/>
      <c r="F38" s="40"/>
      <c r="G38" s="40"/>
      <c r="H38" s="40"/>
      <c r="I38" s="41"/>
    </row>
    <row r="39" spans="1:9" ht="15" customHeight="1">
      <c r="A39" s="39"/>
      <c r="B39" s="40"/>
      <c r="C39" s="40"/>
      <c r="D39" s="40"/>
      <c r="E39" s="40"/>
      <c r="F39" s="40"/>
      <c r="G39" s="40"/>
      <c r="H39" s="40"/>
      <c r="I39" s="41"/>
    </row>
    <row r="40" spans="1:9" ht="15" customHeight="1">
      <c r="A40" s="39"/>
      <c r="B40" s="40"/>
      <c r="C40" s="40"/>
      <c r="D40" s="40"/>
      <c r="E40" s="40"/>
      <c r="F40" s="40"/>
      <c r="G40" s="40"/>
      <c r="H40" s="40"/>
      <c r="I40" s="41"/>
    </row>
    <row r="41" spans="1:9" ht="15" customHeight="1">
      <c r="A41" s="39"/>
      <c r="B41" s="40"/>
      <c r="C41" s="40"/>
      <c r="D41" s="40"/>
      <c r="E41" s="40"/>
      <c r="F41" s="40"/>
      <c r="G41" s="40"/>
      <c r="H41" s="40"/>
      <c r="I41" s="41"/>
    </row>
    <row r="42" spans="1:9" ht="15" customHeight="1">
      <c r="A42" s="39"/>
      <c r="B42" s="40"/>
      <c r="C42" s="40"/>
      <c r="D42" s="40"/>
      <c r="E42" s="40"/>
      <c r="F42" s="40"/>
      <c r="G42" s="40"/>
      <c r="H42" s="40"/>
      <c r="I42" s="41"/>
    </row>
    <row r="43" spans="1:9" ht="15" customHeight="1">
      <c r="A43" s="39"/>
      <c r="B43" s="40"/>
      <c r="C43" s="40"/>
      <c r="D43" s="40"/>
      <c r="E43" s="40"/>
      <c r="F43" s="40"/>
      <c r="G43" s="40"/>
      <c r="H43" s="40"/>
      <c r="I43" s="41"/>
    </row>
    <row r="44" spans="1:9" ht="15" customHeight="1">
      <c r="A44" s="39"/>
      <c r="B44" s="40"/>
      <c r="C44" s="40"/>
      <c r="D44" s="40"/>
      <c r="E44" s="40"/>
      <c r="F44" s="40"/>
      <c r="G44" s="40"/>
      <c r="H44" s="40"/>
      <c r="I44" s="41"/>
    </row>
    <row r="45" spans="1:9" ht="15" customHeight="1">
      <c r="A45" s="39"/>
      <c r="B45" s="40"/>
      <c r="C45" s="40"/>
      <c r="D45" s="40"/>
      <c r="E45" s="40"/>
      <c r="F45" s="40"/>
      <c r="G45" s="40"/>
      <c r="H45" s="40"/>
      <c r="I45" s="41"/>
    </row>
    <row r="46" spans="1:9" ht="15" customHeight="1">
      <c r="A46" s="39"/>
      <c r="B46" s="40"/>
      <c r="C46" s="40"/>
      <c r="D46" s="40"/>
      <c r="E46" s="40"/>
      <c r="F46" s="40"/>
      <c r="G46" s="40"/>
      <c r="H46" s="40"/>
      <c r="I46" s="41"/>
    </row>
    <row r="47" spans="1:9" ht="15" customHeight="1">
      <c r="A47" s="39"/>
      <c r="B47" s="40"/>
      <c r="C47" s="40"/>
      <c r="D47" s="40"/>
      <c r="E47" s="40"/>
      <c r="F47" s="40"/>
      <c r="G47" s="40"/>
      <c r="H47" s="40"/>
      <c r="I47" s="41"/>
    </row>
    <row r="48" spans="1:9" ht="15" customHeight="1">
      <c r="A48" s="39"/>
      <c r="B48" s="40"/>
      <c r="C48" s="40"/>
      <c r="D48" s="40"/>
      <c r="E48" s="40"/>
      <c r="F48" s="40"/>
      <c r="G48" s="40"/>
      <c r="H48" s="40"/>
      <c r="I48" s="41"/>
    </row>
    <row r="49" spans="1:9" ht="15" customHeight="1">
      <c r="A49" s="39"/>
      <c r="B49" s="40"/>
      <c r="C49" s="40"/>
      <c r="D49" s="40"/>
      <c r="E49" s="40"/>
      <c r="F49" s="40"/>
      <c r="G49" s="40"/>
      <c r="H49" s="40"/>
      <c r="I49" s="41"/>
    </row>
    <row r="50" spans="1:9" ht="15" customHeight="1">
      <c r="A50" s="39"/>
      <c r="B50" s="40"/>
      <c r="C50" s="40"/>
      <c r="D50" s="40"/>
      <c r="E50" s="40"/>
      <c r="F50" s="40"/>
      <c r="G50" s="40"/>
      <c r="H50" s="40"/>
      <c r="I50" s="41"/>
    </row>
    <row r="51" spans="1:9" ht="15" customHeight="1">
      <c r="A51" s="39"/>
      <c r="B51" s="40"/>
      <c r="C51" s="40"/>
      <c r="D51" s="40"/>
      <c r="E51" s="40"/>
      <c r="F51" s="40"/>
      <c r="G51" s="40"/>
      <c r="H51" s="40"/>
      <c r="I51" s="41"/>
    </row>
    <row r="52" spans="1:9" ht="15" customHeight="1">
      <c r="A52" s="39"/>
      <c r="B52" s="40"/>
      <c r="C52" s="40"/>
      <c r="D52" s="40"/>
      <c r="E52" s="40"/>
      <c r="F52" s="40"/>
      <c r="G52" s="40"/>
      <c r="H52" s="40"/>
      <c r="I52" s="41"/>
    </row>
    <row r="53" spans="1:9" ht="15" customHeight="1">
      <c r="A53" s="39"/>
      <c r="B53" s="40"/>
      <c r="C53" s="40"/>
      <c r="D53" s="40"/>
      <c r="E53" s="40"/>
      <c r="F53" s="40"/>
      <c r="G53" s="40"/>
      <c r="H53" s="40"/>
      <c r="I53" s="41"/>
    </row>
    <row r="54" spans="1:9" ht="15" customHeight="1">
      <c r="A54" s="39"/>
      <c r="B54" s="40"/>
      <c r="C54" s="40"/>
      <c r="D54" s="40"/>
      <c r="E54" s="40"/>
      <c r="F54" s="40"/>
      <c r="G54" s="40"/>
      <c r="H54" s="40"/>
      <c r="I54" s="41"/>
    </row>
    <row r="55" spans="1:9" ht="15" customHeight="1">
      <c r="A55" s="39"/>
      <c r="B55" s="40"/>
      <c r="C55" s="40"/>
      <c r="D55" s="40"/>
      <c r="E55" s="40"/>
      <c r="F55" s="40"/>
      <c r="G55" s="40"/>
      <c r="H55" s="40"/>
      <c r="I55" s="41"/>
    </row>
    <row r="56" spans="1:9" ht="15" customHeight="1">
      <c r="A56" s="39"/>
      <c r="B56" s="40"/>
      <c r="C56" s="40"/>
      <c r="D56" s="40"/>
      <c r="E56" s="40"/>
      <c r="F56" s="40"/>
      <c r="G56" s="40"/>
      <c r="H56" s="40"/>
      <c r="I56" s="41"/>
    </row>
    <row r="57" spans="1:9" ht="15" customHeight="1">
      <c r="A57" s="39"/>
      <c r="B57" s="40"/>
      <c r="C57" s="40"/>
      <c r="D57" s="40"/>
      <c r="E57" s="40"/>
      <c r="F57" s="40"/>
      <c r="G57" s="40"/>
      <c r="H57" s="40"/>
      <c r="I57" s="41"/>
    </row>
    <row r="58" spans="1:9" ht="15" customHeight="1">
      <c r="A58" s="39"/>
      <c r="B58" s="40"/>
      <c r="C58" s="40"/>
      <c r="D58" s="40"/>
      <c r="E58" s="40"/>
      <c r="F58" s="40"/>
      <c r="G58" s="40"/>
      <c r="H58" s="40"/>
      <c r="I58" s="41"/>
    </row>
    <row r="59" spans="1:9" ht="15" customHeight="1">
      <c r="A59" s="39"/>
      <c r="B59" s="40"/>
      <c r="C59" s="40"/>
      <c r="D59" s="40"/>
      <c r="E59" s="40"/>
      <c r="F59" s="40"/>
      <c r="G59" s="40"/>
      <c r="H59" s="40"/>
      <c r="I59" s="41"/>
    </row>
    <row r="60" spans="1:9" ht="15" customHeight="1">
      <c r="A60" s="39"/>
      <c r="B60" s="40"/>
      <c r="C60" s="40"/>
      <c r="D60" s="40"/>
      <c r="E60" s="40"/>
      <c r="F60" s="40"/>
      <c r="G60" s="40"/>
      <c r="H60" s="40"/>
      <c r="I60" s="41"/>
    </row>
    <row r="61" spans="1:9" ht="15" customHeight="1">
      <c r="A61" s="39"/>
      <c r="B61" s="40"/>
      <c r="C61" s="40"/>
      <c r="D61" s="40"/>
      <c r="E61" s="40"/>
      <c r="F61" s="40"/>
      <c r="G61" s="40"/>
      <c r="H61" s="40"/>
      <c r="I61" s="41"/>
    </row>
    <row r="62" spans="1:9" ht="15" customHeight="1">
      <c r="A62" s="39"/>
      <c r="B62" s="40"/>
      <c r="C62" s="40"/>
      <c r="D62" s="40"/>
      <c r="E62" s="40"/>
      <c r="F62" s="40"/>
      <c r="G62" s="40"/>
      <c r="H62" s="40"/>
      <c r="I62" s="41"/>
    </row>
    <row r="63" spans="1:9" ht="15" customHeight="1">
      <c r="A63" s="39"/>
      <c r="B63" s="40"/>
      <c r="C63" s="40"/>
      <c r="D63" s="40"/>
      <c r="E63" s="40"/>
      <c r="F63" s="40"/>
      <c r="G63" s="40"/>
      <c r="H63" s="40"/>
      <c r="I63" s="41"/>
    </row>
    <row r="64" spans="1:9" ht="15" customHeight="1">
      <c r="A64" s="39"/>
      <c r="B64" s="40"/>
      <c r="C64" s="40"/>
      <c r="D64" s="40"/>
      <c r="E64" s="40"/>
      <c r="F64" s="40"/>
      <c r="G64" s="40"/>
      <c r="H64" s="40"/>
      <c r="I64" s="41"/>
    </row>
    <row r="65" spans="1:9" ht="15" customHeight="1">
      <c r="A65" s="39"/>
      <c r="B65" s="40"/>
      <c r="C65" s="40"/>
      <c r="D65" s="40"/>
      <c r="E65" s="40"/>
      <c r="F65" s="40"/>
      <c r="G65" s="40"/>
      <c r="H65" s="40"/>
      <c r="I65" s="41"/>
    </row>
    <row r="66" spans="1:9" ht="15" customHeight="1">
      <c r="A66" s="39"/>
      <c r="B66" s="40"/>
      <c r="C66" s="40"/>
      <c r="D66" s="40"/>
      <c r="E66" s="40"/>
      <c r="F66" s="40"/>
      <c r="G66" s="40"/>
      <c r="H66" s="40"/>
      <c r="I66" s="41"/>
    </row>
    <row r="67" spans="1:9" ht="15" customHeight="1">
      <c r="A67" s="39"/>
      <c r="B67" s="40"/>
      <c r="C67" s="40"/>
      <c r="D67" s="40"/>
      <c r="E67" s="40"/>
      <c r="F67" s="40"/>
      <c r="G67" s="40"/>
      <c r="H67" s="40"/>
      <c r="I67" s="41"/>
    </row>
    <row r="68" spans="1:9" ht="15" customHeight="1">
      <c r="A68" s="39"/>
      <c r="B68" s="40"/>
      <c r="C68" s="40"/>
      <c r="D68" s="40"/>
      <c r="E68" s="40"/>
      <c r="F68" s="40"/>
      <c r="G68" s="40"/>
      <c r="H68" s="40"/>
      <c r="I68" s="41"/>
    </row>
    <row r="69" spans="1:9" ht="15" customHeight="1">
      <c r="A69" s="39"/>
      <c r="B69" s="40"/>
      <c r="C69" s="40"/>
      <c r="D69" s="40"/>
      <c r="E69" s="40"/>
      <c r="F69" s="40"/>
      <c r="G69" s="40"/>
      <c r="H69" s="40"/>
      <c r="I69" s="41"/>
    </row>
    <row r="70" spans="1:9" ht="15" customHeight="1">
      <c r="A70" s="39"/>
      <c r="B70" s="40"/>
      <c r="C70" s="40"/>
      <c r="D70" s="40"/>
      <c r="E70" s="40"/>
      <c r="F70" s="40"/>
      <c r="G70" s="40"/>
      <c r="H70" s="40"/>
      <c r="I70" s="41"/>
    </row>
    <row r="71" spans="1:9" ht="15" customHeight="1">
      <c r="A71" s="39"/>
      <c r="B71" s="40"/>
      <c r="C71" s="40"/>
      <c r="D71" s="40"/>
      <c r="E71" s="40"/>
      <c r="F71" s="40"/>
      <c r="G71" s="40"/>
      <c r="H71" s="40"/>
      <c r="I71" s="41"/>
    </row>
    <row r="72" spans="1:9" ht="15" customHeight="1">
      <c r="A72" s="39"/>
      <c r="B72" s="40"/>
      <c r="C72" s="40"/>
      <c r="D72" s="40"/>
      <c r="E72" s="40"/>
      <c r="F72" s="40"/>
      <c r="G72" s="40"/>
      <c r="H72" s="40"/>
      <c r="I72" s="41"/>
    </row>
    <row r="73" spans="1:9" ht="15" customHeight="1">
      <c r="A73" s="39"/>
      <c r="B73" s="40"/>
      <c r="C73" s="40"/>
      <c r="D73" s="40"/>
      <c r="E73" s="40"/>
      <c r="F73" s="40"/>
      <c r="G73" s="40"/>
      <c r="H73" s="40"/>
      <c r="I73" s="41"/>
    </row>
    <row r="74" spans="1:9" ht="15" customHeight="1">
      <c r="A74" s="39"/>
      <c r="B74" s="40"/>
      <c r="C74" s="40"/>
      <c r="D74" s="40"/>
      <c r="E74" s="40"/>
      <c r="F74" s="40"/>
      <c r="G74" s="40"/>
      <c r="H74" s="40"/>
      <c r="I74" s="41"/>
    </row>
    <row r="75" spans="1:9" ht="15" customHeight="1">
      <c r="A75" s="39"/>
      <c r="B75" s="40"/>
      <c r="C75" s="40"/>
      <c r="D75" s="40"/>
      <c r="E75" s="40"/>
      <c r="F75" s="40"/>
      <c r="G75" s="40"/>
      <c r="H75" s="40"/>
      <c r="I75" s="41"/>
    </row>
    <row r="76" spans="1:9" ht="15" customHeight="1">
      <c r="A76" s="39"/>
      <c r="B76" s="40"/>
      <c r="C76" s="40"/>
      <c r="D76" s="40"/>
      <c r="E76" s="40"/>
      <c r="F76" s="40"/>
      <c r="G76" s="40"/>
      <c r="H76" s="40"/>
      <c r="I76" s="41"/>
    </row>
    <row r="77" spans="1:9" ht="15" customHeight="1">
      <c r="A77" s="39"/>
      <c r="B77" s="40"/>
      <c r="C77" s="40"/>
      <c r="D77" s="40"/>
      <c r="E77" s="40"/>
      <c r="F77" s="40"/>
      <c r="G77" s="40"/>
      <c r="H77" s="40"/>
      <c r="I77" s="41"/>
    </row>
    <row r="78" spans="1:9" ht="15" customHeight="1">
      <c r="A78" s="39"/>
      <c r="B78" s="40"/>
      <c r="C78" s="40"/>
      <c r="D78" s="40"/>
      <c r="E78" s="40"/>
      <c r="F78" s="40"/>
      <c r="G78" s="40"/>
      <c r="H78" s="40"/>
      <c r="I78" s="41"/>
    </row>
    <row r="79" spans="1:9" ht="15" customHeight="1">
      <c r="A79" s="39"/>
      <c r="B79" s="40"/>
      <c r="C79" s="40"/>
      <c r="D79" s="40"/>
      <c r="E79" s="40"/>
      <c r="F79" s="40"/>
      <c r="G79" s="40"/>
      <c r="H79" s="40"/>
      <c r="I79" s="41"/>
    </row>
    <row r="80" spans="1:9" ht="15" customHeight="1">
      <c r="A80" s="42"/>
      <c r="B80" s="43"/>
      <c r="C80" s="43"/>
      <c r="D80" s="43"/>
      <c r="E80" s="43"/>
      <c r="F80" s="43"/>
      <c r="G80" s="43"/>
      <c r="H80" s="43"/>
      <c r="I80" s="44"/>
    </row>
  </sheetData>
  <sheetProtection/>
  <mergeCells count="11">
    <mergeCell ref="A20:I20"/>
    <mergeCell ref="A22:I22"/>
    <mergeCell ref="A21:I21"/>
    <mergeCell ref="A12:I12"/>
    <mergeCell ref="A19:I19"/>
    <mergeCell ref="A8:I8"/>
    <mergeCell ref="A16:I16"/>
    <mergeCell ref="A17:I17"/>
    <mergeCell ref="J11:L11"/>
    <mergeCell ref="A15:I15"/>
    <mergeCell ref="A18:I18"/>
  </mergeCells>
  <hyperlinks>
    <hyperlink ref="I1" location="BG!A1" display="BG"/>
  </hyperlinks>
  <printOptions/>
  <pageMargins left="0.7086614173228347" right="0.7086614173228347" top="0.7480314960629921" bottom="0.7480314960629921" header="0.31496062992125984" footer="0.31496062992125984"/>
  <pageSetup fitToHeight="1" fitToWidth="1" horizontalDpi="1200" verticalDpi="1200" orientation="portrait" paperSize="5" scale="61" r:id="rId1"/>
</worksheet>
</file>

<file path=xl/worksheets/sheet8.xml><?xml version="1.0" encoding="utf-8"?>
<worksheet xmlns="http://schemas.openxmlformats.org/spreadsheetml/2006/main" xmlns:r="http://schemas.openxmlformats.org/officeDocument/2006/relationships">
  <sheetPr codeName="Hoja7"/>
  <dimension ref="A1:N83"/>
  <sheetViews>
    <sheetView showGridLines="0" zoomScalePageLayoutView="0" workbookViewId="0" topLeftCell="A1">
      <selection activeCell="L29" sqref="L29"/>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2.28125" style="2" customWidth="1"/>
    <col min="10" max="16384" width="11.421875" style="2" customWidth="1"/>
  </cols>
  <sheetData>
    <row r="1" spans="1:9" ht="15" customHeight="1">
      <c r="A1" s="480" t="s">
        <v>897</v>
      </c>
      <c r="I1" s="176" t="s">
        <v>129</v>
      </c>
    </row>
    <row r="2" ht="15" customHeight="1"/>
    <row r="3" ht="15" customHeight="1"/>
    <row r="4" ht="15" customHeight="1"/>
    <row r="5" ht="15" customHeight="1"/>
    <row r="6" spans="1:9" s="48" customFormat="1" ht="15" customHeight="1">
      <c r="A6" s="718" t="s">
        <v>1</v>
      </c>
      <c r="B6" s="719"/>
      <c r="C6" s="719"/>
      <c r="D6" s="719"/>
      <c r="E6" s="719"/>
      <c r="F6" s="719"/>
      <c r="G6" s="719"/>
      <c r="H6" s="719"/>
      <c r="I6" s="720"/>
    </row>
    <row r="7" spans="1:11" s="48" customFormat="1" ht="26.25" customHeight="1">
      <c r="A7" s="727"/>
      <c r="B7" s="728"/>
      <c r="C7" s="728"/>
      <c r="D7" s="728"/>
      <c r="E7" s="728"/>
      <c r="F7" s="728"/>
      <c r="G7" s="728"/>
      <c r="H7" s="728"/>
      <c r="I7" s="729"/>
      <c r="J7" s="71"/>
      <c r="K7" s="71"/>
    </row>
    <row r="8" spans="1:9" s="48" customFormat="1" ht="15" customHeight="1">
      <c r="A8" s="118"/>
      <c r="B8" s="68"/>
      <c r="C8" s="68"/>
      <c r="D8" s="68"/>
      <c r="E8" s="68"/>
      <c r="F8" s="68"/>
      <c r="G8" s="68"/>
      <c r="H8" s="68"/>
      <c r="I8" s="119"/>
    </row>
    <row r="9" spans="1:9" s="48" customFormat="1" ht="15" customHeight="1">
      <c r="A9" s="118"/>
      <c r="B9" s="68"/>
      <c r="C9" s="68"/>
      <c r="D9" s="68"/>
      <c r="E9" s="68"/>
      <c r="F9" s="68"/>
      <c r="G9" s="68"/>
      <c r="H9" s="68"/>
      <c r="I9" s="119"/>
    </row>
    <row r="10" spans="1:11" s="48" customFormat="1" ht="15" customHeight="1">
      <c r="A10" s="736" t="s">
        <v>202</v>
      </c>
      <c r="B10" s="737"/>
      <c r="C10" s="737"/>
      <c r="D10" s="737"/>
      <c r="E10" s="737"/>
      <c r="F10" s="737"/>
      <c r="G10" s="737"/>
      <c r="H10" s="737"/>
      <c r="I10" s="738"/>
      <c r="J10" s="71"/>
      <c r="K10" s="71"/>
    </row>
    <row r="11" spans="1:9" s="72" customFormat="1" ht="50.25" customHeight="1">
      <c r="A11" s="704" t="s">
        <v>975</v>
      </c>
      <c r="B11" s="705"/>
      <c r="C11" s="705"/>
      <c r="D11" s="705"/>
      <c r="E11" s="705"/>
      <c r="F11" s="705"/>
      <c r="G11" s="705"/>
      <c r="H11" s="705"/>
      <c r="I11" s="706"/>
    </row>
    <row r="12" spans="1:9" s="48" customFormat="1" ht="15" customHeight="1">
      <c r="A12" s="730"/>
      <c r="B12" s="731"/>
      <c r="C12" s="731"/>
      <c r="D12" s="731"/>
      <c r="E12" s="731"/>
      <c r="F12" s="731"/>
      <c r="G12" s="731"/>
      <c r="H12" s="731"/>
      <c r="I12" s="732"/>
    </row>
    <row r="13" spans="1:11" s="48" customFormat="1" ht="15" customHeight="1">
      <c r="A13" s="713" t="s">
        <v>103</v>
      </c>
      <c r="B13" s="714"/>
      <c r="C13" s="714"/>
      <c r="D13" s="714"/>
      <c r="E13" s="714"/>
      <c r="F13" s="714"/>
      <c r="G13" s="714"/>
      <c r="H13" s="714"/>
      <c r="I13" s="715"/>
      <c r="J13" s="71"/>
      <c r="K13" s="71"/>
    </row>
    <row r="14" spans="1:9" s="48" customFormat="1" ht="42.75" customHeight="1">
      <c r="A14" s="724" t="s">
        <v>161</v>
      </c>
      <c r="B14" s="725"/>
      <c r="C14" s="725"/>
      <c r="D14" s="725"/>
      <c r="E14" s="725"/>
      <c r="F14" s="725"/>
      <c r="G14" s="725"/>
      <c r="H14" s="725"/>
      <c r="I14" s="726"/>
    </row>
    <row r="15" spans="1:9" s="48" customFormat="1" ht="15" customHeight="1">
      <c r="A15" s="730"/>
      <c r="B15" s="731"/>
      <c r="C15" s="731"/>
      <c r="D15" s="731"/>
      <c r="E15" s="731"/>
      <c r="F15" s="731"/>
      <c r="G15" s="731"/>
      <c r="H15" s="731"/>
      <c r="I15" s="732"/>
    </row>
    <row r="16" spans="1:11" s="48" customFormat="1" ht="15" customHeight="1">
      <c r="A16" s="713" t="s">
        <v>104</v>
      </c>
      <c r="B16" s="714"/>
      <c r="C16" s="714"/>
      <c r="D16" s="714"/>
      <c r="E16" s="714"/>
      <c r="F16" s="714"/>
      <c r="G16" s="714"/>
      <c r="H16" s="714"/>
      <c r="I16" s="715"/>
      <c r="J16" s="71"/>
      <c r="K16" s="71"/>
    </row>
    <row r="17" spans="1:9" s="48" customFormat="1" ht="15" customHeight="1">
      <c r="A17" s="733" t="s">
        <v>976</v>
      </c>
      <c r="B17" s="734"/>
      <c r="C17" s="734"/>
      <c r="D17" s="734"/>
      <c r="E17" s="734"/>
      <c r="F17" s="734"/>
      <c r="G17" s="734"/>
      <c r="H17" s="734"/>
      <c r="I17" s="735"/>
    </row>
    <row r="18" spans="1:9" s="48" customFormat="1" ht="28.5" customHeight="1">
      <c r="A18" s="704" t="s">
        <v>162</v>
      </c>
      <c r="B18" s="705"/>
      <c r="C18" s="705"/>
      <c r="D18" s="705"/>
      <c r="E18" s="705"/>
      <c r="F18" s="705"/>
      <c r="G18" s="705"/>
      <c r="H18" s="705"/>
      <c r="I18" s="706"/>
    </row>
    <row r="19" spans="1:9" s="48" customFormat="1" ht="15" customHeight="1">
      <c r="A19" s="289"/>
      <c r="B19" s="290"/>
      <c r="C19" s="290"/>
      <c r="D19" s="290"/>
      <c r="E19" s="290"/>
      <c r="F19" s="290"/>
      <c r="G19" s="290"/>
      <c r="H19" s="290"/>
      <c r="I19" s="291"/>
    </row>
    <row r="20" spans="1:9" s="48" customFormat="1" ht="15" customHeight="1">
      <c r="A20" s="208"/>
      <c r="B20" s="207"/>
      <c r="C20" s="68"/>
      <c r="D20" s="68"/>
      <c r="E20" s="68"/>
      <c r="F20" s="68"/>
      <c r="G20" s="207"/>
      <c r="H20" s="68"/>
      <c r="I20" s="119"/>
    </row>
    <row r="21" spans="1:11" s="48" customFormat="1" ht="15" customHeight="1">
      <c r="A21" s="208"/>
      <c r="B21" s="424"/>
      <c r="C21" s="424">
        <f>_xlfn.IFERROR(IF(Indice!B6="","2XX2",YEAR(Indice!B6)),"2XX2")</f>
        <v>2022</v>
      </c>
      <c r="D21" s="424"/>
      <c r="E21" s="297"/>
      <c r="F21" s="424"/>
      <c r="G21" s="424">
        <f>_xlfn.IFERROR(YEAR(Indice!B6-365),"2XX1")</f>
        <v>2021</v>
      </c>
      <c r="H21" s="424"/>
      <c r="I21" s="299"/>
      <c r="J21" s="297"/>
      <c r="K21" s="154"/>
    </row>
    <row r="22" spans="1:9" s="48" customFormat="1" ht="15" customHeight="1">
      <c r="A22" s="208"/>
      <c r="B22" s="158" t="s">
        <v>106</v>
      </c>
      <c r="C22" s="230" t="s">
        <v>165</v>
      </c>
      <c r="D22" s="230" t="s">
        <v>166</v>
      </c>
      <c r="E22" s="68"/>
      <c r="F22" s="158" t="s">
        <v>106</v>
      </c>
      <c r="G22" s="230" t="s">
        <v>165</v>
      </c>
      <c r="H22" s="230" t="s">
        <v>166</v>
      </c>
      <c r="I22" s="119"/>
    </row>
    <row r="23" spans="1:11" s="48" customFormat="1" ht="15" customHeight="1">
      <c r="A23" s="621" t="s">
        <v>105</v>
      </c>
      <c r="B23" s="207" t="s">
        <v>972</v>
      </c>
      <c r="C23" s="535" t="s">
        <v>973</v>
      </c>
      <c r="D23" s="612">
        <f>183745+33887+684+234593+3478+1209005+3938819</f>
        <v>5604211</v>
      </c>
      <c r="E23" s="207"/>
      <c r="F23" s="207" t="s">
        <v>972</v>
      </c>
      <c r="G23" s="535" t="s">
        <v>973</v>
      </c>
      <c r="H23" s="612">
        <v>13176456</v>
      </c>
      <c r="I23" s="209"/>
      <c r="J23" s="154"/>
      <c r="K23" s="164"/>
    </row>
    <row r="24" spans="1:11" s="48" customFormat="1" ht="15" customHeight="1">
      <c r="A24" s="621"/>
      <c r="B24" s="207"/>
      <c r="C24" s="207"/>
      <c r="D24" s="612"/>
      <c r="E24" s="207"/>
      <c r="F24" s="207"/>
      <c r="G24" s="535"/>
      <c r="H24" s="612"/>
      <c r="I24" s="209"/>
      <c r="J24" s="154"/>
      <c r="K24" s="164"/>
    </row>
    <row r="25" spans="1:11" s="48" customFormat="1" ht="15" customHeight="1">
      <c r="A25" s="621" t="s">
        <v>107</v>
      </c>
      <c r="B25" s="207" t="s">
        <v>972</v>
      </c>
      <c r="C25" s="535" t="s">
        <v>973</v>
      </c>
      <c r="D25" s="612">
        <f>89448+635566+61966</f>
        <v>786980</v>
      </c>
      <c r="E25" s="207"/>
      <c r="F25" s="207" t="s">
        <v>972</v>
      </c>
      <c r="G25" s="535" t="s">
        <v>973</v>
      </c>
      <c r="H25" s="612">
        <v>826822</v>
      </c>
      <c r="I25" s="209"/>
      <c r="J25" s="154"/>
      <c r="K25" s="164"/>
    </row>
    <row r="26" spans="1:9" s="48" customFormat="1" ht="15" customHeight="1">
      <c r="A26" s="621"/>
      <c r="B26" s="157"/>
      <c r="C26" s="157"/>
      <c r="D26" s="613"/>
      <c r="E26" s="68"/>
      <c r="F26" s="157"/>
      <c r="G26" s="157"/>
      <c r="H26" s="613"/>
      <c r="I26" s="119"/>
    </row>
    <row r="27" spans="1:9" s="48" customFormat="1" ht="15" customHeight="1">
      <c r="A27" s="622" t="s">
        <v>108</v>
      </c>
      <c r="B27" s="300"/>
      <c r="C27" s="300"/>
      <c r="D27" s="614">
        <f>+D23-D25</f>
        <v>4817231</v>
      </c>
      <c r="E27" s="68"/>
      <c r="F27" s="300"/>
      <c r="G27" s="300"/>
      <c r="H27" s="614">
        <f>+H23-H25</f>
        <v>12349634</v>
      </c>
      <c r="I27" s="119"/>
    </row>
    <row r="28" spans="1:11" s="48" customFormat="1" ht="15" customHeight="1">
      <c r="A28" s="208"/>
      <c r="B28" s="207"/>
      <c r="C28" s="207"/>
      <c r="D28" s="207"/>
      <c r="E28" s="207"/>
      <c r="F28" s="207"/>
      <c r="G28" s="207"/>
      <c r="H28" s="207"/>
      <c r="I28" s="209"/>
      <c r="J28" s="154"/>
      <c r="K28" s="154"/>
    </row>
    <row r="29" spans="1:11" s="48" customFormat="1" ht="15" customHeight="1">
      <c r="A29" s="208"/>
      <c r="B29" s="207"/>
      <c r="C29" s="207"/>
      <c r="D29" s="207"/>
      <c r="E29" s="207"/>
      <c r="F29" s="207"/>
      <c r="G29" s="207"/>
      <c r="H29" s="207"/>
      <c r="I29" s="209"/>
      <c r="J29" s="154"/>
      <c r="K29" s="154"/>
    </row>
    <row r="30" spans="1:11" s="48" customFormat="1" ht="33" customHeight="1">
      <c r="A30" s="739" t="s">
        <v>1013</v>
      </c>
      <c r="B30" s="740"/>
      <c r="C30" s="740"/>
      <c r="D30" s="740"/>
      <c r="E30" s="740"/>
      <c r="F30" s="740"/>
      <c r="G30" s="740"/>
      <c r="H30" s="740"/>
      <c r="I30" s="741"/>
      <c r="J30" s="298"/>
      <c r="K30" s="154"/>
    </row>
    <row r="31" spans="1:9" s="48" customFormat="1" ht="15" customHeight="1">
      <c r="A31" s="289"/>
      <c r="B31" s="290"/>
      <c r="C31" s="290"/>
      <c r="D31" s="290"/>
      <c r="E31" s="290"/>
      <c r="F31" s="290"/>
      <c r="G31" s="290"/>
      <c r="H31" s="290"/>
      <c r="I31" s="291"/>
    </row>
    <row r="32" spans="1:11" s="48" customFormat="1" ht="15" customHeight="1">
      <c r="A32" s="713" t="s">
        <v>42</v>
      </c>
      <c r="B32" s="714"/>
      <c r="C32" s="714"/>
      <c r="D32" s="714"/>
      <c r="E32" s="714"/>
      <c r="F32" s="714"/>
      <c r="G32" s="714"/>
      <c r="H32" s="714"/>
      <c r="I32" s="715"/>
      <c r="J32" s="71"/>
      <c r="K32" s="71"/>
    </row>
    <row r="33" spans="1:9" s="48" customFormat="1" ht="28.5" customHeight="1">
      <c r="A33" s="733" t="s">
        <v>268</v>
      </c>
      <c r="B33" s="734"/>
      <c r="C33" s="734"/>
      <c r="D33" s="734"/>
      <c r="E33" s="734"/>
      <c r="F33" s="734"/>
      <c r="G33" s="734"/>
      <c r="H33" s="734"/>
      <c r="I33" s="735"/>
    </row>
    <row r="34" spans="1:9" s="48" customFormat="1" ht="15" customHeight="1">
      <c r="A34" s="730"/>
      <c r="B34" s="731"/>
      <c r="C34" s="731"/>
      <c r="D34" s="731"/>
      <c r="E34" s="731"/>
      <c r="F34" s="731"/>
      <c r="G34" s="731"/>
      <c r="H34" s="731"/>
      <c r="I34" s="732"/>
    </row>
    <row r="35" spans="1:11" s="48" customFormat="1" ht="15" customHeight="1">
      <c r="A35" s="713" t="s">
        <v>983</v>
      </c>
      <c r="B35" s="714"/>
      <c r="C35" s="714"/>
      <c r="D35" s="714"/>
      <c r="E35" s="714"/>
      <c r="F35" s="714"/>
      <c r="G35" s="714"/>
      <c r="H35" s="714"/>
      <c r="I35" s="715"/>
      <c r="J35" s="71"/>
      <c r="K35" s="71"/>
    </row>
    <row r="36" spans="1:9" s="48" customFormat="1" ht="43.5" customHeight="1">
      <c r="A36" s="733" t="s">
        <v>977</v>
      </c>
      <c r="B36" s="734"/>
      <c r="C36" s="734"/>
      <c r="D36" s="734"/>
      <c r="E36" s="734"/>
      <c r="F36" s="734"/>
      <c r="G36" s="734"/>
      <c r="H36" s="734"/>
      <c r="I36" s="735"/>
    </row>
    <row r="37" spans="1:9" s="48" customFormat="1" ht="15" customHeight="1">
      <c r="A37" s="721"/>
      <c r="B37" s="722"/>
      <c r="C37" s="722"/>
      <c r="D37" s="722"/>
      <c r="E37" s="722"/>
      <c r="F37" s="722"/>
      <c r="G37" s="722"/>
      <c r="H37" s="722"/>
      <c r="I37" s="723"/>
    </row>
    <row r="38" spans="1:11" s="48" customFormat="1" ht="15" customHeight="1">
      <c r="A38" s="713" t="s">
        <v>984</v>
      </c>
      <c r="B38" s="714"/>
      <c r="C38" s="714"/>
      <c r="D38" s="714"/>
      <c r="E38" s="714"/>
      <c r="F38" s="714"/>
      <c r="G38" s="714"/>
      <c r="H38" s="714"/>
      <c r="I38" s="715"/>
      <c r="J38" s="71"/>
      <c r="K38" s="71"/>
    </row>
    <row r="39" spans="1:11" s="48" customFormat="1" ht="15" customHeight="1">
      <c r="A39" s="733" t="s">
        <v>978</v>
      </c>
      <c r="B39" s="734"/>
      <c r="C39" s="734"/>
      <c r="D39" s="734"/>
      <c r="E39" s="734"/>
      <c r="F39" s="734"/>
      <c r="G39" s="734"/>
      <c r="H39" s="734"/>
      <c r="I39" s="735"/>
      <c r="J39" s="71"/>
      <c r="K39" s="71"/>
    </row>
    <row r="40" spans="1:11" s="48" customFormat="1" ht="15" customHeight="1">
      <c r="A40" s="742" t="s">
        <v>979</v>
      </c>
      <c r="B40" s="743"/>
      <c r="C40" s="743"/>
      <c r="D40" s="743"/>
      <c r="E40" s="743"/>
      <c r="F40" s="743"/>
      <c r="G40" s="743"/>
      <c r="H40" s="743"/>
      <c r="I40" s="744"/>
      <c r="J40" s="71"/>
      <c r="K40" s="71"/>
    </row>
    <row r="41" spans="1:11" s="48" customFormat="1" ht="15" customHeight="1">
      <c r="A41" s="730"/>
      <c r="B41" s="731"/>
      <c r="C41" s="731"/>
      <c r="D41" s="731"/>
      <c r="E41" s="731"/>
      <c r="F41" s="731"/>
      <c r="G41" s="731"/>
      <c r="H41" s="731"/>
      <c r="I41" s="732"/>
      <c r="J41" s="702"/>
      <c r="K41" s="702"/>
    </row>
    <row r="42" spans="1:11" s="48" customFormat="1" ht="15" customHeight="1">
      <c r="A42" s="713" t="s">
        <v>985</v>
      </c>
      <c r="B42" s="714"/>
      <c r="C42" s="714"/>
      <c r="D42" s="714"/>
      <c r="E42" s="714"/>
      <c r="F42" s="714"/>
      <c r="G42" s="714"/>
      <c r="H42" s="714"/>
      <c r="I42" s="715"/>
      <c r="J42" s="702"/>
      <c r="K42" s="702"/>
    </row>
    <row r="43" spans="1:11" s="48" customFormat="1" ht="24" customHeight="1">
      <c r="A43" s="704" t="s">
        <v>980</v>
      </c>
      <c r="B43" s="705"/>
      <c r="C43" s="705"/>
      <c r="D43" s="705"/>
      <c r="E43" s="705"/>
      <c r="F43" s="705"/>
      <c r="G43" s="705"/>
      <c r="H43" s="705"/>
      <c r="I43" s="706"/>
      <c r="J43" s="702"/>
      <c r="K43" s="702"/>
    </row>
    <row r="44" spans="1:11" s="48" customFormat="1" ht="18" customHeight="1">
      <c r="A44" s="616"/>
      <c r="B44" s="617"/>
      <c r="C44" s="617"/>
      <c r="D44" s="617"/>
      <c r="E44" s="617"/>
      <c r="F44" s="617"/>
      <c r="G44" s="617"/>
      <c r="H44" s="617"/>
      <c r="I44" s="618"/>
      <c r="J44" s="619"/>
      <c r="K44" s="619"/>
    </row>
    <row r="45" spans="1:11" s="48" customFormat="1" ht="25.5" customHeight="1">
      <c r="A45" s="704" t="s">
        <v>981</v>
      </c>
      <c r="B45" s="705"/>
      <c r="C45" s="705"/>
      <c r="D45" s="705"/>
      <c r="E45" s="705"/>
      <c r="F45" s="705"/>
      <c r="G45" s="705"/>
      <c r="H45" s="705"/>
      <c r="I45" s="706"/>
      <c r="J45" s="702"/>
      <c r="K45" s="702"/>
    </row>
    <row r="46" spans="1:11" s="48" customFormat="1" ht="29.25" customHeight="1">
      <c r="A46" s="704" t="s">
        <v>163</v>
      </c>
      <c r="B46" s="705"/>
      <c r="C46" s="705"/>
      <c r="D46" s="705"/>
      <c r="E46" s="705"/>
      <c r="F46" s="705"/>
      <c r="G46" s="705"/>
      <c r="H46" s="705"/>
      <c r="I46" s="706"/>
      <c r="J46" s="205"/>
      <c r="K46" s="205"/>
    </row>
    <row r="47" spans="1:11" s="48" customFormat="1" ht="18.75" customHeight="1">
      <c r="A47" s="704"/>
      <c r="B47" s="705"/>
      <c r="C47" s="705"/>
      <c r="D47" s="705"/>
      <c r="E47" s="705"/>
      <c r="F47" s="705"/>
      <c r="G47" s="705"/>
      <c r="H47" s="705"/>
      <c r="I47" s="706"/>
      <c r="J47" s="205"/>
      <c r="K47" s="205"/>
    </row>
    <row r="48" spans="1:11" s="48" customFormat="1" ht="15" customHeight="1">
      <c r="A48" s="704" t="s">
        <v>982</v>
      </c>
      <c r="B48" s="705"/>
      <c r="C48" s="705"/>
      <c r="D48" s="705"/>
      <c r="E48" s="705"/>
      <c r="F48" s="705"/>
      <c r="G48" s="705"/>
      <c r="H48" s="705"/>
      <c r="I48" s="706"/>
      <c r="J48" s="205"/>
      <c r="K48" s="205"/>
    </row>
    <row r="49" spans="1:11" s="36" customFormat="1" ht="15" customHeight="1">
      <c r="A49" s="263"/>
      <c r="B49" s="264"/>
      <c r="C49" s="264"/>
      <c r="D49" s="264"/>
      <c r="E49" s="264"/>
      <c r="F49" s="264"/>
      <c r="G49" s="264"/>
      <c r="H49" s="264"/>
      <c r="I49" s="265"/>
      <c r="J49" s="206"/>
      <c r="K49" s="206"/>
    </row>
    <row r="50" spans="1:11" s="36" customFormat="1" ht="15" customHeight="1">
      <c r="A50" s="713" t="s">
        <v>986</v>
      </c>
      <c r="B50" s="714"/>
      <c r="C50" s="714"/>
      <c r="D50" s="714"/>
      <c r="E50" s="714"/>
      <c r="F50" s="714"/>
      <c r="G50" s="714"/>
      <c r="H50" s="714"/>
      <c r="I50" s="715"/>
      <c r="J50" s="206"/>
      <c r="K50" s="206"/>
    </row>
    <row r="51" spans="1:11" s="36" customFormat="1" ht="15" customHeight="1">
      <c r="A51" s="704" t="s">
        <v>164</v>
      </c>
      <c r="B51" s="705"/>
      <c r="C51" s="705"/>
      <c r="D51" s="705"/>
      <c r="E51" s="705"/>
      <c r="F51" s="705"/>
      <c r="G51" s="705"/>
      <c r="H51" s="705"/>
      <c r="I51" s="706"/>
      <c r="J51" s="206"/>
      <c r="K51" s="206"/>
    </row>
    <row r="52" spans="1:11" s="48" customFormat="1" ht="15" customHeight="1">
      <c r="A52" s="266"/>
      <c r="B52" s="267"/>
      <c r="C52" s="267"/>
      <c r="D52" s="267"/>
      <c r="E52" s="267"/>
      <c r="F52" s="267"/>
      <c r="G52" s="267"/>
      <c r="H52" s="267"/>
      <c r="I52" s="268"/>
      <c r="J52" s="205"/>
      <c r="K52" s="205"/>
    </row>
    <row r="53" spans="1:11" s="48" customFormat="1" ht="15" customHeight="1">
      <c r="A53" s="713" t="s">
        <v>988</v>
      </c>
      <c r="B53" s="714"/>
      <c r="C53" s="714"/>
      <c r="D53" s="714"/>
      <c r="E53" s="714"/>
      <c r="F53" s="714"/>
      <c r="G53" s="714"/>
      <c r="H53" s="714"/>
      <c r="I53" s="715"/>
      <c r="J53" s="702"/>
      <c r="K53" s="702"/>
    </row>
    <row r="54" spans="1:11" s="48" customFormat="1" ht="36.75" customHeight="1">
      <c r="A54" s="704" t="s">
        <v>987</v>
      </c>
      <c r="B54" s="705"/>
      <c r="C54" s="705"/>
      <c r="D54" s="705"/>
      <c r="E54" s="705"/>
      <c r="F54" s="705"/>
      <c r="G54" s="705"/>
      <c r="H54" s="705"/>
      <c r="I54" s="706"/>
      <c r="J54" s="205"/>
      <c r="K54" s="205"/>
    </row>
    <row r="55" spans="1:11" s="48" customFormat="1" ht="15" customHeight="1">
      <c r="A55" s="289"/>
      <c r="B55" s="290"/>
      <c r="C55" s="290"/>
      <c r="D55" s="290"/>
      <c r="E55" s="290"/>
      <c r="F55" s="290"/>
      <c r="G55" s="290"/>
      <c r="H55" s="290"/>
      <c r="I55" s="291"/>
      <c r="J55" s="288"/>
      <c r="K55" s="288"/>
    </row>
    <row r="56" spans="1:11" s="48" customFormat="1" ht="15" customHeight="1">
      <c r="A56" s="707"/>
      <c r="B56" s="708"/>
      <c r="C56" s="708"/>
      <c r="D56" s="708"/>
      <c r="E56" s="708"/>
      <c r="F56" s="708"/>
      <c r="G56" s="708"/>
      <c r="H56" s="708"/>
      <c r="I56" s="709"/>
      <c r="J56" s="70"/>
      <c r="K56" s="70"/>
    </row>
    <row r="57" spans="1:11" s="48" customFormat="1" ht="15" customHeight="1">
      <c r="A57" s="302"/>
      <c r="B57" s="301"/>
      <c r="C57" s="301"/>
      <c r="D57" s="301"/>
      <c r="E57" s="301"/>
      <c r="F57" s="301"/>
      <c r="G57" s="301"/>
      <c r="H57" s="301"/>
      <c r="I57" s="303"/>
      <c r="J57" s="301"/>
      <c r="K57" s="301"/>
    </row>
    <row r="58" spans="1:11" s="48" customFormat="1" ht="15" customHeight="1">
      <c r="A58" s="292"/>
      <c r="B58" s="293"/>
      <c r="C58" s="293"/>
      <c r="D58" s="293"/>
      <c r="E58" s="293"/>
      <c r="F58" s="293"/>
      <c r="G58" s="293"/>
      <c r="H58" s="293"/>
      <c r="I58" s="294"/>
      <c r="J58" s="205"/>
      <c r="K58" s="205"/>
    </row>
    <row r="59" spans="1:11" s="48" customFormat="1" ht="15" customHeight="1">
      <c r="A59" s="713"/>
      <c r="B59" s="714"/>
      <c r="C59" s="714"/>
      <c r="D59" s="714"/>
      <c r="E59" s="714"/>
      <c r="F59" s="714"/>
      <c r="G59" s="714"/>
      <c r="H59" s="714"/>
      <c r="I59" s="715"/>
      <c r="J59" s="205"/>
      <c r="K59" s="205"/>
    </row>
    <row r="60" spans="1:11" s="72" customFormat="1" ht="36" customHeight="1">
      <c r="A60" s="704"/>
      <c r="B60" s="705"/>
      <c r="C60" s="705"/>
      <c r="D60" s="705"/>
      <c r="E60" s="705"/>
      <c r="F60" s="705"/>
      <c r="G60" s="705"/>
      <c r="H60" s="705"/>
      <c r="I60" s="706"/>
      <c r="J60" s="229"/>
      <c r="K60" s="229"/>
    </row>
    <row r="61" spans="1:11" s="72" customFormat="1" ht="23.25" customHeight="1">
      <c r="A61" s="704"/>
      <c r="B61" s="705"/>
      <c r="C61" s="705"/>
      <c r="D61" s="705"/>
      <c r="E61" s="705"/>
      <c r="F61" s="705"/>
      <c r="G61" s="705"/>
      <c r="H61" s="705"/>
      <c r="I61" s="706"/>
      <c r="J61" s="229"/>
      <c r="K61" s="229"/>
    </row>
    <row r="62" spans="1:11" s="48" customFormat="1" ht="15" customHeight="1">
      <c r="A62" s="118"/>
      <c r="B62" s="68"/>
      <c r="C62" s="68"/>
      <c r="D62" s="68"/>
      <c r="E62" s="68"/>
      <c r="F62" s="68"/>
      <c r="G62" s="68"/>
      <c r="H62" s="68"/>
      <c r="I62" s="119"/>
      <c r="J62" s="228"/>
      <c r="K62" s="228"/>
    </row>
    <row r="63" spans="1:11" s="48" customFormat="1" ht="15" customHeight="1">
      <c r="A63" s="713"/>
      <c r="B63" s="714"/>
      <c r="C63" s="714"/>
      <c r="D63" s="714"/>
      <c r="E63" s="714"/>
      <c r="F63" s="714"/>
      <c r="G63" s="714"/>
      <c r="H63" s="714"/>
      <c r="I63" s="715"/>
      <c r="J63" s="205"/>
      <c r="K63" s="205"/>
    </row>
    <row r="64" spans="1:11" s="48" customFormat="1" ht="25.5" customHeight="1">
      <c r="A64" s="704"/>
      <c r="B64" s="705"/>
      <c r="C64" s="705"/>
      <c r="D64" s="705"/>
      <c r="E64" s="705"/>
      <c r="F64" s="705"/>
      <c r="G64" s="705"/>
      <c r="H64" s="705"/>
      <c r="I64" s="706"/>
      <c r="J64" s="205"/>
      <c r="K64" s="205"/>
    </row>
    <row r="65" spans="1:11" s="48" customFormat="1" ht="29.25" customHeight="1">
      <c r="A65" s="716"/>
      <c r="B65" s="716"/>
      <c r="C65" s="716"/>
      <c r="D65" s="716"/>
      <c r="E65" s="716"/>
      <c r="F65" s="716"/>
      <c r="G65" s="716"/>
      <c r="H65" s="716"/>
      <c r="I65" s="717"/>
      <c r="J65" s="205"/>
      <c r="K65" s="205"/>
    </row>
    <row r="66" spans="1:9" s="36" customFormat="1" ht="15" customHeight="1">
      <c r="A66" s="710"/>
      <c r="B66" s="711"/>
      <c r="C66" s="711"/>
      <c r="D66" s="711"/>
      <c r="E66" s="711"/>
      <c r="F66" s="711"/>
      <c r="G66" s="711"/>
      <c r="H66" s="711"/>
      <c r="I66" s="712"/>
    </row>
    <row r="67" s="48" customFormat="1" ht="15" customHeight="1"/>
    <row r="68" s="48" customFormat="1" ht="15" customHeight="1"/>
    <row r="69" s="48" customFormat="1" ht="15" customHeight="1">
      <c r="A69" s="305"/>
    </row>
    <row r="70" s="48" customFormat="1" ht="15" customHeight="1"/>
    <row r="71" s="48" customFormat="1" ht="15" customHeight="1"/>
    <row r="72" ht="15" customHeight="1"/>
    <row r="73" ht="15" customHeight="1"/>
    <row r="74" ht="15" customHeight="1"/>
    <row r="75" ht="15" customHeight="1"/>
    <row r="76" ht="15" customHeight="1"/>
    <row r="77" ht="15" customHeight="1"/>
    <row r="78" ht="15" customHeight="1"/>
    <row r="79" ht="15" customHeight="1"/>
    <row r="83" spans="6:14" ht="12.75">
      <c r="F83" s="703"/>
      <c r="G83" s="703"/>
      <c r="H83" s="703"/>
      <c r="I83" s="703"/>
      <c r="J83" s="703"/>
      <c r="K83" s="703"/>
      <c r="L83" s="703"/>
      <c r="M83" s="703"/>
      <c r="N83" s="703"/>
    </row>
  </sheetData>
  <sheetProtection/>
  <mergeCells count="46">
    <mergeCell ref="A39:I39"/>
    <mergeCell ref="A40:I40"/>
    <mergeCell ref="A36:I36"/>
    <mergeCell ref="A43:I43"/>
    <mergeCell ref="A45:I45"/>
    <mergeCell ref="A46:I46"/>
    <mergeCell ref="A42:I42"/>
    <mergeCell ref="A48:I48"/>
    <mergeCell ref="A41:I41"/>
    <mergeCell ref="A33:I33"/>
    <mergeCell ref="A10:I10"/>
    <mergeCell ref="A12:I12"/>
    <mergeCell ref="A18:I18"/>
    <mergeCell ref="A17:I17"/>
    <mergeCell ref="A30:I30"/>
    <mergeCell ref="A15:I15"/>
    <mergeCell ref="A16:I16"/>
    <mergeCell ref="A6:I6"/>
    <mergeCell ref="A35:I35"/>
    <mergeCell ref="A38:I38"/>
    <mergeCell ref="A37:I37"/>
    <mergeCell ref="A14:I14"/>
    <mergeCell ref="A7:I7"/>
    <mergeCell ref="A13:I13"/>
    <mergeCell ref="A11:I11"/>
    <mergeCell ref="A34:I34"/>
    <mergeCell ref="A32:I32"/>
    <mergeCell ref="A59:I59"/>
    <mergeCell ref="A60:I60"/>
    <mergeCell ref="A53:I53"/>
    <mergeCell ref="A61:I61"/>
    <mergeCell ref="A50:I50"/>
    <mergeCell ref="A65:I65"/>
    <mergeCell ref="A63:I63"/>
    <mergeCell ref="A64:I64"/>
    <mergeCell ref="A51:I51"/>
    <mergeCell ref="J41:K41"/>
    <mergeCell ref="F83:N83"/>
    <mergeCell ref="J53:K53"/>
    <mergeCell ref="A54:I54"/>
    <mergeCell ref="A56:I56"/>
    <mergeCell ref="A47:I47"/>
    <mergeCell ref="J42:K42"/>
    <mergeCell ref="J43:K43"/>
    <mergeCell ref="J45:K45"/>
    <mergeCell ref="A66:I66"/>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9.xml><?xml version="1.0" encoding="utf-8"?>
<worksheet xmlns="http://schemas.openxmlformats.org/spreadsheetml/2006/main" xmlns:r="http://schemas.openxmlformats.org/officeDocument/2006/relationships">
  <sheetPr codeName="Hoja8"/>
  <dimension ref="A1:E20"/>
  <sheetViews>
    <sheetView showGridLines="0" zoomScalePageLayoutView="0" workbookViewId="0" topLeftCell="A3">
      <selection activeCell="C13" sqref="C13"/>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16384" width="11.421875" style="2" customWidth="1"/>
  </cols>
  <sheetData>
    <row r="1" spans="1:5" ht="15">
      <c r="A1" s="480" t="str">
        <f>+'Nota 2'!A1</f>
        <v>IMPORT CENTER S.A.</v>
      </c>
      <c r="B1" s="480"/>
      <c r="C1" s="480"/>
      <c r="E1" s="176" t="s">
        <v>129</v>
      </c>
    </row>
    <row r="2" spans="1:3" ht="15">
      <c r="A2" s="480"/>
      <c r="B2" s="480"/>
      <c r="C2" s="480"/>
    </row>
    <row r="7" spans="1:4" ht="12.75">
      <c r="A7" s="306" t="s">
        <v>413</v>
      </c>
      <c r="B7" s="306"/>
      <c r="C7" s="306"/>
      <c r="D7" s="306"/>
    </row>
    <row r="8" spans="1:2" ht="12.75">
      <c r="A8" s="425" t="s">
        <v>291</v>
      </c>
      <c r="B8" s="425"/>
    </row>
    <row r="9" ht="12.75">
      <c r="A9" s="4" t="s">
        <v>4</v>
      </c>
    </row>
    <row r="10" ht="12.75">
      <c r="A10" s="4"/>
    </row>
    <row r="11" spans="1:4" ht="12.75">
      <c r="A11" s="49" t="s">
        <v>5</v>
      </c>
      <c r="B11" s="50"/>
      <c r="C11" s="424">
        <f>_xlfn.IFERROR(IF(Indice!B6="","2XX2",YEAR(Indice!B6)),"2XX2")</f>
        <v>2022</v>
      </c>
      <c r="D11" s="424">
        <f>_xlfn.IFERROR(YEAR(Indice!B6-365),"2XX1")</f>
        <v>2021</v>
      </c>
    </row>
    <row r="12" spans="1:4" ht="12.75">
      <c r="A12" s="51"/>
      <c r="B12" s="50"/>
      <c r="C12" s="125"/>
      <c r="D12" s="125"/>
    </row>
    <row r="13" spans="1:4" ht="12.75">
      <c r="A13" s="53" t="s">
        <v>2</v>
      </c>
      <c r="B13" s="50"/>
      <c r="C13" s="54">
        <v>867920</v>
      </c>
      <c r="D13" s="54">
        <v>641255</v>
      </c>
    </row>
    <row r="14" spans="1:4" ht="12.75">
      <c r="A14" s="11" t="s">
        <v>6</v>
      </c>
      <c r="B14" s="52"/>
      <c r="C14" s="54"/>
      <c r="D14" s="54"/>
    </row>
    <row r="15" spans="1:4" ht="12.75">
      <c r="A15" s="53" t="s">
        <v>410</v>
      </c>
      <c r="B15" s="52"/>
      <c r="C15" s="54">
        <f>1116966-C16</f>
        <v>912299</v>
      </c>
      <c r="D15" s="54">
        <v>883445</v>
      </c>
    </row>
    <row r="16" spans="1:4" ht="12.75">
      <c r="A16" s="53" t="s">
        <v>409</v>
      </c>
      <c r="B16" s="52"/>
      <c r="C16" s="54">
        <f>202468+2199</f>
        <v>204667</v>
      </c>
      <c r="D16" s="54">
        <v>389030</v>
      </c>
    </row>
    <row r="17" spans="1:4" ht="12.75">
      <c r="A17" s="53" t="s">
        <v>412</v>
      </c>
      <c r="B17" s="52"/>
      <c r="C17" s="54"/>
      <c r="D17" s="54"/>
    </row>
    <row r="18" spans="1:4" ht="12.75">
      <c r="A18" s="53" t="s">
        <v>411</v>
      </c>
      <c r="B18" s="52"/>
      <c r="C18" s="54"/>
      <c r="D18" s="54"/>
    </row>
    <row r="19" spans="1:4" ht="12.75">
      <c r="A19" s="53" t="s">
        <v>66</v>
      </c>
      <c r="B19" s="52"/>
      <c r="C19" s="54"/>
      <c r="D19" s="54"/>
    </row>
    <row r="20" spans="1:4" ht="13.5" thickBot="1">
      <c r="A20" s="55" t="s">
        <v>3</v>
      </c>
      <c r="B20" s="56"/>
      <c r="C20" s="57">
        <f>SUM($C$13:C19)</f>
        <v>1984886</v>
      </c>
      <c r="D20" s="57">
        <f>SUM($D$13:D19)</f>
        <v>1913730</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GTE_CONTABLE</cp:lastModifiedBy>
  <cp:lastPrinted>2019-08-03T16:59:14Z</cp:lastPrinted>
  <dcterms:created xsi:type="dcterms:W3CDTF">2019-05-02T15:06:12Z</dcterms:created>
  <dcterms:modified xsi:type="dcterms:W3CDTF">2022-11-17T13:48:29Z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