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1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vbaProject.bin" ContentType="application/vnd.ms-office.vbaProject"/>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codeName="{564CA151-5A5B-428A-3C10-775976492406}"/>
  <workbookPr codeName="ThisWorkbook" defaultThemeVersion="166925"/>
  <mc:AlternateContent xmlns:mc="http://schemas.openxmlformats.org/markup-compatibility/2006">
    <mc:Choice Requires="x15">
      <x15ac:absPath xmlns:x15ac="http://schemas.microsoft.com/office/spreadsheetml/2010/11/ac" url="U:\PARA C.N.V\2021\DICIEMBRE\"/>
    </mc:Choice>
  </mc:AlternateContent>
  <xr:revisionPtr revIDLastSave="0" documentId="14_{A3BD170E-27D6-46DC-8E19-CACB83C0FBA9}" xr6:coauthVersionLast="45" xr6:coauthVersionMax="45" xr10:uidLastSave="{00000000-0000-0000-0000-000000000000}"/>
  <bookViews>
    <workbookView xWindow="-120" yWindow="-120" windowWidth="20730" windowHeight="11160" tabRatio="920" activeTab="46" xr2:uid="{00000000-000D-0000-FFFF-FFFF00000000}"/>
  </bookViews>
  <sheets>
    <sheet name="Caratula" sheetId="74" r:id="rId1"/>
    <sheet name="Indice" sheetId="16" r:id="rId2"/>
    <sheet name="BG" sheetId="25" r:id="rId3"/>
    <sheet name="EVPN" sheetId="24" r:id="rId4"/>
    <sheet name="ER" sheetId="19" r:id="rId5"/>
    <sheet name="EFE" sheetId="23" r:id="rId6"/>
    <sheet name="Nota1" sheetId="1" r:id="rId7"/>
    <sheet name="Nota 2" sheetId="2" r:id="rId8"/>
    <sheet name="Nota 3" sheetId="3" r:id="rId9"/>
    <sheet name="Nota 4" sheetId="38" r:id="rId10"/>
    <sheet name="Nota 5" sheetId="4" r:id="rId11"/>
    <sheet name="Nota 6" sheetId="5" r:id="rId12"/>
    <sheet name="Nota 7" sheetId="7" r:id="rId13"/>
    <sheet name="Nota 8" sheetId="67" r:id="rId14"/>
    <sheet name="Nota 9" sheetId="66" r:id="rId15"/>
    <sheet name="Nota 10" sheetId="75" r:id="rId16"/>
    <sheet name="cred" sheetId="9" state="hidden" r:id="rId17"/>
    <sheet name="Nota 11" sheetId="41" r:id="rId18"/>
    <sheet name="Nota 12" sheetId="42" r:id="rId19"/>
    <sheet name="Nota 13" sheetId="10" r:id="rId20"/>
    <sheet name="Nota 14" sheetId="8" r:id="rId21"/>
    <sheet name="Nota 15" sheetId="43" r:id="rId22"/>
    <sheet name="Nota 16" sheetId="44" r:id="rId23"/>
    <sheet name="Nota 17" sheetId="45" r:id="rId24"/>
    <sheet name="Nota 18" sheetId="46" r:id="rId25"/>
    <sheet name="Nota 19" sheetId="12" r:id="rId26"/>
    <sheet name="Nota 20" sheetId="14" r:id="rId27"/>
    <sheet name=" Nota 21" sheetId="47" r:id="rId28"/>
    <sheet name="Nota 22" sheetId="48" r:id="rId29"/>
    <sheet name="Nota 23" sheetId="77" r:id="rId30"/>
    <sheet name="Nota 24" sheetId="78" r:id="rId31"/>
    <sheet name="Nota 25" sheetId="50" r:id="rId32"/>
    <sheet name="Nota 26" sheetId="51" r:id="rId33"/>
    <sheet name="Nota 27" sheetId="65" r:id="rId34"/>
    <sheet name="Nota 28" sheetId="53" r:id="rId35"/>
    <sheet name="Nota 29" sheetId="52" r:id="rId36"/>
    <sheet name="Nota 30" sheetId="54" r:id="rId37"/>
    <sheet name="Nota 31" sheetId="55" r:id="rId38"/>
    <sheet name="Nota 32" sheetId="69" r:id="rId39"/>
    <sheet name="Nota 33" sheetId="56" r:id="rId40"/>
    <sheet name="Nota 34" sheetId="57" r:id="rId41"/>
    <sheet name="Nota 36" sheetId="60" r:id="rId42"/>
    <sheet name="Nota 35" sheetId="64" r:id="rId43"/>
    <sheet name="Nota 37" sheetId="62" r:id="rId44"/>
    <sheet name="Nota 38" sheetId="70" r:id="rId45"/>
    <sheet name="Nota 39" sheetId="63" r:id="rId46"/>
    <sheet name="Nota 40" sheetId="72" r:id="rId47"/>
  </sheets>
  <externalReferences>
    <externalReference r:id="rId48"/>
    <externalReference r:id="rId49"/>
    <externalReference r:id="rId50"/>
  </externalReferences>
  <definedNames>
    <definedName name="_xlnm._FilterDatabase" localSheetId="20" hidden="1">'Nota 14'!$A$8:$F$27</definedName>
    <definedName name="_xlnm._FilterDatabase" localSheetId="7" hidden="1">'Nota 2'!$A$11:$I$19</definedName>
    <definedName name="_Hlk15378568" localSheetId="7">'Nota 2'!$A$7</definedName>
    <definedName name="_xlnm.Print_Area" localSheetId="4">ER!$A$1:$D$53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6" i="72" l="1"/>
  <c r="B100" i="72"/>
  <c r="B96" i="72"/>
  <c r="B89" i="72"/>
  <c r="D16" i="67" l="1"/>
  <c r="D15" i="67"/>
  <c r="E21" i="67" l="1"/>
  <c r="B44" i="5" l="1"/>
  <c r="C30" i="67"/>
  <c r="C29" i="67"/>
  <c r="C28" i="67"/>
  <c r="C27" i="67"/>
  <c r="D27" i="67" s="1"/>
  <c r="F27" i="67" s="1"/>
  <c r="G8" i="4" l="1"/>
  <c r="C25" i="19"/>
  <c r="C31" i="52"/>
  <c r="D25" i="19" s="1"/>
  <c r="B31" i="52"/>
  <c r="Q39" i="24"/>
  <c r="B8" i="64" l="1"/>
  <c r="B7" i="64"/>
  <c r="B6" i="64"/>
  <c r="B9" i="64" l="1"/>
  <c r="C10" i="54"/>
  <c r="Y32" i="24" l="1"/>
  <c r="C9" i="4" l="1"/>
  <c r="B10" i="54"/>
  <c r="C23" i="19" s="1"/>
  <c r="E27" i="67"/>
  <c r="E44" i="25"/>
  <c r="B11" i="64" l="1"/>
  <c r="C11" i="64"/>
  <c r="G31" i="52"/>
  <c r="F10" i="52"/>
  <c r="F13" i="53"/>
  <c r="F19" i="53" s="1"/>
  <c r="B22" i="51"/>
  <c r="B8" i="14"/>
  <c r="B64" i="75"/>
  <c r="D46" i="66"/>
  <c r="C46" i="66"/>
  <c r="C47" i="66"/>
  <c r="I46" i="66"/>
  <c r="B10" i="7"/>
  <c r="G16" i="4"/>
  <c r="C28" i="4"/>
  <c r="C48" i="4"/>
  <c r="C40" i="4"/>
  <c r="C39" i="24"/>
  <c r="D26" i="19" l="1"/>
  <c r="F29" i="52"/>
  <c r="F31" i="52" s="1"/>
  <c r="C26" i="19" s="1"/>
  <c r="B22" i="53"/>
  <c r="E14" i="65"/>
  <c r="F14" i="65"/>
  <c r="F33" i="65" s="1"/>
  <c r="F34" i="65" s="1"/>
  <c r="C15" i="65"/>
  <c r="C11" i="65"/>
  <c r="C23" i="65"/>
  <c r="C22" i="65"/>
  <c r="C21" i="65"/>
  <c r="C14" i="65"/>
  <c r="C17" i="65"/>
  <c r="C10" i="65"/>
  <c r="C12" i="65"/>
  <c r="C18" i="65"/>
  <c r="C30" i="65"/>
  <c r="C29" i="65"/>
  <c r="C20" i="65"/>
  <c r="B18" i="65"/>
  <c r="B14" i="65"/>
  <c r="B15" i="65"/>
  <c r="B11" i="65"/>
  <c r="B17" i="65"/>
  <c r="B23" i="65"/>
  <c r="B22" i="65"/>
  <c r="B21" i="65"/>
  <c r="B25" i="65"/>
  <c r="B10" i="65"/>
  <c r="B12" i="65"/>
  <c r="B33" i="65" l="1"/>
  <c r="E33" i="65"/>
  <c r="E34" i="65" s="1"/>
  <c r="C33" i="65"/>
  <c r="C34" i="65" s="1"/>
  <c r="B18" i="51"/>
  <c r="B10" i="50" l="1"/>
  <c r="B7" i="47"/>
  <c r="B9" i="47" s="1"/>
  <c r="K46" i="66" l="1"/>
  <c r="B46" i="66" l="1"/>
  <c r="H47" i="66"/>
  <c r="H34" i="66"/>
  <c r="H33" i="66"/>
  <c r="H32" i="66"/>
  <c r="H31" i="66"/>
  <c r="H30" i="66"/>
  <c r="C30" i="66"/>
  <c r="B29" i="66"/>
  <c r="C29" i="66"/>
  <c r="H29" i="66"/>
  <c r="K29" i="66"/>
  <c r="H28" i="66" l="1"/>
  <c r="C28" i="66"/>
  <c r="H27" i="66"/>
  <c r="D27" i="66"/>
  <c r="H23" i="66"/>
  <c r="H22" i="66"/>
  <c r="D21" i="66"/>
  <c r="C21" i="66"/>
  <c r="C20" i="66"/>
  <c r="B35" i="10"/>
  <c r="H20" i="66" l="1"/>
  <c r="H19" i="66"/>
  <c r="H18" i="66"/>
  <c r="C19" i="66"/>
  <c r="H17" i="66"/>
  <c r="C17" i="66"/>
  <c r="D17" i="66"/>
  <c r="I16" i="66"/>
  <c r="H16" i="66"/>
  <c r="D16" i="66"/>
  <c r="C16" i="66"/>
  <c r="H15" i="66"/>
  <c r="C15" i="66"/>
  <c r="B34" i="7"/>
  <c r="B33" i="7"/>
  <c r="B17" i="7"/>
  <c r="B16" i="7"/>
  <c r="B13" i="7"/>
  <c r="B12" i="7"/>
  <c r="F24" i="25"/>
  <c r="G14" i="5"/>
  <c r="F14" i="5"/>
  <c r="E24" i="25" s="1"/>
  <c r="C17" i="4"/>
  <c r="C13" i="4"/>
  <c r="C10" i="4"/>
  <c r="C46" i="4"/>
  <c r="C29" i="4" s="1"/>
  <c r="C49" i="4" l="1"/>
  <c r="G11" i="4"/>
  <c r="G9" i="4"/>
  <c r="G14" i="4" s="1"/>
  <c r="G18" i="4" s="1"/>
  <c r="D17" i="3"/>
  <c r="C17" i="3"/>
  <c r="C19" i="3" s="1"/>
  <c r="B145" i="72"/>
  <c r="G19" i="53" l="1"/>
  <c r="D16" i="19" l="1"/>
  <c r="D30" i="67" l="1"/>
  <c r="E30" i="67" s="1"/>
  <c r="D29" i="67"/>
  <c r="F30" i="67" l="1"/>
  <c r="F29" i="67"/>
  <c r="E29" i="67"/>
  <c r="D31" i="67"/>
  <c r="D32" i="67"/>
  <c r="A1" i="67"/>
  <c r="B30" i="23" l="1"/>
  <c r="C30" i="23"/>
  <c r="E56" i="25" l="1"/>
  <c r="C19" i="4" l="1"/>
  <c r="D52" i="4" s="1"/>
  <c r="B45" i="46"/>
  <c r="B24" i="46"/>
  <c r="B20" i="44" l="1"/>
  <c r="E15" i="8"/>
  <c r="B66" i="75"/>
  <c r="B47" i="75"/>
  <c r="B42" i="75"/>
  <c r="C32" i="66"/>
  <c r="K27" i="66"/>
  <c r="C27" i="66"/>
  <c r="C18" i="66"/>
  <c r="F15" i="66"/>
  <c r="C34" i="67"/>
  <c r="D34" i="67" s="1"/>
  <c r="F34" i="67" s="1"/>
  <c r="C33" i="67"/>
  <c r="D33" i="67" l="1"/>
  <c r="F33" i="67" s="1"/>
  <c r="C35" i="67"/>
  <c r="B10" i="67" s="1"/>
  <c r="C12" i="3" l="1"/>
  <c r="B73" i="53" l="1"/>
  <c r="C16" i="19"/>
  <c r="B39" i="53"/>
  <c r="D21" i="65" l="1"/>
  <c r="B34" i="65" l="1"/>
  <c r="C37" i="75"/>
  <c r="C78" i="53" l="1"/>
  <c r="C73" i="53"/>
  <c r="C39" i="53" l="1"/>
  <c r="C18" i="51" l="1"/>
  <c r="K16" i="66" l="1"/>
  <c r="T31" i="24" l="1"/>
  <c r="E52" i="25" l="1"/>
  <c r="B20" i="23" l="1"/>
  <c r="F14" i="52" l="1"/>
  <c r="B46" i="53"/>
  <c r="B47" i="53" s="1"/>
  <c r="B15" i="12" l="1"/>
  <c r="E27" i="8"/>
  <c r="C35" i="10"/>
  <c r="C34" i="66"/>
  <c r="D19" i="66"/>
  <c r="F16" i="66"/>
  <c r="K15" i="66"/>
  <c r="B88" i="5"/>
  <c r="C44" i="5"/>
  <c r="C11" i="3"/>
  <c r="L15" i="66" l="1"/>
  <c r="C145" i="72"/>
  <c r="C46" i="53"/>
  <c r="C79" i="53"/>
  <c r="C47" i="53" l="1"/>
  <c r="O39" i="24" l="1"/>
  <c r="K39" i="24"/>
  <c r="I39" i="24"/>
  <c r="G39" i="24"/>
  <c r="E39" i="24"/>
  <c r="T39" i="24"/>
  <c r="V16" i="24"/>
  <c r="Q16" i="24"/>
  <c r="O16" i="24"/>
  <c r="O27" i="24" s="1"/>
  <c r="M16" i="24"/>
  <c r="M27" i="24" s="1"/>
  <c r="K16" i="24"/>
  <c r="K27" i="24" s="1"/>
  <c r="I16" i="24"/>
  <c r="I27" i="24" s="1"/>
  <c r="G16" i="24"/>
  <c r="G27" i="24" s="1"/>
  <c r="E16" i="24"/>
  <c r="E27" i="24" s="1"/>
  <c r="C16" i="24"/>
  <c r="C27" i="24" s="1"/>
  <c r="F58" i="25" l="1"/>
  <c r="F56" i="25"/>
  <c r="A11" i="62" l="1"/>
  <c r="A6" i="62"/>
  <c r="A14" i="60"/>
  <c r="A7" i="60"/>
  <c r="C7" i="77" l="1"/>
  <c r="B7" i="77"/>
  <c r="A1" i="78"/>
  <c r="F55" i="25" l="1"/>
  <c r="E55" i="25"/>
  <c r="C14" i="77"/>
  <c r="B14" i="77"/>
  <c r="A1" i="77"/>
  <c r="M48" i="66"/>
  <c r="M49" i="66" s="1"/>
  <c r="D10" i="19" l="1"/>
  <c r="F40" i="66"/>
  <c r="B48" i="75"/>
  <c r="B15" i="14"/>
  <c r="A1" i="48"/>
  <c r="F52" i="25"/>
  <c r="C15" i="45"/>
  <c r="B15" i="45"/>
  <c r="L37" i="66" l="1"/>
  <c r="L36" i="66"/>
  <c r="M35" i="66"/>
  <c r="D19" i="4"/>
  <c r="F12" i="25" s="1"/>
  <c r="E15" i="25" l="1"/>
  <c r="C88" i="5"/>
  <c r="F15" i="25" s="1"/>
  <c r="C68" i="5"/>
  <c r="B68" i="5"/>
  <c r="D49" i="4"/>
  <c r="F20" i="25" s="1"/>
  <c r="E12" i="25" l="1"/>
  <c r="E20" i="25" l="1"/>
  <c r="A1" i="56"/>
  <c r="G14" i="52" l="1"/>
  <c r="D20" i="19" s="1"/>
  <c r="B15" i="52"/>
  <c r="A1" i="19"/>
  <c r="C20" i="19" l="1"/>
  <c r="B20" i="50"/>
  <c r="C20" i="50" l="1"/>
  <c r="D9" i="19" s="1"/>
  <c r="A1" i="50"/>
  <c r="B54" i="75"/>
  <c r="F37" i="25"/>
  <c r="B15" i="44"/>
  <c r="B21" i="44" s="1"/>
  <c r="C15" i="44"/>
  <c r="K27" i="8"/>
  <c r="K22" i="8"/>
  <c r="K15" i="8"/>
  <c r="K28" i="8" l="1"/>
  <c r="F35" i="25" s="1"/>
  <c r="F46" i="66"/>
  <c r="B41" i="66"/>
  <c r="B33" i="66"/>
  <c r="D32" i="66"/>
  <c r="B32" i="66"/>
  <c r="D31" i="66"/>
  <c r="B31" i="66"/>
  <c r="C31" i="66"/>
  <c r="B30" i="66"/>
  <c r="B27" i="66"/>
  <c r="F23" i="66" l="1"/>
  <c r="C13" i="7"/>
  <c r="C12" i="7"/>
  <c r="C20" i="7" s="1"/>
  <c r="B26" i="7"/>
  <c r="B20" i="38" l="1"/>
  <c r="C20" i="38"/>
  <c r="F11" i="25" s="1"/>
  <c r="D12" i="3"/>
  <c r="D11" i="3"/>
  <c r="C15" i="52" l="1"/>
  <c r="D23" i="19" l="1"/>
  <c r="M29" i="24" l="1"/>
  <c r="M39" i="24" l="1"/>
  <c r="V30" i="24"/>
  <c r="V39" i="24" l="1"/>
  <c r="Y30" i="24"/>
  <c r="C56" i="75"/>
  <c r="C48" i="75"/>
  <c r="C42" i="75"/>
  <c r="B37" i="75"/>
  <c r="C36" i="75"/>
  <c r="B36" i="75"/>
  <c r="C35" i="75"/>
  <c r="B35" i="75"/>
  <c r="C34" i="75"/>
  <c r="B34" i="75"/>
  <c r="C33" i="75"/>
  <c r="B33" i="75"/>
  <c r="C32" i="75"/>
  <c r="B32" i="75"/>
  <c r="C31" i="75"/>
  <c r="B31" i="75"/>
  <c r="C30" i="75"/>
  <c r="B30" i="75"/>
  <c r="C29" i="75"/>
  <c r="B29" i="75"/>
  <c r="C27" i="75"/>
  <c r="C25" i="75"/>
  <c r="B25" i="75"/>
  <c r="C23" i="75"/>
  <c r="B23" i="75"/>
  <c r="C20" i="75"/>
  <c r="C17" i="75"/>
  <c r="B70" i="75" l="1"/>
  <c r="C70" i="75"/>
  <c r="A1" i="8"/>
  <c r="A1" i="10"/>
  <c r="A1" i="75"/>
  <c r="A1" i="5"/>
  <c r="A1" i="4"/>
  <c r="A1" i="38"/>
  <c r="A1" i="3"/>
  <c r="E45" i="25"/>
  <c r="C33" i="12"/>
  <c r="F44" i="25" s="1"/>
  <c r="F45" i="25" s="1"/>
  <c r="B33" i="12"/>
  <c r="A1" i="7" l="1"/>
  <c r="A1" i="24"/>
  <c r="C1" i="25"/>
  <c r="A1" i="41"/>
  <c r="E49" i="25"/>
  <c r="B15" i="47" l="1"/>
  <c r="E51" i="25" l="1"/>
  <c r="B48" i="66"/>
  <c r="K18" i="66"/>
  <c r="F19" i="66" l="1"/>
  <c r="D28" i="67"/>
  <c r="E28" i="67" s="1"/>
  <c r="C26" i="7"/>
  <c r="F28" i="67" l="1"/>
  <c r="F35" i="67" s="1"/>
  <c r="D32" i="65"/>
  <c r="D30" i="65"/>
  <c r="D29" i="65"/>
  <c r="D27" i="65"/>
  <c r="D33" i="65" l="1"/>
  <c r="F27" i="25" l="1"/>
  <c r="E27" i="25" l="1"/>
  <c r="D24" i="19" l="1"/>
  <c r="C35" i="46" l="1"/>
  <c r="Q20" i="24"/>
  <c r="Q27" i="24" s="1"/>
  <c r="C20" i="23" l="1"/>
  <c r="B9" i="69" l="1"/>
  <c r="C31" i="19" s="1"/>
  <c r="C13" i="50" l="1"/>
  <c r="D8" i="19" s="1"/>
  <c r="D11" i="19" s="1"/>
  <c r="B13" i="50"/>
  <c r="E50" i="25" l="1"/>
  <c r="B35" i="46"/>
  <c r="B36" i="46" s="1"/>
  <c r="C24" i="46"/>
  <c r="E57" i="25" l="1"/>
  <c r="E59" i="25" s="1"/>
  <c r="K32" i="66"/>
  <c r="I20" i="66" l="1"/>
  <c r="B35" i="7"/>
  <c r="B36" i="7" s="1"/>
  <c r="E23" i="25" s="1"/>
  <c r="B53" i="5"/>
  <c r="B54" i="5" s="1"/>
  <c r="C53" i="5"/>
  <c r="C54" i="5" s="1"/>
  <c r="F13" i="25" s="1"/>
  <c r="E13" i="25" l="1"/>
  <c r="E11" i="25"/>
  <c r="C9" i="69" l="1"/>
  <c r="Y14" i="24" l="1"/>
  <c r="B38" i="23" l="1"/>
  <c r="B40" i="23" s="1"/>
  <c r="C38" i="23" l="1"/>
  <c r="C40" i="23" s="1"/>
  <c r="C43" i="23" l="1"/>
  <c r="C10" i="19"/>
  <c r="C19" i="19" l="1"/>
  <c r="C21" i="19" s="1"/>
  <c r="D19" i="19"/>
  <c r="A1" i="52"/>
  <c r="B43" i="23" l="1"/>
  <c r="D39" i="24"/>
  <c r="Y37" i="24"/>
  <c r="Y34" i="24"/>
  <c r="H27" i="24"/>
  <c r="H29" i="24" s="1"/>
  <c r="Y25" i="24"/>
  <c r="Y24" i="24"/>
  <c r="Y22" i="24"/>
  <c r="Y21" i="24"/>
  <c r="Y20" i="24"/>
  <c r="V19" i="24"/>
  <c r="V27" i="24" s="1"/>
  <c r="Y18" i="24"/>
  <c r="T17" i="24"/>
  <c r="W16" i="24"/>
  <c r="W27" i="24" s="1"/>
  <c r="T16" i="24"/>
  <c r="Y19" i="24" l="1"/>
  <c r="Y17" i="24"/>
  <c r="T27" i="24"/>
  <c r="Y16" i="24"/>
  <c r="W29" i="24"/>
  <c r="Y29" i="24" s="1"/>
  <c r="Y39" i="24" s="1"/>
  <c r="W39" i="24"/>
  <c r="Y27" i="24" l="1"/>
  <c r="E37" i="25"/>
  <c r="D28" i="8" l="1"/>
  <c r="J22" i="8"/>
  <c r="E22" i="8"/>
  <c r="E28" i="8" s="1"/>
  <c r="J17" i="8"/>
  <c r="D17" i="8"/>
  <c r="J16" i="8"/>
  <c r="D16" i="8"/>
  <c r="J15" i="8"/>
  <c r="D15" i="8"/>
  <c r="J14" i="8"/>
  <c r="D14" i="8"/>
  <c r="J13" i="8"/>
  <c r="D13" i="8"/>
  <c r="J12" i="8"/>
  <c r="D12" i="8"/>
  <c r="C39" i="10"/>
  <c r="C41" i="10" s="1"/>
  <c r="F34" i="25" s="1"/>
  <c r="B39" i="10"/>
  <c r="B41" i="10" s="1"/>
  <c r="C30" i="41"/>
  <c r="B25" i="41"/>
  <c r="B30" i="41" s="1"/>
  <c r="C22" i="41"/>
  <c r="B11" i="41"/>
  <c r="B10" i="41"/>
  <c r="I48" i="66"/>
  <c r="H48" i="66"/>
  <c r="G48" i="66"/>
  <c r="K47" i="66"/>
  <c r="F47" i="66"/>
  <c r="D48" i="66"/>
  <c r="K44" i="66"/>
  <c r="J44" i="66"/>
  <c r="I44" i="66"/>
  <c r="H44" i="66"/>
  <c r="G44" i="66"/>
  <c r="E44" i="66"/>
  <c r="D44" i="66"/>
  <c r="C44" i="66"/>
  <c r="B44" i="66"/>
  <c r="B49" i="66" s="1"/>
  <c r="F43" i="66"/>
  <c r="L43" i="66" s="1"/>
  <c r="L44" i="66" s="1"/>
  <c r="I41" i="66"/>
  <c r="H41" i="66"/>
  <c r="G41" i="66"/>
  <c r="D41" i="66"/>
  <c r="C41" i="66"/>
  <c r="K40" i="66"/>
  <c r="F41" i="66"/>
  <c r="I35" i="66"/>
  <c r="H35" i="66"/>
  <c r="G35" i="66"/>
  <c r="K34" i="66"/>
  <c r="F34" i="66"/>
  <c r="K33" i="66"/>
  <c r="K31" i="66"/>
  <c r="F31" i="66"/>
  <c r="K30" i="66"/>
  <c r="F29" i="66"/>
  <c r="K28" i="66"/>
  <c r="D35" i="66"/>
  <c r="M24" i="66"/>
  <c r="M50" i="66" s="1"/>
  <c r="I24" i="66"/>
  <c r="H24" i="66"/>
  <c r="G24" i="66"/>
  <c r="D24" i="66"/>
  <c r="B24" i="66"/>
  <c r="K23" i="66"/>
  <c r="K22" i="66"/>
  <c r="F22" i="66"/>
  <c r="K21" i="66"/>
  <c r="F21" i="66"/>
  <c r="K20" i="66"/>
  <c r="F20" i="66"/>
  <c r="K19" i="66"/>
  <c r="F18" i="66"/>
  <c r="L18" i="66" s="1"/>
  <c r="K17" i="66"/>
  <c r="F17" i="66"/>
  <c r="F21" i="67"/>
  <c r="E32" i="67"/>
  <c r="E31" i="67"/>
  <c r="D13" i="67"/>
  <c r="C35" i="7"/>
  <c r="C75" i="5"/>
  <c r="B75" i="5"/>
  <c r="D19" i="3"/>
  <c r="D13" i="3"/>
  <c r="C13" i="3"/>
  <c r="F50" i="25"/>
  <c r="F49" i="25"/>
  <c r="F26" i="25"/>
  <c r="E26" i="25"/>
  <c r="C36" i="7" l="1"/>
  <c r="F23" i="25"/>
  <c r="K41" i="66"/>
  <c r="L40" i="66"/>
  <c r="C20" i="3"/>
  <c r="E10" i="25" s="1"/>
  <c r="E35" i="67"/>
  <c r="L47" i="66"/>
  <c r="E21" i="25"/>
  <c r="L31" i="66"/>
  <c r="E34" i="25"/>
  <c r="E35" i="25"/>
  <c r="L22" i="66"/>
  <c r="L21" i="66"/>
  <c r="F27" i="66"/>
  <c r="L27" i="66" s="1"/>
  <c r="C31" i="41"/>
  <c r="F25" i="25" s="1"/>
  <c r="B22" i="41"/>
  <c r="B31" i="41" s="1"/>
  <c r="K48" i="66"/>
  <c r="K49" i="66" s="1"/>
  <c r="L19" i="66"/>
  <c r="L29" i="66"/>
  <c r="D49" i="66"/>
  <c r="D50" i="66" s="1"/>
  <c r="L20" i="66"/>
  <c r="F30" i="66"/>
  <c r="L30" i="66" s="1"/>
  <c r="F33" i="66"/>
  <c r="L33" i="66" s="1"/>
  <c r="C27" i="7"/>
  <c r="F14" i="25" s="1"/>
  <c r="L17" i="66"/>
  <c r="C24" i="66"/>
  <c r="K35" i="66"/>
  <c r="L34" i="66"/>
  <c r="G49" i="66"/>
  <c r="G50" i="66" s="1"/>
  <c r="C48" i="66"/>
  <c r="C49" i="66" s="1"/>
  <c r="D20" i="3"/>
  <c r="F10" i="25" s="1"/>
  <c r="B20" i="7"/>
  <c r="B27" i="7" s="1"/>
  <c r="C35" i="66"/>
  <c r="H49" i="66"/>
  <c r="H50" i="66" s="1"/>
  <c r="L16" i="66"/>
  <c r="F32" i="66"/>
  <c r="L32" i="66" s="1"/>
  <c r="I49" i="66"/>
  <c r="I50" i="66" s="1"/>
  <c r="K24" i="66"/>
  <c r="L23" i="66"/>
  <c r="F24" i="66"/>
  <c r="B35" i="66"/>
  <c r="L41" i="66"/>
  <c r="L49" i="66" s="1"/>
  <c r="L46" i="66"/>
  <c r="L48" i="66" s="1"/>
  <c r="F28" i="66"/>
  <c r="L28" i="66" s="1"/>
  <c r="F44" i="66"/>
  <c r="F16" i="25" l="1"/>
  <c r="F21" i="25"/>
  <c r="E14" i="25"/>
  <c r="E16" i="25" s="1"/>
  <c r="L35" i="66"/>
  <c r="F22" i="25"/>
  <c r="C50" i="66"/>
  <c r="B50" i="66"/>
  <c r="K50" i="66"/>
  <c r="L24" i="66"/>
  <c r="L50" i="66" s="1"/>
  <c r="F48" i="66"/>
  <c r="F49" i="66" s="1"/>
  <c r="F35" i="66"/>
  <c r="B78" i="53"/>
  <c r="C24" i="19" l="1"/>
  <c r="B79" i="53"/>
  <c r="E22" i="25"/>
  <c r="F28" i="25"/>
  <c r="F30" i="25" s="1"/>
  <c r="E25" i="25"/>
  <c r="F50" i="66"/>
  <c r="A1" i="2"/>
  <c r="E28" i="25" l="1"/>
  <c r="D24" i="65"/>
  <c r="G24" i="65"/>
  <c r="C15" i="14"/>
  <c r="C7" i="47" l="1"/>
  <c r="E30" i="25" l="1"/>
  <c r="C8" i="14"/>
  <c r="C9" i="47"/>
  <c r="C31" i="47"/>
  <c r="B31" i="47"/>
  <c r="B38" i="47" s="1"/>
  <c r="C15" i="47"/>
  <c r="F51" i="25" s="1"/>
  <c r="F57" i="25" s="1"/>
  <c r="F59" i="25" s="1"/>
  <c r="C38" i="47" l="1"/>
  <c r="D15" i="19" l="1"/>
  <c r="D14" i="19" l="1"/>
  <c r="G11" i="65"/>
  <c r="G23" i="65"/>
  <c r="D13" i="19" l="1"/>
  <c r="D17" i="19" s="1"/>
  <c r="G33" i="65"/>
  <c r="D23" i="65"/>
  <c r="D11" i="65" l="1"/>
  <c r="D10" i="65"/>
  <c r="D13" i="65" l="1"/>
  <c r="D14" i="65"/>
  <c r="C13" i="19" l="1"/>
  <c r="C14" i="19"/>
  <c r="C9" i="19"/>
  <c r="C8" i="19" l="1"/>
  <c r="C11" i="19" s="1"/>
  <c r="C14" i="9"/>
  <c r="B14" i="9"/>
  <c r="A1" i="9"/>
  <c r="A1" i="44"/>
  <c r="A1" i="45"/>
  <c r="C25" i="12"/>
  <c r="C20" i="12"/>
  <c r="C15" i="12"/>
  <c r="B20" i="12"/>
  <c r="B25" i="12"/>
  <c r="B49" i="46"/>
  <c r="C49" i="46"/>
  <c r="C45" i="46"/>
  <c r="C36" i="46"/>
  <c r="B50" i="46" l="1"/>
  <c r="B51" i="46" s="1"/>
  <c r="B26" i="12"/>
  <c r="E39" i="25" s="1"/>
  <c r="C50" i="46"/>
  <c r="C51" i="46" s="1"/>
  <c r="F38" i="25" s="1"/>
  <c r="C26" i="12"/>
  <c r="F39" i="25" s="1"/>
  <c r="C20" i="44"/>
  <c r="E36" i="25" l="1"/>
  <c r="E38" i="25"/>
  <c r="C21" i="44"/>
  <c r="F36" i="25" s="1"/>
  <c r="F40" i="25" s="1"/>
  <c r="F47" i="25" s="1"/>
  <c r="E40" i="25" l="1"/>
  <c r="A1" i="63"/>
  <c r="A1" i="70"/>
  <c r="A1" i="62"/>
  <c r="A1" i="60"/>
  <c r="A1" i="64"/>
  <c r="A1" i="57"/>
  <c r="A1" i="69"/>
  <c r="A1" i="55"/>
  <c r="A1" i="54"/>
  <c r="A1" i="53"/>
  <c r="A1" i="65"/>
  <c r="A1" i="51"/>
  <c r="A1" i="47"/>
  <c r="A1" i="14"/>
  <c r="A1" i="12"/>
  <c r="A1" i="46"/>
  <c r="A1" i="43"/>
  <c r="A1" i="42"/>
  <c r="A1" i="23"/>
  <c r="E47" i="25" l="1"/>
  <c r="E60" i="25" s="1"/>
  <c r="C10" i="57"/>
  <c r="D35" i="19" s="1"/>
  <c r="B10" i="57"/>
  <c r="C35" i="19" s="1"/>
  <c r="B13" i="56"/>
  <c r="C13" i="56"/>
  <c r="D31" i="19"/>
  <c r="G32" i="65"/>
  <c r="G31" i="65"/>
  <c r="G30" i="65"/>
  <c r="G29" i="65"/>
  <c r="G28" i="65"/>
  <c r="G27" i="65"/>
  <c r="G26" i="65"/>
  <c r="G25" i="65"/>
  <c r="G22" i="65"/>
  <c r="G21" i="65"/>
  <c r="G20" i="65"/>
  <c r="G19" i="65"/>
  <c r="G18" i="65"/>
  <c r="G17" i="65"/>
  <c r="G16" i="65"/>
  <c r="G15" i="65"/>
  <c r="G14" i="65"/>
  <c r="G13" i="65"/>
  <c r="G12" i="65"/>
  <c r="G10" i="65"/>
  <c r="D15" i="65"/>
  <c r="D16" i="65"/>
  <c r="D17" i="65"/>
  <c r="D18" i="65"/>
  <c r="D19" i="65"/>
  <c r="D20" i="65"/>
  <c r="D22" i="65"/>
  <c r="D25" i="65"/>
  <c r="D26" i="65"/>
  <c r="D28" i="65"/>
  <c r="D31" i="65"/>
  <c r="D12" i="65"/>
  <c r="D34" i="65" l="1"/>
  <c r="G34" i="65"/>
  <c r="C22" i="47"/>
  <c r="B22" i="47"/>
  <c r="C12" i="43"/>
  <c r="B12" i="43"/>
  <c r="C11" i="42" l="1"/>
  <c r="B11" i="42"/>
  <c r="F60" i="25" l="1"/>
  <c r="D21" i="19" l="1"/>
  <c r="D28" i="19" s="1"/>
  <c r="C15" i="19" l="1"/>
  <c r="C17" i="19" s="1"/>
  <c r="C28" i="19" s="1"/>
  <c r="C33" i="19" s="1"/>
  <c r="C37" i="19" s="1"/>
  <c r="C38" i="19" l="1"/>
  <c r="D33" i="19"/>
  <c r="D37" i="19" s="1"/>
  <c r="D38"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Valdez</author>
  </authors>
  <commentList>
    <comment ref="A36" authorId="0" shapeId="0" xr:uid="{00000000-0006-0000-2000-000001000000}">
      <text>
        <r>
          <rPr>
            <b/>
            <sz val="9"/>
            <color indexed="81"/>
            <rFont val="Tahoma"/>
            <family val="2"/>
          </rPr>
          <t>Laura Valdez:</t>
        </r>
        <r>
          <rPr>
            <sz val="9"/>
            <color indexed="81"/>
            <rFont val="Tahoma"/>
            <family val="2"/>
          </rPr>
          <t xml:space="preserve">
RECLASIFICACION DE VACAS</t>
        </r>
      </text>
    </comment>
  </commentList>
</comments>
</file>

<file path=xl/sharedStrings.xml><?xml version="1.0" encoding="utf-8"?>
<sst xmlns="http://schemas.openxmlformats.org/spreadsheetml/2006/main" count="1526" uniqueCount="1086">
  <si>
    <t>NOTA 2 - RESUMEN DE LAS PRINCIPALES POLÍTICAS CONTABLES</t>
  </si>
  <si>
    <t>Total</t>
  </si>
  <si>
    <t>La composición de la cuenta es la siguiente:</t>
  </si>
  <si>
    <t>Previsiones</t>
  </si>
  <si>
    <t>Normal</t>
  </si>
  <si>
    <t>En Gestión de Cobro</t>
  </si>
  <si>
    <t>En Gestión de Cobro Judicial</t>
  </si>
  <si>
    <t>B. Total Cartera Vencida</t>
  </si>
  <si>
    <t>Observaciones</t>
  </si>
  <si>
    <t xml:space="preserve">Total </t>
  </si>
  <si>
    <t>Los bienes de cambio están compuestos de la siguiente manera:</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</si>
  <si>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</si>
  <si>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</si>
  <si>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</si>
  <si>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</si>
  <si>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</si>
  <si>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</si>
  <si>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</si>
  <si>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</si>
  <si>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</si>
  <si>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</si>
  <si>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</si>
  <si>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</si>
  <si>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</si>
  <si>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</si>
  <si>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</si>
  <si>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</si>
  <si>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</si>
  <si>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</si>
  <si>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</si>
  <si>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d.   Efectivo y equivalentes de efectivo</t>
  </si>
  <si>
    <t>Reserva de revalúo</t>
  </si>
  <si>
    <t>Resultados acumulados</t>
  </si>
  <si>
    <t xml:space="preserve"> </t>
  </si>
  <si>
    <t>Impuesto a la renta</t>
  </si>
  <si>
    <t>Pagos efectuados a proveedores y empleados</t>
  </si>
  <si>
    <t>Flujo neto de efectivo de actividades operativas</t>
  </si>
  <si>
    <t>Flujo neto de efectivo de actividades de inversión</t>
  </si>
  <si>
    <t>Efectivo al final del periodo</t>
  </si>
  <si>
    <t>EVPN</t>
  </si>
  <si>
    <t xml:space="preserve">Estado de Resultados </t>
  </si>
  <si>
    <t>Estado de Evolución del Patrimonio Neto</t>
  </si>
  <si>
    <t>Subtotal</t>
  </si>
  <si>
    <t>Ventas</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</si>
  <si>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</si>
  <si>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</si>
  <si>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</si>
  <si>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</si>
  <si>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</si>
  <si>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</si>
  <si>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</si>
  <si>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</si>
  <si>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</si>
  <si>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</si>
  <si>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</si>
  <si>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</si>
  <si>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</si>
  <si>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</si>
  <si>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</si>
  <si>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Interes Minoritario</t>
  </si>
  <si>
    <t>Integración del capital social</t>
  </si>
  <si>
    <t>Revalúo de activos fijos</t>
  </si>
  <si>
    <t>Revalúo técnico</t>
  </si>
  <si>
    <t>Resultado del año</t>
  </si>
  <si>
    <t>Desafectación de la reserva de revalúo técnico</t>
  </si>
  <si>
    <t>b.   Uso de estimaciones contables</t>
  </si>
  <si>
    <t>c.   Moneda extranjera</t>
  </si>
  <si>
    <t>Indicar moneda</t>
  </si>
  <si>
    <t>Inversiones temporales</t>
  </si>
  <si>
    <t>Cuentas por pagar comerciales</t>
  </si>
  <si>
    <t>Préstamos a corto plazo</t>
  </si>
  <si>
    <t>Bonos bursátiles</t>
  </si>
  <si>
    <t>Vencimiento</t>
  </si>
  <si>
    <t>Tipo de garantía</t>
  </si>
  <si>
    <t>Tipo de Garantía</t>
  </si>
  <si>
    <t>Activos intangibles</t>
  </si>
  <si>
    <t>Inversiones</t>
  </si>
  <si>
    <t>Total general</t>
  </si>
  <si>
    <t>Goodwill</t>
  </si>
  <si>
    <t>BG</t>
  </si>
  <si>
    <t>Porción corriente de la deuda a largo plazo</t>
  </si>
  <si>
    <t>Préstamos bancarios</t>
  </si>
  <si>
    <t>Intereses bancarios a pagar</t>
  </si>
  <si>
    <t>Intereses bursatiles a pagar</t>
  </si>
  <si>
    <t>ER</t>
  </si>
  <si>
    <t>c Reservas estatutarias</t>
  </si>
  <si>
    <t>d Reservas facultativas</t>
  </si>
  <si>
    <t>Resultado de ejercicios anteriores</t>
  </si>
  <si>
    <t>(Detallar cuenta)</t>
  </si>
  <si>
    <t>Costo de ventas</t>
  </si>
  <si>
    <t>Resultado operativo</t>
  </si>
  <si>
    <t>Total ingresos financieros</t>
  </si>
  <si>
    <t>Gastos Financieros netos</t>
  </si>
  <si>
    <t>Resultado de inversiones en asociadas</t>
  </si>
  <si>
    <t>Resultado participación minoritaria</t>
  </si>
  <si>
    <t>f. Previsión para cuentas de dudoso cobro/incobrables</t>
  </si>
  <si>
    <t>e.   Inversiones</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</si>
  <si>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</si>
  <si>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Las previsiones para desvalorización y deterioro de inventarios han sido estimadas tomando como base la valorización del stock deteriorado existente al cierre del ejercicio.</t>
  </si>
  <si>
    <t>El costo de las mejoras que extienden la vida útil de los bienes o aumentan su capacidad productiva es imputado a las cuentas respectivas del activo. Los gastos de mantenimiento son cargados a resultados.</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</si>
  <si>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</si>
  <si>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</si>
  <si>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</si>
  <si>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</si>
  <si>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</si>
  <si>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</si>
  <si>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</si>
  <si>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</si>
  <si>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</si>
  <si>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</si>
  <si>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</si>
  <si>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</si>
  <si>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</si>
  <si>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</si>
  <si>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</si>
  <si>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</si>
  <si>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</si>
  <si>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</si>
  <si>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</si>
  <si>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</si>
  <si>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</si>
  <si>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</si>
  <si>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</si>
  <si>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Gastos de Publicidad y Propaganda</t>
  </si>
  <si>
    <t>Intereses, multas y recargos impositivos</t>
  </si>
  <si>
    <t>Amortización activos intangibles</t>
  </si>
  <si>
    <t>Nota</t>
  </si>
  <si>
    <t>ACTIVOS</t>
  </si>
  <si>
    <t>Efectivo y equivalente de efectivo</t>
  </si>
  <si>
    <t>Cuentas por cobrar comerciales</t>
  </si>
  <si>
    <t>Inventarios</t>
  </si>
  <si>
    <t>Revalúo del año</t>
  </si>
  <si>
    <t>Revalúo depreciación acumulada del año</t>
  </si>
  <si>
    <t>En miles de guaraníes</t>
  </si>
  <si>
    <t>Activos disponibles para la venta</t>
  </si>
  <si>
    <t>PASIVOS Y PATRIMONIO NETO</t>
  </si>
  <si>
    <t>Total Pasivos Corrientes</t>
  </si>
  <si>
    <t>Otros pasivos corrientes</t>
  </si>
  <si>
    <t>Pasivos no corrientes</t>
  </si>
  <si>
    <t xml:space="preserve">Préstamos a largo plazo </t>
  </si>
  <si>
    <t>Capital integrado</t>
  </si>
  <si>
    <t>Reservas estatutarias</t>
  </si>
  <si>
    <t>Reservas facultatitvas</t>
  </si>
  <si>
    <t>Gastos de ventas</t>
  </si>
  <si>
    <t>Miles de guaraníes</t>
  </si>
  <si>
    <t xml:space="preserve">Gastos administrativos </t>
  </si>
  <si>
    <t>Otros gastos</t>
  </si>
  <si>
    <t>Existencia inicial del inventario</t>
  </si>
  <si>
    <t>+ Compra de bienes y servicios</t>
  </si>
  <si>
    <t>- Existencia final de inventario</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</si>
  <si>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</si>
  <si>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</si>
  <si>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</si>
  <si>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</si>
  <si>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</si>
  <si>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</si>
  <si>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FLUJO DE EFECTIVO DE ACTIVIDADES DE FINANCIACIÓN</t>
  </si>
  <si>
    <t>Reducción del capital social s/Acta de Asamblea General Ordinaria N°… de fecha……..</t>
  </si>
  <si>
    <t>Aporte de los propietarios</t>
  </si>
  <si>
    <t>Balance General</t>
  </si>
  <si>
    <t>Estado de Flujos de Efectivo</t>
  </si>
  <si>
    <t>EFE</t>
  </si>
  <si>
    <t>NOTA 6 - OTROS CRÉDITOS</t>
  </si>
  <si>
    <t>Cheques adelantados recibidos de clientes</t>
  </si>
  <si>
    <t>Cheques rechazados</t>
  </si>
  <si>
    <t>Deudores por ventas locales</t>
  </si>
  <si>
    <t>ESTADO DE RESULTADOS</t>
  </si>
  <si>
    <t>Comparativo con igual periodo del año anterior</t>
  </si>
  <si>
    <t>NOTA 7 – INVENTARIOS</t>
  </si>
  <si>
    <t>Nota 8 - INVERSIONES EN ASOCIADAS</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</si>
  <si>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</si>
  <si>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</si>
  <si>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</si>
  <si>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</si>
  <si>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</si>
  <si>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</si>
  <si>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</si>
  <si>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</si>
  <si>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</si>
  <si>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</si>
  <si>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</si>
  <si>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</si>
  <si>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11 – ACTIVOS INTANGIBLES</t>
  </si>
  <si>
    <t>NOTA 12 – GOODWILL</t>
  </si>
  <si>
    <t>Total activos no corrientes</t>
  </si>
  <si>
    <t>Moneda</t>
  </si>
  <si>
    <t>NOTA 15 – PORCION CORRIENTE DE LA DEUDA A LARGO PLAZO</t>
  </si>
  <si>
    <t>NOTA 16 – REMUNERACIONES Y CARGAS SOCIALES A PAGAR</t>
  </si>
  <si>
    <t>NOTA 18 -  PROVISIONES</t>
  </si>
  <si>
    <t>Total pasivos no corrientes</t>
  </si>
  <si>
    <t>NOTA 20 – CAPITAL INTEGRADO</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</si>
  <si>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</si>
  <si>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</si>
  <si>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</si>
  <si>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</si>
  <si>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</si>
  <si>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</si>
  <si>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</si>
  <si>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</si>
  <si>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</si>
  <si>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</si>
  <si>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</si>
  <si>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</si>
  <si>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</si>
  <si>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</si>
  <si>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</si>
  <si>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</si>
  <si>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</si>
  <si>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</si>
  <si>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</si>
  <si>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</si>
  <si>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</si>
  <si>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Otros pasivos  no corrientes</t>
  </si>
  <si>
    <t>Nota 21</t>
  </si>
  <si>
    <t>Nota 22</t>
  </si>
  <si>
    <t>Nota 23</t>
  </si>
  <si>
    <t>Nota 24</t>
  </si>
  <si>
    <t>Nota 25</t>
  </si>
  <si>
    <t>Nota 26</t>
  </si>
  <si>
    <t>Nota 27</t>
  </si>
  <si>
    <t>Nota 28</t>
  </si>
  <si>
    <t>Nota 29</t>
  </si>
  <si>
    <t>Nota 30</t>
  </si>
  <si>
    <t>Nota 31</t>
  </si>
  <si>
    <t>Nota 32</t>
  </si>
  <si>
    <t>Nota 33</t>
  </si>
  <si>
    <t>Nota 34</t>
  </si>
  <si>
    <t>Nota 35</t>
  </si>
  <si>
    <t>Utilidad/(Pérdida) neta del año</t>
  </si>
  <si>
    <t>REF.</t>
  </si>
  <si>
    <t>Obs.: En caso de la existencia de saldos y transacciones con partes relacionadas, la información que corresponda a ser expuesta por la sociedad, se ajustará  a lo requerido por la Norma de Información Financiera N° 7 Revelaciones de partes relacionadas.</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</si>
  <si>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</si>
  <si>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</si>
  <si>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</si>
  <si>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</si>
  <si>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</si>
  <si>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</si>
  <si>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</si>
  <si>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</si>
  <si>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</si>
  <si>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</si>
  <si>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</si>
  <si>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</si>
  <si>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</si>
  <si>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</si>
  <si>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</si>
  <si>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</si>
  <si>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</si>
  <si>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</si>
  <si>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</si>
  <si>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</si>
  <si>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</si>
  <si>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</si>
  <si>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</si>
  <si>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</si>
  <si>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NOTA 39 - HECHOS POSTERIORES</t>
  </si>
  <si>
    <t xml:space="preserve">Obs.: Esta información debe estar ajustada  a lo requerido por la Norma de Información Financiera N° 5 Contingencias y sucesos que ocurren después de la fecha del balance. </t>
  </si>
  <si>
    <t>Las notas que se acompañan forman parte integrante de estos estados.</t>
  </si>
  <si>
    <t>Inversión en asociadas</t>
  </si>
  <si>
    <t>Reservas facultativas</t>
  </si>
  <si>
    <t>Gastos financieros -  neto</t>
  </si>
  <si>
    <t>Ingresos financieros - neto</t>
  </si>
  <si>
    <t>Resultado neto de actividades ordinarias</t>
  </si>
  <si>
    <t>Gastos financieros - neto</t>
  </si>
  <si>
    <t>Impuesto diferido</t>
  </si>
  <si>
    <t>Ganancias reservadas</t>
  </si>
  <si>
    <t>Cobranzas efectuadas a clientes</t>
  </si>
  <si>
    <t>Otros ingresos y (egresos) - neto</t>
  </si>
  <si>
    <t>Flujo neto de efectivo de actividades de financiamiento</t>
  </si>
  <si>
    <t>Informacion General</t>
  </si>
  <si>
    <t>Otras Notas de los Estados Financieros</t>
  </si>
  <si>
    <t>USD</t>
  </si>
  <si>
    <t>PYG</t>
  </si>
  <si>
    <t>NOTA 3 - EFECTIVO Y EQUIVALENTE DE EFECTIVO</t>
  </si>
  <si>
    <t>Moneda Local Guaraníes</t>
  </si>
  <si>
    <t>Moneda Extranjera Dólares</t>
  </si>
  <si>
    <t>Deudores - Entidad relacionada</t>
  </si>
  <si>
    <t>Otros</t>
  </si>
  <si>
    <t>Menos Previsiones</t>
  </si>
  <si>
    <t>Nombre de Sociedad</t>
  </si>
  <si>
    <t>RUC</t>
  </si>
  <si>
    <t>Total Patrimonio neto</t>
  </si>
  <si>
    <t>Cantidad de acciones</t>
  </si>
  <si>
    <t>Total Inversión</t>
  </si>
  <si>
    <t>Participación sobre los votos (%)</t>
  </si>
  <si>
    <t>Participación sobre el Patrimonio Neto (%)</t>
  </si>
  <si>
    <t>Resultado sobre inversiones</t>
  </si>
  <si>
    <t>Total Inversión (miles de Gs)</t>
  </si>
  <si>
    <t>Las cuentas por pagar comerciales se componen como sigue:</t>
  </si>
  <si>
    <t>Intereses préstamos entidades financieras a pagar</t>
  </si>
  <si>
    <t>Importe (miles de Gs)</t>
  </si>
  <si>
    <t>Honorarios Profesionales a Pagar</t>
  </si>
  <si>
    <t>Valor Nominal de Acciones</t>
  </si>
  <si>
    <t>d.1. (nuevas cuentas a incluir)</t>
  </si>
  <si>
    <t>d.2. (nuevas cuentas a incluir)</t>
  </si>
  <si>
    <t>Conceptos</t>
  </si>
  <si>
    <t>(Detallar)</t>
  </si>
  <si>
    <t>Utilidad Neta</t>
  </si>
  <si>
    <t>Depreciación bienes de uso</t>
  </si>
  <si>
    <t>(nueva cuenta a incluir)</t>
  </si>
  <si>
    <t>ESTADO DE EVOLUCIÓN DEL PATRIMONIO NETO</t>
  </si>
  <si>
    <t>Monto</t>
  </si>
  <si>
    <t>Las cuentas a cobrar comerciales a corto plazo se integran como sigue:</t>
  </si>
  <si>
    <t>Las cuentas a cobrar comerciales a largo plazo se integran como sigue:</t>
  </si>
  <si>
    <t>Saldos y transacciones con partes relacionadas</t>
  </si>
  <si>
    <t>Nota 40</t>
  </si>
  <si>
    <t>Índice</t>
  </si>
  <si>
    <t>g. Inventarios</t>
  </si>
  <si>
    <t>h. Activos disponibles para la venta</t>
  </si>
  <si>
    <t>i. Previsiones para desvalorización y deterioro de inventarios</t>
  </si>
  <si>
    <t>j. Propiedades, planta y equipo</t>
  </si>
  <si>
    <t>k. Intangibles</t>
  </si>
  <si>
    <t xml:space="preserve">TOTAL ACTIVO CORRIENTES </t>
  </si>
  <si>
    <t xml:space="preserve">TOTAL ACTIVOS </t>
  </si>
  <si>
    <t>TOTAL PASIVOS</t>
  </si>
  <si>
    <t>PATRIMONIO NETO</t>
  </si>
  <si>
    <t xml:space="preserve">TOTAL PATRIMONIO NETO </t>
  </si>
  <si>
    <t>TOTAL PASIVO Y PATRIMONIO NETO</t>
  </si>
  <si>
    <t>Fondo Fijo</t>
  </si>
  <si>
    <t>Bancos Cuentas Corrientes - Moneda Local (Gs)</t>
  </si>
  <si>
    <t xml:space="preserve">BBVA Banco </t>
  </si>
  <si>
    <t xml:space="preserve">Banco Regional S.A.E.C.A </t>
  </si>
  <si>
    <t>Bancos Locales - Moneda Extranjera (EU)</t>
  </si>
  <si>
    <t>Bancos Locales Cajas de Ahorros - Moneda Local (Gs)</t>
  </si>
  <si>
    <t>NICOLAS GONZALEZ ODDONE S.A.E.C.A</t>
  </si>
  <si>
    <t xml:space="preserve">Inventarios </t>
  </si>
  <si>
    <t>Impuestos a Pagar</t>
  </si>
  <si>
    <t xml:space="preserve">Pasivo Corrientes </t>
  </si>
  <si>
    <t xml:space="preserve">Activos no corrientes </t>
  </si>
  <si>
    <t xml:space="preserve">Activos Corrientes </t>
  </si>
  <si>
    <t xml:space="preserve">Activos Intangibles </t>
  </si>
  <si>
    <t xml:space="preserve">Goodwill </t>
  </si>
  <si>
    <t xml:space="preserve">Inversiones Inmobiliarias </t>
  </si>
  <si>
    <t>Total Disponibilidades</t>
  </si>
  <si>
    <t>Casa de Bolsa Puente ME</t>
  </si>
  <si>
    <t>CDA Bancop</t>
  </si>
  <si>
    <t>Puente - Fondos Mutuos ME</t>
  </si>
  <si>
    <t xml:space="preserve">Cuentas </t>
  </si>
  <si>
    <t>NOTA 4 - INVERSIONES TEMPORIAS - INVERSIONES FINANCIERAS</t>
  </si>
  <si>
    <t xml:space="preserve">Anticipo de sueldos y comisiones </t>
  </si>
  <si>
    <t xml:space="preserve">Anticipo para gastos varios </t>
  </si>
  <si>
    <t xml:space="preserve">Anticipo de remuneraciones Direct. y Gerentes </t>
  </si>
  <si>
    <t xml:space="preserve">Anticipo para compras activo fijo </t>
  </si>
  <si>
    <t xml:space="preserve">Anticipo para instalación de mercaderías </t>
  </si>
  <si>
    <t xml:space="preserve">Préstamos al personal </t>
  </si>
  <si>
    <t xml:space="preserve">Préstamos a terceros </t>
  </si>
  <si>
    <t>Deudores por alquileres a cobrar</t>
  </si>
  <si>
    <t>Garantías de alquiler</t>
  </si>
  <si>
    <t>Intereses s/ Inversiones PF a cobrar</t>
  </si>
  <si>
    <t>Seguros a cobrar</t>
  </si>
  <si>
    <t xml:space="preserve">Préstamos al personal ME </t>
  </si>
  <si>
    <t>Deudores por alquileres a cobrar ME</t>
  </si>
  <si>
    <t>Garantías de alquiler ME</t>
  </si>
  <si>
    <t xml:space="preserve">Gastos realizados por cta. De terceros </t>
  </si>
  <si>
    <t>Préstamos a directores</t>
  </si>
  <si>
    <t xml:space="preserve">Intereses a vencer </t>
  </si>
  <si>
    <t xml:space="preserve">Previsiones para incobrables </t>
  </si>
  <si>
    <t xml:space="preserve">Impuesto al valor agregado </t>
  </si>
  <si>
    <t xml:space="preserve">Anticipo Impuesto a la Renta </t>
  </si>
  <si>
    <t xml:space="preserve">Retenciones Impuesto a la Renta </t>
  </si>
  <si>
    <t xml:space="preserve">Retenciones de IVA </t>
  </si>
  <si>
    <t>Alquileres Pagados por Adelantado ME</t>
  </si>
  <si>
    <t>Anticipo para Inversiones Financieras ME</t>
  </si>
  <si>
    <t xml:space="preserve">Anticipo al personal Act.Ganadera </t>
  </si>
  <si>
    <t xml:space="preserve">Anticipos a Contratistas Act. Ganadera </t>
  </si>
  <si>
    <t xml:space="preserve">Anticipos p/ viáticos a la estancia Act. Ganadera </t>
  </si>
  <si>
    <t xml:space="preserve">Anticipos para gastos varios Act. Ganadera </t>
  </si>
  <si>
    <t>-</t>
  </si>
  <si>
    <t>En Gestion de cobro</t>
  </si>
  <si>
    <t xml:space="preserve">Mercaderías Gravadas </t>
  </si>
  <si>
    <t>Mercaderías con Obsolescencia</t>
  </si>
  <si>
    <t xml:space="preserve">Fondo de Obsolescencia </t>
  </si>
  <si>
    <t xml:space="preserve">Repuestos Gravados </t>
  </si>
  <si>
    <t>Mercaderías S/Dto. 6406/05</t>
  </si>
  <si>
    <t>Repuestos S/Dto. 6406/05</t>
  </si>
  <si>
    <t>Repuestos con Obsolescencia</t>
  </si>
  <si>
    <t xml:space="preserve">Importaciones en curso </t>
  </si>
  <si>
    <t xml:space="preserve">Corrientes - Actividad Comercial  </t>
  </si>
  <si>
    <t xml:space="preserve">Corrientes - Actividad Ganadera </t>
  </si>
  <si>
    <t xml:space="preserve">Hacienda Vacuna </t>
  </si>
  <si>
    <t xml:space="preserve">Repuesto Grav. C/Obsolescencia </t>
  </si>
  <si>
    <t xml:space="preserve">Fondo de Obsolescencia. Repuesto Grav. </t>
  </si>
  <si>
    <t xml:space="preserve">Muebles, Útiles y enseres </t>
  </si>
  <si>
    <t>Adquisiciones+ Transf. Del periodo</t>
  </si>
  <si>
    <t>Bajas del periodo</t>
  </si>
  <si>
    <t>AL Inicio del periodo</t>
  </si>
  <si>
    <t>Valor  al cierre del periodo</t>
  </si>
  <si>
    <t>Depreciación acumulada  al inicio del año</t>
  </si>
  <si>
    <t>Altas y Transf. Del periodo</t>
  </si>
  <si>
    <t>Bajas de  del periodo</t>
  </si>
  <si>
    <t>Depreciación acumulada  al final del periodo</t>
  </si>
  <si>
    <t>Valor neto resultante</t>
  </si>
  <si>
    <t xml:space="preserve">Máquinas de Oficinas </t>
  </si>
  <si>
    <t>Maquinarias, Herramientas y Equipos</t>
  </si>
  <si>
    <t xml:space="preserve">Edificios y Construcciones </t>
  </si>
  <si>
    <t xml:space="preserve">Transportes Terrestres </t>
  </si>
  <si>
    <t xml:space="preserve">Instalaciones </t>
  </si>
  <si>
    <t xml:space="preserve">Construcciones </t>
  </si>
  <si>
    <t>Construcciones en curso</t>
  </si>
  <si>
    <t xml:space="preserve">Construcciones en previo Ajeno </t>
  </si>
  <si>
    <t>Aviones</t>
  </si>
  <si>
    <t>Sub Totales</t>
  </si>
  <si>
    <t xml:space="preserve">Actividad Comercial </t>
  </si>
  <si>
    <r>
      <rPr>
        <b/>
        <u/>
        <sz val="9"/>
        <rFont val="Arial"/>
        <family val="2"/>
      </rPr>
      <t>Actividad Comercial</t>
    </r>
    <r>
      <rPr>
        <u/>
        <sz val="9"/>
        <rFont val="Arial"/>
        <family val="2"/>
      </rPr>
      <t xml:space="preserve"> </t>
    </r>
  </si>
  <si>
    <t>Actividad Ganadera</t>
  </si>
  <si>
    <t>Mejoras</t>
  </si>
  <si>
    <t>Muebles y Equipos</t>
  </si>
  <si>
    <t xml:space="preserve">Maquinarias e Implementos </t>
  </si>
  <si>
    <t xml:space="preserve">Equipos y Herramientas </t>
  </si>
  <si>
    <t>Equipos de Comunicación</t>
  </si>
  <si>
    <t>NO SUJETOS A DEPRECIACION</t>
  </si>
  <si>
    <t xml:space="preserve">Inmuebles-Terrenos </t>
  </si>
  <si>
    <t>Inmuebles Rurales</t>
  </si>
  <si>
    <t>Hacienda Permanente</t>
  </si>
  <si>
    <t>Pasturas</t>
  </si>
  <si>
    <t xml:space="preserve">Total General </t>
  </si>
  <si>
    <t xml:space="preserve">V     A     L     O    R     E     S        D   E         O     R    I     G     E     N </t>
  </si>
  <si>
    <t>Actividad Comercial</t>
  </si>
  <si>
    <t xml:space="preserve">Marcas </t>
  </si>
  <si>
    <t>Gastos de Organización</t>
  </si>
  <si>
    <t>Licencias de Informática</t>
  </si>
  <si>
    <t>Programas de Informática</t>
  </si>
  <si>
    <t xml:space="preserve">Licencias para Teléfonos </t>
  </si>
  <si>
    <t>Programas de Informática en Línea S.A</t>
  </si>
  <si>
    <t xml:space="preserve">Actividad Ganadera </t>
  </si>
  <si>
    <t xml:space="preserve">Marca NGO </t>
  </si>
  <si>
    <t xml:space="preserve">Licencias de Informática Act. Ganadera </t>
  </si>
  <si>
    <t xml:space="preserve">Seguro social I.P.S </t>
  </si>
  <si>
    <t xml:space="preserve">Sueldos y comisiones a Pagar </t>
  </si>
  <si>
    <t>Corrientes - Actividad Ganadera</t>
  </si>
  <si>
    <t xml:space="preserve">Total general </t>
  </si>
  <si>
    <t xml:space="preserve">Publicidad a Pagar </t>
  </si>
  <si>
    <t xml:space="preserve">Proveedores del Exterior </t>
  </si>
  <si>
    <t>Rational International AG</t>
  </si>
  <si>
    <t>Whirlpool Chile LTDA.</t>
  </si>
  <si>
    <t xml:space="preserve">Proveedores Locales </t>
  </si>
  <si>
    <t>Bancard S.A</t>
  </si>
  <si>
    <t xml:space="preserve">Cheques emitidos al Cobro </t>
  </si>
  <si>
    <t>Cuentas a pagar</t>
  </si>
  <si>
    <t>Fletes a pagar</t>
  </si>
  <si>
    <t xml:space="preserve">Seguros a Pagar </t>
  </si>
  <si>
    <t xml:space="preserve">Despachantes - Ctas. a Pagar </t>
  </si>
  <si>
    <t xml:space="preserve">Remuneración síndico a pagar </t>
  </si>
  <si>
    <t>Cuentas a pagar - Tarjetas</t>
  </si>
  <si>
    <t xml:space="preserve">Cuentas a Pagar - Vales </t>
  </si>
  <si>
    <t xml:space="preserve">Cuentas a Pagar Instaladores </t>
  </si>
  <si>
    <t xml:space="preserve">Seguros a Vencer </t>
  </si>
  <si>
    <t xml:space="preserve">Cuentas a Vencer </t>
  </si>
  <si>
    <t xml:space="preserve">Provisiones Moneda Local </t>
  </si>
  <si>
    <t>Provisiones Moneda Extranjera</t>
  </si>
  <si>
    <t>Publicidad a Pagar M.E</t>
  </si>
  <si>
    <t>Cuentas a pagar M.E</t>
  </si>
  <si>
    <t>Fletes a pagar M.E</t>
  </si>
  <si>
    <t>Seguros a pagar M.E</t>
  </si>
  <si>
    <t>Honorarios Profesionales M.E a pagar</t>
  </si>
  <si>
    <t xml:space="preserve">Intereses M.E a devengar </t>
  </si>
  <si>
    <t xml:space="preserve">Seguros M.E a vencer </t>
  </si>
  <si>
    <t>Seguros a pagar Act. Ganadera</t>
  </si>
  <si>
    <t xml:space="preserve">Cuentas a pagar Act. Ganadera </t>
  </si>
  <si>
    <t xml:space="preserve">Seguros a Vencer Act. Ganadera </t>
  </si>
  <si>
    <t xml:space="preserve">Cuentas a pagar M.E Act. Ganadera </t>
  </si>
  <si>
    <t xml:space="preserve">Total General Provisiones Act. Comercial </t>
  </si>
  <si>
    <t xml:space="preserve">Total General Provisiones Act. Ganadera </t>
  </si>
  <si>
    <t>Viáticos a Reembolsar</t>
  </si>
  <si>
    <t xml:space="preserve">Por Cartas de Crédito </t>
  </si>
  <si>
    <t>S/tipo de Negociación</t>
  </si>
  <si>
    <t xml:space="preserve">A sola Firma </t>
  </si>
  <si>
    <t xml:space="preserve">A sola firma </t>
  </si>
  <si>
    <r>
      <rPr>
        <b/>
        <u/>
        <sz val="9"/>
        <color theme="1"/>
        <rFont val="Arial"/>
        <family val="2"/>
      </rPr>
      <t>Préstamos de Entidades Locales</t>
    </r>
    <r>
      <rPr>
        <b/>
        <sz val="9"/>
        <color theme="1"/>
        <rFont val="Arial"/>
        <family val="2"/>
      </rPr>
      <t xml:space="preserve"> </t>
    </r>
  </si>
  <si>
    <t xml:space="preserve">Por Préstamos </t>
  </si>
  <si>
    <t xml:space="preserve">Total general deudas Bancarias </t>
  </si>
  <si>
    <t xml:space="preserve">Total general Inventarios Corrientes </t>
  </si>
  <si>
    <t xml:space="preserve">Total general Inventarios no corrientes </t>
  </si>
  <si>
    <t xml:space="preserve">Total general Otros créditos Act. Comercial y Ganadera </t>
  </si>
  <si>
    <t xml:space="preserve"> D     E     P     R     E     C     I    A     C     I   O     N     E     S             </t>
  </si>
  <si>
    <t xml:space="preserve">Retenciones de Impuestos </t>
  </si>
  <si>
    <t xml:space="preserve">cuentas </t>
  </si>
  <si>
    <t xml:space="preserve">NOTA 19 – OTROS PASIVOS CORRIENTES </t>
  </si>
  <si>
    <t xml:space="preserve">Anticipos de Clientes </t>
  </si>
  <si>
    <t xml:space="preserve">Garantías de Alquiler </t>
  </si>
  <si>
    <t xml:space="preserve">Señas </t>
  </si>
  <si>
    <t xml:space="preserve">Anticipos Varios </t>
  </si>
  <si>
    <t>Comisiones S/Vtas. A pagar</t>
  </si>
  <si>
    <t>Otros Pasivos Corrientes Moneda Extranjera</t>
  </si>
  <si>
    <t>Anticipos de clientes M.E</t>
  </si>
  <si>
    <t>Garantías de Alquiler M.E</t>
  </si>
  <si>
    <t xml:space="preserve">Total general Otros Pasivos Corrientes </t>
  </si>
  <si>
    <t xml:space="preserve">Impuesto al Valor Agregado </t>
  </si>
  <si>
    <t>Las cuentas Impuestos a pagar se componen como sigue:</t>
  </si>
  <si>
    <t>Las cuentas Deudas Bancarias se componen como sigue:</t>
  </si>
  <si>
    <t xml:space="preserve">Retencion de Impuesto Prov.Locales </t>
  </si>
  <si>
    <t>Total Impuestos a pagar</t>
  </si>
  <si>
    <t>Las cuentas Activos intengibles se componen como sigue:</t>
  </si>
  <si>
    <t>NOTA 14 – DEUDAS BANCARIAS - PRESTAMOS A CORTO PLAZO</t>
  </si>
  <si>
    <t>Todo Franquicia S.A</t>
  </si>
  <si>
    <t>Confort para el Hogar - CPH S.A</t>
  </si>
  <si>
    <t>No corrientes - Actividad Comercial</t>
  </si>
  <si>
    <t xml:space="preserve">NOTA 10 - CREDITOS POR VENTAS </t>
  </si>
  <si>
    <t xml:space="preserve">Ventas Actividad Comercial </t>
  </si>
  <si>
    <t xml:space="preserve">Ventas Actividad Ganadera </t>
  </si>
  <si>
    <t xml:space="preserve">Total Ventas Actividad Comercial </t>
  </si>
  <si>
    <t xml:space="preserve">Venta de Repuestos </t>
  </si>
  <si>
    <t>Ventas Servicio Técnico</t>
  </si>
  <si>
    <t xml:space="preserve">Ventas Activ. Ganadera </t>
  </si>
  <si>
    <t>Total Ventas Actividad  Ganadera</t>
  </si>
  <si>
    <t>Gastos de Distribución</t>
  </si>
  <si>
    <t xml:space="preserve">Combustibles y lubricantes </t>
  </si>
  <si>
    <t>Honorarios por servicios técnicos</t>
  </si>
  <si>
    <t>Reembolso de Seguros Gr.</t>
  </si>
  <si>
    <t xml:space="preserve">Resultado de ejercicios anteriores </t>
  </si>
  <si>
    <t>Ingresos Varios GR.</t>
  </si>
  <si>
    <t>Otros ingresos Varios GR.</t>
  </si>
  <si>
    <t>Diferencias de Inventarios</t>
  </si>
  <si>
    <t xml:space="preserve">Ingresos por servicios de Logística </t>
  </si>
  <si>
    <t xml:space="preserve">Ingresos varios de logística </t>
  </si>
  <si>
    <t>Ingresos varios de T.I</t>
  </si>
  <si>
    <t xml:space="preserve">Otros ingresos Varios de ventas </t>
  </si>
  <si>
    <t xml:space="preserve">Ingresos varios GR.de ventas </t>
  </si>
  <si>
    <t xml:space="preserve">Aporte publicitario del Exterior </t>
  </si>
  <si>
    <t>Ingresos varios de Marketing</t>
  </si>
  <si>
    <t xml:space="preserve">Otros Ingresos varios GR-repuestos </t>
  </si>
  <si>
    <t>Servicio de Delivery - Repuestos</t>
  </si>
  <si>
    <t>Servicio de Delivery - ST</t>
  </si>
  <si>
    <t xml:space="preserve">Ingresos por servicios varios ST </t>
  </si>
  <si>
    <t xml:space="preserve">Otros ingresos varios ST </t>
  </si>
  <si>
    <t xml:space="preserve">Valor Neto de Realización </t>
  </si>
  <si>
    <t>Intereses Cajas de ahorro</t>
  </si>
  <si>
    <t>Diferencias de Cambios GR. Financ.</t>
  </si>
  <si>
    <t>Intereses p/ Refinanciaciones Grav.</t>
  </si>
  <si>
    <t xml:space="preserve">Intereses y com. Bancarios </t>
  </si>
  <si>
    <t>Diferencias de cambios GR.Gtos. Financ.</t>
  </si>
  <si>
    <t xml:space="preserve">Ingresos Financieros Netos </t>
  </si>
  <si>
    <t xml:space="preserve">Alquileres ganados </t>
  </si>
  <si>
    <t>Otros ingresos de Inversiones Inmob.</t>
  </si>
  <si>
    <t xml:space="preserve">Ipuesto Inmobiliario </t>
  </si>
  <si>
    <t>Impuesto Inmobiliario no ded.</t>
  </si>
  <si>
    <t>Patentes y tasas municipales</t>
  </si>
  <si>
    <t>Impuestos, patentes y tasas munic. No ded.</t>
  </si>
  <si>
    <t>Seguros de Edificios de invers.</t>
  </si>
  <si>
    <t>Gastos varios de Invers.</t>
  </si>
  <si>
    <t>Desafectación de Mercad. y Rep c/Obsol.</t>
  </si>
  <si>
    <t xml:space="preserve">Otros Ingresos </t>
  </si>
  <si>
    <t xml:space="preserve">Gastos Administrativos </t>
  </si>
  <si>
    <t>Gastos de Explotación</t>
  </si>
  <si>
    <t xml:space="preserve">Depreciación Bienes de uso </t>
  </si>
  <si>
    <t>Amortización Licencias Informática</t>
  </si>
  <si>
    <t xml:space="preserve">Gastos de Ventas </t>
  </si>
  <si>
    <t>Gastos de Ventas Capitalización</t>
  </si>
  <si>
    <t>Total Otros Ingresos Act.Ganad.</t>
  </si>
  <si>
    <t>Total Otros Ingresos Act. Comerc.</t>
  </si>
  <si>
    <t xml:space="preserve">Total General Otros Ingresos </t>
  </si>
  <si>
    <t xml:space="preserve">Comisiones a Vendedores </t>
  </si>
  <si>
    <t xml:space="preserve">Intereses y com.S/Prest.Bancarios </t>
  </si>
  <si>
    <t>Resultados ordinarios antes de impuesto a la renta</t>
  </si>
  <si>
    <t>DENOMINACION:   NICOLAS GONZALEZ ODDONE S.A.E.C.A.</t>
  </si>
  <si>
    <t>ACTIVIDAD PRINCIPAL:  IMPORTACIONES</t>
  </si>
  <si>
    <t>FECHA DE VENCIMIENTO DEL ESTATUTO SOCIAL:  AÑO 2094</t>
  </si>
  <si>
    <t xml:space="preserve">En el año 1996 la Comisión  Nacional de Valores por medio de la Resolución N° 270/96 autoriza la inscripción definitiva de la Compañía como Sociedad Emisora de Capital Abierto. </t>
  </si>
  <si>
    <t>Conforme a los Estatutos Sociales y para adecuarse a los requerimientos de la Ley 125/91 y sus reglamentaciones el cierre del ejercicio económico y fiscal será el 31 de diciembre de cada año, por lo tanto los estados contables abarcarán el ejercicio correspondiente entre el 1 de enero al 31 de diciembre de cada año civil.</t>
  </si>
  <si>
    <t>a)         Importar y exportar toda clase de mercaderías, por cuenta propia o de terceros y/o asociada a terceros: comprar y vender bienes muebles o inmuebles y constituir derechos reales sobre ellos.</t>
  </si>
  <si>
    <t>b)         Ejercer representaciones, comisiones, mandatos o consignaciones.</t>
  </si>
  <si>
    <t>c)         Elaborar o industrializar todo género de productos o materias primas nacionales o extranjeras.</t>
  </si>
  <si>
    <t>d)        Dar o tomar participación en cualquier sociedad, dentro o fuera del país que se realice con los objetos que se han indicado.</t>
  </si>
  <si>
    <t>e)         Promover la radicación de capitales, empresas e industrias en la República del Paraguay.</t>
  </si>
  <si>
    <t>f)          Explotar empresas de transportes y practicar, en fin, todo acto de comercio lícito.</t>
  </si>
  <si>
    <t>$</t>
  </si>
  <si>
    <t xml:space="preserve">Dólar Estadounidense  </t>
  </si>
  <si>
    <t xml:space="preserve">Pasivos </t>
  </si>
  <si>
    <t xml:space="preserve">Euros </t>
  </si>
  <si>
    <t>€</t>
  </si>
  <si>
    <t>Las propiedades, planta y equipo se exponen a su costo histórico ajustado por el % del valor residual  emitido por la Autoridad Tributaria, menos la correspondiente depreciación acumulada. El incremento neto por la re-expresión se acredita a la respectiva reserva patrimonial, cuyo saldo puede ser utilizado únicamente para  aumentar el capital.</t>
  </si>
  <si>
    <t xml:space="preserve">Inversiones mobiliarias Permanentes </t>
  </si>
  <si>
    <t>ESTADO DE FLUJOS DE EFECTIVO</t>
  </si>
  <si>
    <t>Las inversiones en sociedades donde no se ejerce control se describen a continuación:</t>
  </si>
  <si>
    <t xml:space="preserve">NICOLAS GONZALEZ ODDONE SAECA </t>
  </si>
  <si>
    <t>Las cuentas cargas sociales se componen como sigue:</t>
  </si>
  <si>
    <t xml:space="preserve">Los estados contables se preparan sobre la base de lo devengado. Bajo tal base los efectos de las transacciones y otros eventos son reconocidos cuando ocurren (y no cuando el efectivo o su equivalente es recibido o pagado) y son registrados en los libros contables y presentados en los estados financieros en los períodos a que se refieren. 
</t>
  </si>
  <si>
    <t xml:space="preserve">Los presentes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</si>
  <si>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r>
      <t xml:space="preserve">Las existencias están valuadas al costo de adquisición más todos los gastos necesarios hasta la puesta en depósitos de la Compañía. La salida de las existencias es registrada utilizando el sistema de precio promedio ponderado. La Sociedad efectúa previsiones por obsolescencia de acuerdo al análisis de la Gerencia sobre la desvalorización y/o obsolescencia de los mismos.
A partir del ejercicio 2008, la Compañía utiliza el Criterio del Valor Neto de Realización para valuar su hacienda vacuna. </t>
    </r>
    <r>
      <rPr>
        <b/>
        <sz val="9"/>
        <color theme="1"/>
        <rFont val="Arial"/>
        <family val="2"/>
      </rPr>
      <t>Ver Nota 7</t>
    </r>
    <r>
      <rPr>
        <sz val="9"/>
        <color theme="1"/>
        <rFont val="Arial"/>
        <family val="2"/>
      </rPr>
      <t xml:space="preserve">
</t>
    </r>
  </si>
  <si>
    <t xml:space="preserve">                                 ESTADOS CONTABLES AL 31/03/2020</t>
  </si>
  <si>
    <t>Cuentas por pagar proveedores</t>
  </si>
  <si>
    <t xml:space="preserve">Otros Pasivos corrientes Moneda Local </t>
  </si>
  <si>
    <t>Cuentas</t>
  </si>
  <si>
    <t>Egresos</t>
  </si>
  <si>
    <t>NOTA 5 - CUENTAS POR COBRAR COMERCIALES</t>
  </si>
  <si>
    <t>NOTA 1 – DESCRIPCIÓN DE LA NATURALEZA Y DEL NEGOCIO DE LA COMPAÑÍA</t>
  </si>
  <si>
    <t xml:space="preserve">Cupones Tj.credito </t>
  </si>
  <si>
    <t xml:space="preserve">Deudores-Otros ingresos exterior </t>
  </si>
  <si>
    <t>NOTA 10 – ACTIVOS DISPONIBLES PARA LA VENTA</t>
  </si>
  <si>
    <t>Propiedad, planta y equipo</t>
  </si>
  <si>
    <t>(Detallar bienes de uso)</t>
  </si>
  <si>
    <t>(Detallar activos intangibles)</t>
  </si>
  <si>
    <t xml:space="preserve">NOTA 13 – CUENTAS POR PAGAR COMERCIALES </t>
  </si>
  <si>
    <t>b.1 Reserva legal</t>
  </si>
  <si>
    <t>b.2 Reserva legal CPH</t>
  </si>
  <si>
    <t xml:space="preserve">Capital </t>
  </si>
  <si>
    <t xml:space="preserve">Capital Suscripto </t>
  </si>
  <si>
    <t>Capital a Integrar</t>
  </si>
  <si>
    <t xml:space="preserve">Cantidad de Acciones </t>
  </si>
  <si>
    <t xml:space="preserve">Acciones en tesorería </t>
  </si>
  <si>
    <t xml:space="preserve">Premio de Emisión </t>
  </si>
  <si>
    <t xml:space="preserve">Resultado del ejercicio </t>
  </si>
  <si>
    <t xml:space="preserve">c. Reserva para Capitalización </t>
  </si>
  <si>
    <t>* Prima de compra de Acciones</t>
  </si>
  <si>
    <t xml:space="preserve">Total general Reservas </t>
  </si>
  <si>
    <t>Resultados del ejercicio</t>
  </si>
  <si>
    <t>Cambio en política contable</t>
  </si>
  <si>
    <t>Transferencia a Resultados Acumulados</t>
  </si>
  <si>
    <t>Acciones en Tesoreria</t>
  </si>
  <si>
    <t>Reserva P/ Capitalizacion</t>
  </si>
  <si>
    <t>Resultado del Ejercicio</t>
  </si>
  <si>
    <t>80056073-6</t>
  </si>
  <si>
    <t>80083931-5</t>
  </si>
  <si>
    <t>NO APLICA</t>
  </si>
  <si>
    <t xml:space="preserve">Total Acciones </t>
  </si>
  <si>
    <t>Cantidad de Acciones Ordinarias Nominativas Clase A</t>
  </si>
  <si>
    <t>Cantidad de Acciones Ordinarias Nominativas Clase B</t>
  </si>
  <si>
    <t xml:space="preserve">Cantidad de Acciones Preferidas Nominativas Clase C </t>
  </si>
  <si>
    <t xml:space="preserve">a.2 Reserva de revalúo Técnico </t>
  </si>
  <si>
    <t>Miles de Gs.</t>
  </si>
  <si>
    <t xml:space="preserve">             Miles de Gs.</t>
  </si>
  <si>
    <t>Cotización  Gs.</t>
  </si>
  <si>
    <t>Cotización Gs.</t>
  </si>
  <si>
    <t xml:space="preserve">Activos </t>
  </si>
  <si>
    <t>Activos C.</t>
  </si>
  <si>
    <t>Activos N.C.</t>
  </si>
  <si>
    <t>Pasivos C.</t>
  </si>
  <si>
    <t xml:space="preserve">La Sociedad constituye previsiones sobre las cuentas de dudoso cobro o de difícil recuperabilidad, teniendo en cuenta el análisis de la Gerencia sobre   la antigüedad y cobrabilidad de cada uno de los créditos.  Las cuentas a cobrar en Gestión de Cobro Judicial y las que se encuentran en Convocatoria de Acreedores y/o Quiebra, han sido provisionadas en su totalidad.   </t>
  </si>
  <si>
    <t xml:space="preserve">Criterio para Previsiones                                                                                                                                                  </t>
  </si>
  <si>
    <t xml:space="preserve">1. Clientes que registran atrasos y estan por ser demandados. </t>
  </si>
  <si>
    <t>2. Clientes que tienen cuentas con otros proveedores y no estan pudiendo pagar.</t>
  </si>
  <si>
    <t>3. Clientes con cheque devueltos.</t>
  </si>
  <si>
    <t>4. Clientes que presentan atrasos normales.</t>
  </si>
  <si>
    <t>5. Clientes sobregirados de acuerdo al límite de créditos establecido por el comité correspondiente.</t>
  </si>
  <si>
    <t xml:space="preserve">6. Clientes que refinancian sus cuentas. </t>
  </si>
  <si>
    <t>El detalle de las cotizaciones de la moneda extranjera operada por la sociedad es el siguiente:</t>
  </si>
  <si>
    <t>DOMICÍLIO LEGAL: DOMINICANA ESQUINA VIA FERREA</t>
  </si>
  <si>
    <t>INSCRIPCION EN EL REGISTRO PUBLICO DE COMERCIO Nº 106 DEL 03/06/64 Y Nº 186 DEL 11/04/96 DE LOS ESTATUTOS SOCIALES Y SUS MODIFICACIONES. -</t>
  </si>
  <si>
    <t>INSCRIPCION EN LA COMISION NACIONAL DE VALORES: N.º 058 RESOL. Nº 270/96</t>
  </si>
  <si>
    <t>La Sociedad calcula la utilidad neta por acción sobre la base de la utilidad  del año y el total de acciones ordinarias integradas con valor nominal de G. 100.000 cada una.Las acciones ordinarias nominativas clase A tienen derecho a 5 votos, las acciones ordinarias  nominativas clase B tienen derecho a 4 votos, en tanto que las acciones preferidas nominativas clase C tienen derecho a Rest. de 1 voto.</t>
  </si>
  <si>
    <t>COMPOSICION DEL CAPITAL</t>
  </si>
  <si>
    <t>A     C     C     I     O     N    E     S</t>
  </si>
  <si>
    <r>
      <t xml:space="preserve">                                                   </t>
    </r>
    <r>
      <rPr>
        <sz val="9"/>
        <color theme="1"/>
        <rFont val="Arial"/>
        <family val="2"/>
      </rPr>
      <t>Nº  DE VOTOS QUE</t>
    </r>
    <r>
      <rPr>
        <sz val="10"/>
        <color theme="1"/>
        <rFont val="Arial"/>
        <family val="2"/>
      </rPr>
      <t xml:space="preserve">     SUSCRIPTO                  INTEGRADO                                                                                                  </t>
    </r>
  </si>
  <si>
    <r>
      <t xml:space="preserve">  CANTIDAD </t>
    </r>
    <r>
      <rPr>
        <sz val="11"/>
        <color theme="1"/>
        <rFont val="Arial"/>
        <family val="2"/>
      </rPr>
      <t xml:space="preserve">      </t>
    </r>
    <r>
      <rPr>
        <sz val="9"/>
        <color theme="1"/>
        <rFont val="Arial"/>
        <family val="2"/>
      </rPr>
      <t xml:space="preserve">TIPO      </t>
    </r>
    <r>
      <rPr>
        <sz val="11"/>
        <color theme="1"/>
        <rFont val="Arial"/>
        <family val="2"/>
      </rPr>
      <t xml:space="preserve">             </t>
    </r>
    <r>
      <rPr>
        <sz val="9"/>
        <color theme="1"/>
        <rFont val="Arial"/>
        <family val="2"/>
      </rPr>
      <t xml:space="preserve"> OTORGA C/U.</t>
    </r>
    <r>
      <rPr>
        <sz val="11"/>
        <color theme="1"/>
        <rFont val="Arial"/>
        <family val="2"/>
      </rPr>
      <t xml:space="preserve">                GS.                            GS.                                                       </t>
    </r>
  </si>
  <si>
    <t xml:space="preserve">  </t>
  </si>
  <si>
    <t>ACCIONES EN TESORERIA</t>
  </si>
  <si>
    <r>
      <rPr>
        <sz val="8"/>
        <color theme="1"/>
        <rFont val="Arial"/>
        <family val="2"/>
      </rPr>
      <t xml:space="preserve">        </t>
    </r>
    <r>
      <rPr>
        <u/>
        <sz val="8"/>
        <color theme="1"/>
        <rFont val="Arial"/>
        <family val="2"/>
      </rPr>
      <t>1.442</t>
    </r>
    <r>
      <rPr>
        <sz val="8"/>
        <color theme="1"/>
        <rFont val="Arial"/>
        <family val="2"/>
      </rPr>
      <t>.</t>
    </r>
    <r>
      <rPr>
        <u/>
        <sz val="8"/>
        <color theme="1"/>
        <rFont val="Arial"/>
        <family val="2"/>
      </rPr>
      <t>-</t>
    </r>
    <r>
      <rPr>
        <sz val="8"/>
        <color theme="1"/>
        <rFont val="Arial"/>
        <family val="2"/>
      </rPr>
      <t xml:space="preserve">   PREFER./NOMINATIVAS                                    </t>
    </r>
    <r>
      <rPr>
        <u/>
        <sz val="8"/>
        <color theme="1"/>
        <rFont val="Arial"/>
        <family val="2"/>
      </rPr>
      <t xml:space="preserve">       144.200.000.-</t>
    </r>
    <r>
      <rPr>
        <sz val="8"/>
        <color theme="1"/>
        <rFont val="Arial"/>
        <family val="2"/>
      </rPr>
      <t xml:space="preserve">                   </t>
    </r>
    <r>
      <rPr>
        <u/>
        <sz val="8"/>
        <color theme="1"/>
        <rFont val="Arial"/>
        <family val="2"/>
      </rPr>
      <t xml:space="preserve">     144.200.000.-</t>
    </r>
    <r>
      <rPr>
        <sz val="8"/>
        <color theme="1"/>
        <rFont val="Arial"/>
        <family val="2"/>
      </rPr>
      <t xml:space="preserve"> </t>
    </r>
  </si>
  <si>
    <t>========                                                                                  =============                    =============</t>
  </si>
  <si>
    <t>Recaudaciones a Depositar</t>
  </si>
  <si>
    <t xml:space="preserve">Fondo de Sencillo </t>
  </si>
  <si>
    <t>Otros Créditos</t>
  </si>
  <si>
    <t>Anticipo a Proveedores del Exterior</t>
  </si>
  <si>
    <t xml:space="preserve">Otros créditos </t>
  </si>
  <si>
    <t xml:space="preserve">Otros Activos Corrientes  </t>
  </si>
  <si>
    <t xml:space="preserve">NOTA 6 - OTROS ACTIVOS </t>
  </si>
  <si>
    <t xml:space="preserve">Impuesto Inmobiliario </t>
  </si>
  <si>
    <t>Tasas Especiales</t>
  </si>
  <si>
    <t>Patente Municipal</t>
  </si>
  <si>
    <t>Impuestos y Tasas s/ Inversiones Inmob.</t>
  </si>
  <si>
    <t>Impuestos y Tasas Prop. Rural</t>
  </si>
  <si>
    <t>1 voto por accion</t>
  </si>
  <si>
    <t xml:space="preserve">Propiedad, planta y equipo </t>
  </si>
  <si>
    <t>Otros Activos</t>
  </si>
  <si>
    <t>Nota 41</t>
  </si>
  <si>
    <t>Corrientes</t>
  </si>
  <si>
    <t xml:space="preserve">Seguro Social I.P.S a pagar Act. Ganadera </t>
  </si>
  <si>
    <t xml:space="preserve">Ingresos No Devengados </t>
  </si>
  <si>
    <t xml:space="preserve">a.1 Reserva de revalúo Ley 125/91 </t>
  </si>
  <si>
    <t>Correspondiente a las Acciones en Tesoreria</t>
  </si>
  <si>
    <t xml:space="preserve">Ingresos Varios </t>
  </si>
  <si>
    <r>
      <rPr>
        <b/>
        <u/>
        <sz val="9"/>
        <color theme="1"/>
        <rFont val="Arial"/>
        <family val="2"/>
      </rPr>
      <t>Denominación</t>
    </r>
    <r>
      <rPr>
        <b/>
        <sz val="9"/>
        <color theme="1"/>
        <rFont val="Arial"/>
        <family val="2"/>
      </rPr>
      <t>: NICOLAS GONZALEZ ODDONE S.A.E.C.A</t>
    </r>
  </si>
  <si>
    <t>Los Estatutos originales sufrieron las siguientes modificaciones:</t>
  </si>
  <si>
    <r>
      <rPr>
        <b/>
        <u/>
        <sz val="9"/>
        <color theme="1"/>
        <rFont val="Arial"/>
        <family val="2"/>
      </rPr>
      <t>La Sociedad tiene por objeto</t>
    </r>
    <r>
      <rPr>
        <b/>
        <sz val="9"/>
        <color theme="1"/>
        <rFont val="Arial"/>
        <family val="2"/>
      </rPr>
      <t>:</t>
    </r>
  </si>
  <si>
    <t xml:space="preserve">Ejercicio Fiscal </t>
  </si>
  <si>
    <t xml:space="preserve">a.   Bases de contabilización </t>
  </si>
  <si>
    <t>La preparación de los presentes estados contables requiere que la Gerencia y el Directorio de la sociedad realicen estimaciones y evaluaciones que afectan el monto de los activos y pasivos registrados y contingentes revelados a fecha de cierre de cada balance, así como también los ingresos y egresos registrados en el ejercicio. El Directorio estima que los resultados reales futuros podrían diferir, en forma poco significativa, de las estimaciones y evaluaciones realizadas a la fecha de preparación de los presentes estados contables.</t>
  </si>
  <si>
    <t>Los activos y pasivos en moneda extranjera se valúan a los tipos de cambio vigentes a la fecha de cierre del balance, publicados por la administración tributaria.</t>
  </si>
  <si>
    <t>Las diferencias de cambio originadas por fluctuaciones en los tipos de cambio producidos entre las fechas de concertación de las operaciones y su liquidación o valuación al cierre del balance, son reconocidas en resultados.</t>
  </si>
  <si>
    <t xml:space="preserve">La depreciación es calculada por el método de línea recta, conforme a la vida útil definida por la administración tributaria. </t>
  </si>
  <si>
    <t>Los intangibles se exponen a su costo incurrido menos las correspondientes amortizaciones acumuladas al cierre del año, y son reconocidas en los resultados.</t>
  </si>
  <si>
    <t>l. Reconocimiento de ingresos y egresos</t>
  </si>
  <si>
    <t>m. Impuesto a la renta</t>
  </si>
  <si>
    <t>n. Restricciones a la distribución de utilidades</t>
  </si>
  <si>
    <t>capital integrado.</t>
  </si>
  <si>
    <t>o. Acciones de tesoreria</t>
  </si>
  <si>
    <t xml:space="preserve">Adquisicion de bienes de uso </t>
  </si>
  <si>
    <t>+ Costo de producción</t>
  </si>
  <si>
    <t xml:space="preserve">Comercial </t>
  </si>
  <si>
    <t xml:space="preserve">Ganadera </t>
  </si>
  <si>
    <t>Tranferencia por reclasificacion de ganado/VM</t>
  </si>
  <si>
    <t>Amortización acum. Gastos de Organiz.</t>
  </si>
  <si>
    <t>Amortización acum. Program. de inf. en línea</t>
  </si>
  <si>
    <r>
      <t xml:space="preserve"> </t>
    </r>
    <r>
      <rPr>
        <b/>
        <sz val="11"/>
        <color theme="1"/>
        <rFont val="Arial"/>
        <family val="2"/>
      </rPr>
      <t>E S T  A  D  O  S      C  O  N  T  A  B  L  E  S</t>
    </r>
    <r>
      <rPr>
        <sz val="11"/>
        <color theme="1"/>
        <rFont val="Arial"/>
        <family val="2"/>
      </rPr>
      <t xml:space="preserve">              </t>
    </r>
  </si>
  <si>
    <t>Intereses cobrados sobre inversiones</t>
  </si>
  <si>
    <t>(Disminución) Incremento de préstamos</t>
  </si>
  <si>
    <t xml:space="preserve">Intereses Pagados sobre préstamos </t>
  </si>
  <si>
    <t>Intereses pagados</t>
  </si>
  <si>
    <t xml:space="preserve">Otros ingresos operativos </t>
  </si>
  <si>
    <t xml:space="preserve">Otros  gastos operativos </t>
  </si>
  <si>
    <t xml:space="preserve">Otros ingresos y gastos operativos/ No Operativos </t>
  </si>
  <si>
    <t>Nota 28.1 - Otros Ingresos y gastos no operativos</t>
  </si>
  <si>
    <t>28.1</t>
  </si>
  <si>
    <t xml:space="preserve">Ingresos financieros - neto/ Inversiones </t>
  </si>
  <si>
    <t xml:space="preserve">Total General Otros Resultados no operativos </t>
  </si>
  <si>
    <t>Nota 30 - Resultado de inversiones en asociadas</t>
  </si>
  <si>
    <t xml:space="preserve">El resultado de las inversiones en las empresas asociadas, son reconocidas al cierre de año, aplicando el VPP. </t>
  </si>
  <si>
    <t>Bancos Locales CTA.CTE Y C.AH - Moneda Extranjera (USD)</t>
  </si>
  <si>
    <t>Casa de Bolsa CADIEM</t>
  </si>
  <si>
    <t>No Corrientes</t>
  </si>
  <si>
    <t>Derecho Aduanero a Regularizar</t>
  </si>
  <si>
    <t>Amortización acum. Licenc. de Informática</t>
  </si>
  <si>
    <t>Amortización acum. Programas de Inform.</t>
  </si>
  <si>
    <t xml:space="preserve">Amortización acum. Lic. para teléfonos </t>
  </si>
  <si>
    <t>Amortización acum. Marcas y señales</t>
  </si>
  <si>
    <t>Amortización acum. Lic. De Informática Act. Ganad.</t>
  </si>
  <si>
    <t>Intereses s/ préstamos bancarios a pagar</t>
  </si>
  <si>
    <t xml:space="preserve">(-) Intereses s/ préstamos bancarios a Vencer </t>
  </si>
  <si>
    <t>Guarani</t>
  </si>
  <si>
    <t>Aguinaldos a Pagar</t>
  </si>
  <si>
    <t>Impuesto a la renta a pagar</t>
  </si>
  <si>
    <t xml:space="preserve">IVA aduana a pagar </t>
  </si>
  <si>
    <t xml:space="preserve">Dividendos a Pagar </t>
  </si>
  <si>
    <t xml:space="preserve">Efectivo generado por las operaciones </t>
  </si>
  <si>
    <t xml:space="preserve">Venta de bienes de uso </t>
  </si>
  <si>
    <t>Aportes de capital recibidos</t>
  </si>
  <si>
    <t>Dividendos pagados</t>
  </si>
  <si>
    <t xml:space="preserve">Efecto estimado de la diferencia de cambio sobre el saldo de efectivo </t>
  </si>
  <si>
    <t xml:space="preserve">Efectivo al principio del año </t>
  </si>
  <si>
    <t>Ventas Activ. Ganadera capitalización</t>
  </si>
  <si>
    <t xml:space="preserve">Mant. y reparación de edificios de Invers. </t>
  </si>
  <si>
    <t xml:space="preserve">Pérdida en vta. Bienes de uso </t>
  </si>
  <si>
    <t xml:space="preserve">Intereses por Inversiones financieras </t>
  </si>
  <si>
    <t xml:space="preserve">Pérdidas por valuacion </t>
  </si>
  <si>
    <t>Total Ingresos de Inv. Financ.</t>
  </si>
  <si>
    <t>Gastos de Inversión Financiera</t>
  </si>
  <si>
    <t>Ingresos de Inversión Financiera</t>
  </si>
  <si>
    <t>Total Gatos de Inv. Financiera</t>
  </si>
  <si>
    <t>Impuesto a la renta adic. p/ distrib. Utilid.</t>
  </si>
  <si>
    <t xml:space="preserve">Total costo de ventas </t>
  </si>
  <si>
    <t xml:space="preserve">Simbología </t>
  </si>
  <si>
    <t>Simbología</t>
  </si>
  <si>
    <t>Cuenta</t>
  </si>
  <si>
    <t>Reservas de Capitalización</t>
  </si>
  <si>
    <t xml:space="preserve">Pérdida por Siniestros </t>
  </si>
  <si>
    <t xml:space="preserve">CDA Bancop </t>
  </si>
  <si>
    <t>Pershing LLC- Exterior</t>
  </si>
  <si>
    <t>Casa de Bolsa Cadiem Fondos Mutuos ME</t>
  </si>
  <si>
    <t xml:space="preserve">Derechos aduaneros a aplicar </t>
  </si>
  <si>
    <t>Intereses pagados a recuperar ME. INV.FINANC</t>
  </si>
  <si>
    <t>Combustibles a utilizar</t>
  </si>
  <si>
    <t>Metalúrgica Trapp S.A</t>
  </si>
  <si>
    <t xml:space="preserve">Cuentas ME  vencer </t>
  </si>
  <si>
    <t>Ingresos por comisiones</t>
  </si>
  <si>
    <t>Ingresos extraordinarios -devoluc.der.Aduan.</t>
  </si>
  <si>
    <t xml:space="preserve">Ingresos varios Avion </t>
  </si>
  <si>
    <t xml:space="preserve">Intereses Cobrados </t>
  </si>
  <si>
    <t>Diferencias de cambios Gtos. Financ.</t>
  </si>
  <si>
    <t>Intereses p/ Vta. A credito Grav.</t>
  </si>
  <si>
    <t>Inversiones Temporales</t>
  </si>
  <si>
    <t>Cuentas por Cobrar Comerciales</t>
  </si>
  <si>
    <t>Inversiones en Asociadas</t>
  </si>
  <si>
    <t xml:space="preserve">Cuentas a Pagar - Comerciales </t>
  </si>
  <si>
    <t>Prestamos a corto plazo</t>
  </si>
  <si>
    <t xml:space="preserve">Provisiones </t>
  </si>
  <si>
    <t>Ingresos no devengados</t>
  </si>
  <si>
    <t>Juan José Bosio González</t>
  </si>
  <si>
    <t>Créditos Recuperados Gr.</t>
  </si>
  <si>
    <t xml:space="preserve">Resultado Vtas. Bienes de uso </t>
  </si>
  <si>
    <t>Deudores por Vta. de Activo Fijo</t>
  </si>
  <si>
    <t>LG electronics inc.</t>
  </si>
  <si>
    <t xml:space="preserve">Banco Basa </t>
  </si>
  <si>
    <t xml:space="preserve">Banco Regional- Préstamos </t>
  </si>
  <si>
    <t xml:space="preserve">Banco GNB- Préstamos </t>
  </si>
  <si>
    <t>1 INM. COLONIA INDEP. 360 M2 PADRON 18219,1 INM. COL.IND. 361 PADRON 18220, 3 INM ENCARN. 508 M2 CCC23-1685-09 , 4 INM. COLONIA TACUARI, 1082 M2 PADRON 11512</t>
  </si>
  <si>
    <t xml:space="preserve">CCCAT. 11-0076-19 CABALLERO Y AZARA </t>
  </si>
  <si>
    <t>CTA CTE 17225-06 LOTE 14 MANZANA G HORQUETA RUTA V KM40</t>
  </si>
  <si>
    <t>CTA CTE 17-228-03 LOTE 2 MANZANA I HORQUETA RUTA V</t>
  </si>
  <si>
    <t>CTA CTE CAT 30-0023-21 VILLAHAYES MAT P01/5 187</t>
  </si>
  <si>
    <t>CTA. CTE. CAT Nº 17-0423-03 DISTRITO DE CONCEPCION</t>
  </si>
  <si>
    <t>CTA. CTE. CAT nº 18/1705 PADRON 2016- CAPIIBARY</t>
  </si>
  <si>
    <t>CTA. CTE. CAT. Nº 27-1538-03 LUQUE LOTE 5</t>
  </si>
  <si>
    <t>CTA. CTE. CAT. Nº 27-5132-03/04/05 DTO. CAPIATA</t>
  </si>
  <si>
    <t>CTA. CTE. Nº 12-0578-05 ARTIGAS (EX ALARCON)</t>
  </si>
  <si>
    <t>CTA.CTE. CAT. Nº 12-0578-04 LOTE 19 Y 20- ARTIGAS</t>
  </si>
  <si>
    <t>CTA.CTE. CAT. Nº 15-1359-07-00-01 - ARBOLEDA</t>
  </si>
  <si>
    <t>CTA.CTE. CAT. Nº 19-0063-08 FINCA Nº 271- CAACUPE</t>
  </si>
  <si>
    <t>CTA.CTE.CAT. 11-0058-12 CABALLERO Y A.</t>
  </si>
  <si>
    <t>CTA.CTE.CAT. 11-0058-13 CABALLERO Y AZARA</t>
  </si>
  <si>
    <t>CTA.CTE.CAT. 11-0058-14 CABALLERO Y A.</t>
  </si>
  <si>
    <t>CTA.CTE.CAT. 11-0058-15 CABALLERO Y A.</t>
  </si>
  <si>
    <t>CTA.CTE.CAT. 11-0058-16 CABALLERO Y A.</t>
  </si>
  <si>
    <t>CTA.CTE.CAT. 11-0076-20 CABALLERO Y MD</t>
  </si>
  <si>
    <t>CTA.CTE.CAT. 13-0620-09/10/11 PIZARRO</t>
  </si>
  <si>
    <t>CTA.CTE.CAT. 15-0885-01 JULIO C.</t>
  </si>
  <si>
    <t>CTA.CTE.CAT. 15-0885-18</t>
  </si>
  <si>
    <t>CTA.CTE.CAT. 27-0552-16 ITAUGUA</t>
  </si>
  <si>
    <t>CTA.CTE.CAT. 27-1077-13/14 - AREGUA</t>
  </si>
  <si>
    <t>CTA.CTE.CAT. 27-1734-01 GALERIA SL</t>
  </si>
  <si>
    <t>CTA.CTE.CAT. Nº 15-1359-07-00-01 - ARBOLEDA</t>
  </si>
  <si>
    <t>CTA.CTE.CAT.26-2259-03-04-05 C.ESTE.</t>
  </si>
  <si>
    <t>ASFALTADO 17-0081-11</t>
  </si>
  <si>
    <t>CURUGUATY PADRON Nº 1763</t>
  </si>
  <si>
    <t>DEP. NRO A101 BLOQUE A 1ER PISO Y 2 COLCH. 20 Y 21 COCH ADIC 5 BALKONIA</t>
  </si>
  <si>
    <t xml:space="preserve">FINCA Nº7 DIST.STA.ROSA DEL AGUARAY, PADRON 13 LOTE1 MANZ34 GUSTAVO DIAZ </t>
  </si>
  <si>
    <t xml:space="preserve">DISTRITO ABAI, FINCA 2207, PADRON 3198 SUPERF. 9999m2 </t>
  </si>
  <si>
    <t>INMUEBLE FINCA 7745 DEPART. CAAZAPA,FRACCION LOMA CLAVEL 1000MTRS.</t>
  </si>
  <si>
    <t>FINCA 903 SUP. 588 M2 LOTE 7 MANZANA 11 YBY YAU</t>
  </si>
  <si>
    <t>FINCA N° 21-289 - CAAGUAZU PADRON 17946</t>
  </si>
  <si>
    <t>FINCA Nº 29584, PADRON Nº 26964, CAPIATA</t>
  </si>
  <si>
    <t>FRACCION SOL NACIENTE LOTE Nº9 MANZANA 06 CTA CTE. 27-0129-18</t>
  </si>
  <si>
    <t>INMUEBLE CON FINCA 24282 CDE</t>
  </si>
  <si>
    <t>INMUEBLES CON MAT.K01/32285 HERNANDARIAS</t>
  </si>
  <si>
    <t>LOTE 1 PADRON 12192 FINCA 1173 MAT 19371 CAACUPE</t>
  </si>
  <si>
    <t>PADRON 2882-FINCA 3403 EUSEBIO AYALA</t>
  </si>
  <si>
    <t>PADRON 3182-FINCA 3330 E.AYALA</t>
  </si>
  <si>
    <t>PADRON 6324 BO TELLEZ CUE CNEL BOGADO ITAPUA</t>
  </si>
  <si>
    <t>PADRON Nº 1266 / FINCA Nº 1147 - AYOLAS</t>
  </si>
  <si>
    <t>CCC27-0190-27 FINCA 10886 SAN LORENZO</t>
  </si>
  <si>
    <t xml:space="preserve">DISTRI.SAN LORENZO LOTE 7 CCC27-4056-11 367m2 </t>
  </si>
  <si>
    <t>CTA CTE CAT 19-2650-08 427,68m2 CAACUPE</t>
  </si>
  <si>
    <t>CONSTRUCCIONES EN CURSO</t>
  </si>
  <si>
    <t>CTA. CTE. Nº 12-0323-08 SUP 1116,5 M2FINCA 11-252 ESPAÑA 663 DTO.SAN ROQUE</t>
  </si>
  <si>
    <t>Intereses por Inversiones financieras EX</t>
  </si>
  <si>
    <t xml:space="preserve">Anticipo para préstamos a terceros </t>
  </si>
  <si>
    <t>Hacienda Vacuna - Capitalización</t>
  </si>
  <si>
    <t>Glaziar Electrical Appliances S.L</t>
  </si>
  <si>
    <t>Sony Uruguay Branck de Sony Latin</t>
  </si>
  <si>
    <t>Ventas Equinos</t>
  </si>
  <si>
    <t>Intereses a vencer ME-LP</t>
  </si>
  <si>
    <t>Total Inversiones financieras</t>
  </si>
  <si>
    <t>Inversiones Financieras</t>
  </si>
  <si>
    <t>Otros Pasivos corrientes Moneda Extranjera</t>
  </si>
  <si>
    <t>Intereses a Devengar ME LP</t>
  </si>
  <si>
    <t xml:space="preserve">NOTA 19.1 –PASIVOS NO CORRIENTES </t>
  </si>
  <si>
    <t xml:space="preserve">No existen restricciones a la distribución de utilidades mas que lo siguiente: </t>
  </si>
  <si>
    <t xml:space="preserve">• La legislación paraguaya establece una transferencia del 5% de las utilidades del ejercicio para la constitución de una reserva legal hasta completar el 20% del </t>
  </si>
  <si>
    <t>• De acuerdo a la ley Nº 6380/19 que deroga los libros I, III y IV de la Ley N° 125/91, la cual dispone aplicar sobre el importe a distribuir las siguientes tasas</t>
  </si>
  <si>
    <t>a) 8% (ocho por ciento) cuando el perceptor de los dividendos, utilidades o rendimientos sea una persona física, jurídica o entidad residente en el país.</t>
  </si>
  <si>
    <t xml:space="preserve">Inmuebles - Edificios y terrenos </t>
  </si>
  <si>
    <t>Impuesto a la Renta Ley 125/91</t>
  </si>
  <si>
    <t xml:space="preserve">Reserva Revaluo/Lega  - CPH/TF </t>
  </si>
  <si>
    <r>
      <t xml:space="preserve">A partir del ejercicio 2008, la compañía utiliza el criterio del valor neto de realización para valuar su hacienda vacuna. </t>
    </r>
    <r>
      <rPr>
        <b/>
        <sz val="9"/>
        <color theme="1"/>
        <rFont val="Arial"/>
        <family val="2"/>
      </rPr>
      <t>Ver Nota 7</t>
    </r>
  </si>
  <si>
    <r>
      <t xml:space="preserve">Las inversiones temporales se valúan de acuerdo a los siguientes criterios de valuación:
* Colocaciones financieras en moneda extranjera: a su valor de cotización al cierre del año/período . </t>
    </r>
    <r>
      <rPr>
        <b/>
        <sz val="9"/>
        <color theme="1"/>
        <rFont val="Arial"/>
        <family val="2"/>
      </rPr>
      <t>Ver Nota 4</t>
    </r>
    <r>
      <rPr>
        <sz val="9"/>
        <color theme="1"/>
        <rFont val="Arial"/>
        <family val="2"/>
      </rPr>
      <t xml:space="preserve">
*  Las inversiones no corrientes en sociedades donde no se ejerce el control, se valúan al valor patrimonial proporcional</t>
    </r>
    <r>
      <rPr>
        <b/>
        <sz val="9"/>
        <color theme="1"/>
        <rFont val="Arial"/>
        <family val="2"/>
      </rPr>
      <t>. Ver Nota 8</t>
    </r>
    <r>
      <rPr>
        <sz val="9"/>
        <color theme="1"/>
        <rFont val="Arial"/>
        <family val="2"/>
      </rPr>
      <t xml:space="preserve">
</t>
    </r>
  </si>
  <si>
    <t>5 voto por accion</t>
  </si>
  <si>
    <t xml:space="preserve">Prima de Recompra </t>
  </si>
  <si>
    <t xml:space="preserve">de Acciones </t>
  </si>
  <si>
    <t>Utilidad Neta por Acción</t>
  </si>
  <si>
    <t>a) ----------------------------------------------</t>
  </si>
  <si>
    <t>b) --------------------------------------------</t>
  </si>
  <si>
    <t>Nicolás V. González R.</t>
  </si>
  <si>
    <t>Mauro E. González R.</t>
  </si>
  <si>
    <t>Montserrat González de Caballero</t>
  </si>
  <si>
    <t>Nicolas E. González Z.</t>
  </si>
  <si>
    <t>Jose A. González Z.</t>
  </si>
  <si>
    <t>Esteban J. González K.</t>
  </si>
  <si>
    <t>Violeta M. González K.</t>
  </si>
  <si>
    <t>Bruno A. González K.</t>
  </si>
  <si>
    <t>Mauro Antonio González K.</t>
  </si>
  <si>
    <t xml:space="preserve">Total Provisiones </t>
  </si>
  <si>
    <t>Todo Franquicia S.A.</t>
  </si>
  <si>
    <t>Ingresos de Inversiones Financieras</t>
  </si>
  <si>
    <t>Resultado en inversiones permanentes</t>
  </si>
  <si>
    <t>b)15% (quince por ciento) cuando el perceptor de los dividendos, utilidades o rendimientos sea una persona física, jurídica o entidad no residente en el país, incluidos los obtenidos por la casa matriz del exterior.</t>
  </si>
  <si>
    <t>Gisela González de Bosio</t>
  </si>
  <si>
    <t>Beatriz Eugenia González de Bosio</t>
  </si>
  <si>
    <t>Ana Mariela Cristaldo</t>
  </si>
  <si>
    <t>Cidecom SRL</t>
  </si>
  <si>
    <t>Estirpe Guarani SRL</t>
  </si>
  <si>
    <t>Confort para le Hogar S.A.</t>
  </si>
  <si>
    <t>Monday SA Inmobiliaria</t>
  </si>
  <si>
    <t>Agropecuaria Cuatro Vientos S.A.</t>
  </si>
  <si>
    <t>Sara Comercial Villa Morra S.A.</t>
  </si>
  <si>
    <t>b) Datos sobre la inversión:</t>
  </si>
  <si>
    <t>Ajuste VPP</t>
  </si>
  <si>
    <t>Pasivos NC.</t>
  </si>
  <si>
    <t>NOTA 22 –  DIFERENCIA TRANSITORIA POR CONVERSION</t>
  </si>
  <si>
    <t>Puente - Fondos Mutuos ML</t>
  </si>
  <si>
    <t>Casa de Bolsa Cadiem Fondos Mutuos ML</t>
  </si>
  <si>
    <t>Investor casa de bolsa S.A Fondos mutuos ML</t>
  </si>
  <si>
    <t>Regional casa de Bolsa S.A Fondos MutuosG.</t>
  </si>
  <si>
    <t>Préstamos a terceros ME</t>
  </si>
  <si>
    <t>Anticipo para reparación edificios/activo fijo</t>
  </si>
  <si>
    <t>Shanghai Qi Yun Enterprise</t>
  </si>
  <si>
    <t>Símbolo</t>
  </si>
  <si>
    <t xml:space="preserve">Símbolo </t>
  </si>
  <si>
    <t xml:space="preserve">CCC 26-0971-20, distrito CDE, 736m2 AVDA. BERNARDINO CABALLERO </t>
  </si>
  <si>
    <t>Impuesto a la construcción</t>
  </si>
  <si>
    <t>Diferencias de cambio GR. INV.FIN.</t>
  </si>
  <si>
    <t xml:space="preserve">Ganancias por valuación </t>
  </si>
  <si>
    <t>Diferencias de cambio Inv.fin.Ex</t>
  </si>
  <si>
    <t>NOTA 40 - SALDOS Y TRANSACCIONES CON PARTES RELACIONADAS</t>
  </si>
  <si>
    <t>Beatriz González de Bosio</t>
  </si>
  <si>
    <t>Gisela González de Fúster</t>
  </si>
  <si>
    <t>Presidente: Nicolás V. González R.</t>
  </si>
  <si>
    <t>Presidente</t>
  </si>
  <si>
    <t>Vicepresidente: Mauro E. González R.</t>
  </si>
  <si>
    <t>Vicepresidente</t>
  </si>
  <si>
    <t>Director Titular: Montserrat González de Caballero</t>
  </si>
  <si>
    <t>Director</t>
  </si>
  <si>
    <t>Director Titular: Gisela González de Fúster</t>
  </si>
  <si>
    <t>Director Titular: Juan Jose Bosio</t>
  </si>
  <si>
    <t>Director Titular: Nino Cricco</t>
  </si>
  <si>
    <t>Director Titular: Domingo Daher</t>
  </si>
  <si>
    <t xml:space="preserve">Síndico </t>
  </si>
  <si>
    <t>Auditora Interna: Ana Cristaldo</t>
  </si>
  <si>
    <t>Auditoria Interna</t>
  </si>
  <si>
    <t>Juan Jose Bosio G.</t>
  </si>
  <si>
    <t>Irmina E. Quintana</t>
  </si>
  <si>
    <t>Raquel Sofia Aguilar Zapag</t>
  </si>
  <si>
    <t>Activo</t>
  </si>
  <si>
    <t>Cuentas a Cobrar</t>
  </si>
  <si>
    <t>M. Montserrat González</t>
  </si>
  <si>
    <t xml:space="preserve">* Productos </t>
  </si>
  <si>
    <r>
      <rPr>
        <u/>
        <sz val="9"/>
        <color theme="1"/>
        <rFont val="Arial"/>
        <family val="2"/>
      </rPr>
      <t>Mauro Esteban González</t>
    </r>
    <r>
      <rPr>
        <sz val="9"/>
        <color theme="1"/>
        <rFont val="Arial"/>
        <family val="2"/>
      </rPr>
      <t xml:space="preserve"> </t>
    </r>
  </si>
  <si>
    <r>
      <rPr>
        <u/>
        <sz val="9"/>
        <color theme="1"/>
        <rFont val="Arial"/>
        <family val="2"/>
      </rPr>
      <t>Sara Comercial Villamorra S.A</t>
    </r>
    <r>
      <rPr>
        <sz val="9"/>
        <color theme="1"/>
        <rFont val="Arial"/>
        <family val="2"/>
      </rPr>
      <t xml:space="preserve"> </t>
    </r>
  </si>
  <si>
    <t>Nicolas V. González</t>
  </si>
  <si>
    <t xml:space="preserve">Beatriz Eugenia González de Bosio </t>
  </si>
  <si>
    <t xml:space="preserve">* Producto </t>
  </si>
  <si>
    <t xml:space="preserve">*Producto </t>
  </si>
  <si>
    <t xml:space="preserve">Ana Mariela Cristaldo </t>
  </si>
  <si>
    <t xml:space="preserve">Inversiones Mobiliarias Permanentes </t>
  </si>
  <si>
    <t>La integracón a la fecha asciende a Gs. 27.477.000.000</t>
  </si>
  <si>
    <t>La integración actual asciende a Gs. 45.006.000.000</t>
  </si>
  <si>
    <t>Ingresos</t>
  </si>
  <si>
    <t xml:space="preserve">Disminución o incremento neto de efectivo </t>
  </si>
  <si>
    <t>Situación</t>
  </si>
  <si>
    <t xml:space="preserve">% Previsiones  sobre Cartera </t>
  </si>
  <si>
    <t>A  Total Cartera no Vencida</t>
  </si>
  <si>
    <t>Moneda Extranjera otros</t>
  </si>
  <si>
    <t>Deudores por ventas en el exterior</t>
  </si>
  <si>
    <t>Composición Cartera Vencida</t>
  </si>
  <si>
    <t>Total de la cartera de créditos (A+B)</t>
  </si>
  <si>
    <t>(-) Total Previsiones</t>
  </si>
  <si>
    <t>TOTAL  NETO DE LA CARTERA DE CRÉDITOS</t>
  </si>
  <si>
    <t>Criterios de Clasificación utilizados</t>
  </si>
  <si>
    <t>De</t>
  </si>
  <si>
    <t>A</t>
  </si>
  <si>
    <t xml:space="preserve">          Mas de 151 </t>
  </si>
  <si>
    <t>Deudores en gestión judicial</t>
  </si>
  <si>
    <t>Resultados Acumulados</t>
  </si>
  <si>
    <t xml:space="preserve">Resultados no Operativos </t>
  </si>
  <si>
    <t>Dif.de cambios Gr. G.Inv.FIN.</t>
  </si>
  <si>
    <t>Dif.de cambios EX.INV.FIN.</t>
  </si>
  <si>
    <t>La sociedad fue constituida por escritura de fecha 25 de marzo de 1964, autorizada por el Escribano Público Gervasio Recalde, habiéndose aprobado los mencionados estatutos y reconocida la personería jurídica de la sociedad por decretodel poder ejecutivo de la nacion Nº 4.180 de fecha 16 de abril de 1964, e inscriptos en el registro público de comercio por mandato del señor Juez de primera instancia en lo comercial del segundoturno, Dr. Arnaldo Rojas Rojas Sánchez, bajo el Nº 106 y en la página26 y sgtes., según providencia de fecha 03 de junio del mismo año.</t>
  </si>
  <si>
    <t xml:space="preserve">El Impuesto a la Rental, es calculado en base al resultado contable, ajustado por las partidas que la ley tributaria incluye o excluye para la actividad grabable, a esta cifra final se aplica la tasa del 10% en concepto de Impuesto a la Renta Empresarial Ley 6380/19 de Modernización del Sistema Tributario Nacional. 
</t>
  </si>
  <si>
    <t>Anticipos para gastos de despachos</t>
  </si>
  <si>
    <t xml:space="preserve">Gratificaciones/Bonificaciones  a Pagar </t>
  </si>
  <si>
    <t>Remuneracion Directorio a pagar</t>
  </si>
  <si>
    <t xml:space="preserve">Ventas de Mercaderías </t>
  </si>
  <si>
    <t>NOTA 29.1 - INGRESOS Y GASTOS  DE INVERSIONES FINANCIERAS</t>
  </si>
  <si>
    <t>Egresos de Inversiones Financieras</t>
  </si>
  <si>
    <t xml:space="preserve">Al … de …........... 2021 la Sociedad constituyó una provisión para impuesto a la renta de Guaraníes  …... (Al … de …...............2021:  Guaraníes  …....) / (La Sociedad no ha constituido provisión para impuesto a la renta, debido a que a esa fecha la misma generó renta imponible que fue compensada con quebrantos impositivos acumulados a esa fecha). </t>
  </si>
  <si>
    <t>Saldo al 31 de Diciembre 2019</t>
  </si>
  <si>
    <r>
      <rPr>
        <b/>
        <sz val="9"/>
        <color theme="1"/>
        <rFont val="Arial"/>
        <family val="2"/>
      </rPr>
      <t>1º)</t>
    </r>
    <r>
      <rPr>
        <sz val="9"/>
        <color theme="1"/>
        <rFont val="Arial"/>
        <family val="2"/>
      </rPr>
      <t xml:space="preserve"> Por Escritura N°º 77 de fecha 5 de abril de 1976, aprobadas las modificaciones y aumento de capital social a G. 100.000.000 (guaranies cien millones) por Decreto N° 23039 del 31 de mayo de 1976, e inscriptas en el registro publico de comercio, bajo el N°. 442 y en la pagina 202 en fecha 22 de junio del mismo año;                 </t>
    </r>
  </si>
  <si>
    <r>
      <rPr>
        <b/>
        <sz val="9"/>
        <color theme="1"/>
        <rFont val="Arial"/>
        <family val="2"/>
      </rPr>
      <t>2°)</t>
    </r>
    <r>
      <rPr>
        <sz val="9"/>
        <color theme="1"/>
        <rFont val="Arial"/>
        <family val="2"/>
      </rPr>
      <t xml:space="preserve">  Por Escritura del 7 de mayo de 1979, aprobadas las modificaciones y aumento de capital social a G. 300.000.000 (guaranies trescientos millones) por decreto N° 8.425 del 20 de julio de 1979, e inscriptas bajo el N° 999 y en la pagina 145 y sgtes., según providencia del mismo año;   </t>
    </r>
  </si>
  <si>
    <r>
      <rPr>
        <b/>
        <sz val="9"/>
        <color theme="1"/>
        <rFont val="Arial"/>
        <family val="2"/>
      </rPr>
      <t>3°)</t>
    </r>
    <r>
      <rPr>
        <sz val="9"/>
        <color theme="1"/>
        <rFont val="Arial"/>
        <family val="2"/>
      </rPr>
      <t xml:space="preserve"> Por escritura N° 120 del 30 de abril de 1986, aprobadas las modificaciones y aumento de capital social a G 800.000.000 (guaranies ochocientos millones) por decreto N°. 18459 del 17 de noviembre de 1986, inscripta en el registro publico de comercio, bajo el N°. 1106 y en la pagina 32 vlto., en fecha 3 de diciembre del mismo año</t>
    </r>
  </si>
  <si>
    <r>
      <rPr>
        <b/>
        <sz val="9"/>
        <color theme="1"/>
        <rFont val="Arial"/>
        <family val="2"/>
      </rPr>
      <t>4°)</t>
    </r>
    <r>
      <rPr>
        <sz val="9"/>
        <color theme="1"/>
        <rFont val="Arial"/>
        <family val="2"/>
      </rPr>
      <t xml:space="preserve"> por escritura N°. 219 del 6 de noviembre de 1989, aprobada la modificación por aumento de capital a G 3.000.000.000 (guaranies tres mil millones) y adecuacion al codigo civil, escritura en donde constan los estatutos actualizados de la sociedad, que fueron inscriptos en el registro publico de comercio, bajo el N°. 1423 y al folio 6856 y sgtes., seccion contratos, serie “b”, según providencia del 23 de noviembre de 1989;  </t>
    </r>
  </si>
  <si>
    <r>
      <rPr>
        <b/>
        <sz val="9"/>
        <color rgb="FF000000"/>
        <rFont val="Arial"/>
        <family val="2"/>
      </rPr>
      <t>5°)</t>
    </r>
    <r>
      <rPr>
        <sz val="9"/>
        <color rgb="FF000000"/>
        <rFont val="Arial"/>
        <family val="2"/>
      </rPr>
      <t xml:space="preserve"> Por escritura N° 84 del 7 de mayo de 1991, con el aumento del capital a G 5.000.000.000 (guaranies cinco mil millones), inscripta en el registro publico de comercio, según providencia del 22 de mayo de 1991, anotado bajo el N°. 110, folio 520 y sgtes., serie “a”, seccion contratos.,</t>
    </r>
  </si>
  <si>
    <r>
      <rPr>
        <b/>
        <sz val="9"/>
        <color rgb="FF000000"/>
        <rFont val="Arial"/>
        <family val="2"/>
      </rPr>
      <t xml:space="preserve">6°) </t>
    </r>
    <r>
      <rPr>
        <sz val="9"/>
        <color rgb="FF000000"/>
        <rFont val="Arial"/>
        <family val="2"/>
      </rPr>
      <t xml:space="preserve">Por escritura N°. 107 de fecha 28 de diciembre de 1995, pasada ante el escribano Raul A Casabianca, fueron modificados los estatutos sociales para adecuarlos a la ley del mercado de valores y en consecuencia la transformación de la firma en “SOCIEDAD EMISORA DE CAPITAL ABIERTO” y acogerse a los beneficios de la  Ley N°. 548/95 y aumento de capital social a la suma de G 30.000.000.000 (treinta mil millones de guaranies); tomándose razon en la dirección general de los registros publicos, registro de personas jurídicas y asociaciones,  según A I. N° 309 de fecha 1 de abril de 1996, anotado bajo el n° 197 folio 2558 y sgtes., serie “a” de fecha dos de abril de 1996 y registro publico de comercio, anotado bajo el n° 186, serie “a” folio 2730 y sgtes., seccion contratos, en fecha 11 de abril de 1996 y escritura complementaria N° 109 de fecha 29 de diciembre de 1995,  bajo el n° 198 folio 2580 y sgtes., serie “a” de fecha 2 de abril de 1996 y registro publico de comercio anotado bajo el N° 187 serie “a” folio 2751 y sgtes. seccion contratos, en fecha 11 de abril de 1996;  </t>
    </r>
  </si>
  <si>
    <r>
      <rPr>
        <b/>
        <sz val="9"/>
        <color rgb="FF000000"/>
        <rFont val="Arial"/>
        <family val="2"/>
      </rPr>
      <t>7°)</t>
    </r>
    <r>
      <rPr>
        <sz val="9"/>
        <color rgb="FF000000"/>
        <rFont val="Arial"/>
        <family val="2"/>
      </rPr>
      <t xml:space="preserve"> Escritura N° 21 de fecha 8 de mayo del año 1996, fue protocolizado el Acta N° 49 de fecha 12 de abril del año 1996 de Asamblea General Extraordinaria, aumento de capital a la suma de G 50.000.000.000 (guaranies cincuenta mil millones) inscripto en la Dirección General de los Registros Publicos, Registro de Personas Jurídicas y Asociaciones, según A. I. N° 705 de fecha 4 de julio de 1996, anotado bajo el n° 365 serie “A” al folio 4756 y sgtes. en fecha 5 de julio de 1996 y registro publico de comercio anotado bajo el N° 716 serie “d” al folio 6104 y sgtes. seccion contratos en fecha 9 de julio de 1996;   </t>
    </r>
  </si>
  <si>
    <r>
      <rPr>
        <b/>
        <sz val="9"/>
        <color theme="1"/>
        <rFont val="Arial"/>
        <family val="2"/>
      </rPr>
      <t>8°)</t>
    </r>
    <r>
      <rPr>
        <sz val="9"/>
        <color theme="1"/>
        <rFont val="Arial"/>
        <family val="2"/>
      </rPr>
      <t xml:space="preserve">  Escritura N° 23 de fecha 10 de marzo del año 1999, fue protocolizado el Acta N° 54 de fecha 22 de febrero del año 1999 de Asamblea General Extraordinaria de modificación de los arts.1° y 6°  del contrato de constitución social, según providencia de fecha 19 de mayo de 1999, A. I. N° 797, anotado bajo el N° 491 serie “a” </t>
    </r>
    <r>
      <rPr>
        <sz val="9"/>
        <color rgb="FF000000"/>
        <rFont val="Arial"/>
        <family val="2"/>
      </rPr>
      <t>al folio 3966 y sgtes. seccion contratos y registro de personas jurídicas y asociaciones bajo el N° 102 serie “C” al folio 1357 y sgtes. en fecha 25 de mayo de 1999.</t>
    </r>
  </si>
  <si>
    <r>
      <rPr>
        <b/>
        <sz val="9"/>
        <color rgb="FF000000"/>
        <rFont val="Arial"/>
        <family val="2"/>
      </rPr>
      <t xml:space="preserve">9°) </t>
    </r>
    <r>
      <rPr>
        <sz val="9"/>
        <color rgb="FF000000"/>
        <rFont val="Arial"/>
        <family val="2"/>
      </rPr>
      <t xml:space="preserve">Escritura N°  78 de fecha  31 de diciembre de 2001, fue protocolizado el Acta N°. 57 de Asamblea General Extraordinaria de fecha 7 de diciembre de 2001 de emisión de titulos de deudas, emisión de acciones, aumento de capital a la suma de G 70.000.000.000  (guaranies setenta mil millones) y prorroga de duración, inscripto en la dirección general de los registros publicos, registro publico de comercio, A. I.  N° 347 providencia de fecha 19 de marzo de 2002, bajo el N° 149 serie “B” folios 1016 y sgtes. en fecha 22 de marzo de 2002 seccion contratos y registro de personas jurídicas y asociaciones bajo el n° 82 serie “G”  folios 947 y sgtes en fecha 1 de abril de 2002; </t>
    </r>
  </si>
  <si>
    <r>
      <rPr>
        <b/>
        <sz val="9"/>
        <color rgb="FF000000"/>
        <rFont val="Arial"/>
        <family val="2"/>
      </rPr>
      <t>10°)</t>
    </r>
    <r>
      <rPr>
        <sz val="9"/>
        <color rgb="FF000000"/>
        <rFont val="Arial"/>
        <family val="2"/>
      </rPr>
      <t xml:space="preserve"> Escritura N° 5 de fecha 2 de mayo de 2003, fue protocolizado el Acta N°. 61 de fecha 31 de marzo de 2003 de Asamblea General Extraordinaria referente a la</t>
    </r>
    <r>
      <rPr>
        <b/>
        <sz val="9"/>
        <color rgb="FF000000"/>
        <rFont val="Arial"/>
        <family val="2"/>
      </rPr>
      <t xml:space="preserve">  </t>
    </r>
    <r>
      <rPr>
        <sz val="9"/>
        <color rgb="FF000000"/>
        <rFont val="Arial"/>
        <family val="2"/>
      </rPr>
      <t>emisión de</t>
    </r>
    <r>
      <rPr>
        <b/>
        <sz val="9"/>
        <color rgb="FF000000"/>
        <rFont val="Arial"/>
        <family val="2"/>
      </rPr>
      <t xml:space="preserve"> </t>
    </r>
    <r>
      <rPr>
        <sz val="9"/>
        <color rgb="FF000000"/>
        <rFont val="Arial"/>
        <family val="2"/>
      </rPr>
      <t>acciones y aumento de capital a la suma de G 100.000.000.000 (guaranies cien mil millones) modificándose los articulos 5º y 33º del contrato social</t>
    </r>
    <r>
      <rPr>
        <b/>
        <sz val="9"/>
        <color rgb="FF000000"/>
        <rFont val="Arial"/>
        <family val="2"/>
      </rPr>
      <t xml:space="preserve">, </t>
    </r>
    <r>
      <rPr>
        <sz val="9"/>
        <color rgb="FF000000"/>
        <rFont val="Arial"/>
        <family val="2"/>
      </rPr>
      <t>inscripta en la direccion general de los registros publicos, registro de personas jurídicas y asociaciones, según A. I. N° 1218 de fecha 17 de julio de 2003, bajo el N° 426, folio 5780, serie “F” y en el registro de contratos del registro publico de comercio bajo el N° 587, serie “b”, folios 7162 y sgtes. en fecha 30 de julio de 2003.</t>
    </r>
  </si>
  <si>
    <r>
      <rPr>
        <b/>
        <sz val="9"/>
        <color rgb="FF000000"/>
        <rFont val="Arial"/>
        <family val="2"/>
      </rPr>
      <t>11º)</t>
    </r>
    <r>
      <rPr>
        <sz val="9"/>
        <color rgb="FF000000"/>
        <rFont val="Arial"/>
        <family val="2"/>
      </rPr>
      <t xml:space="preserve"> Escritura Nº  17 de fecha 8 de mayo de 2006, fue protocolizado el Acta N°. 66 de fecha 7 de abril de 2006 de Asamblea General Extraordinaria, referante a la emisión de acciones y aumento de capital social a la suma de G 150.000.000.000.-(guaranies ciento cincuenta mil millones) modificándose los articulos 5º y 33º de los estatutos sociales, inscripta en la dirección general de los registros publicos, registro publico de comercio, según A. I. N° 1216 de fecha 10 de julio de 2006, bajo el nº 847  serie e, folios 8330 y sgtes. de la seccion contratos y en la seccion personas jurídicas y asociaciones bajo el nº 547, serie “b”, folios 5844 y sgtes. en fecha 25 de julio de 2006.  </t>
    </r>
  </si>
  <si>
    <r>
      <rPr>
        <b/>
        <sz val="9"/>
        <color theme="1"/>
        <rFont val="Arial"/>
        <family val="2"/>
      </rPr>
      <t>14º)</t>
    </r>
    <r>
      <rPr>
        <sz val="9"/>
        <color theme="1"/>
        <rFont val="Arial"/>
        <family val="2"/>
      </rPr>
      <t xml:space="preserve"> Escritura Nº 12 de fecha 3 de junio de 2013, fue protocolizada el Acta Nº 79 de fecha  24 de mayo de 2013 de Asamblea General Extraordinaria, referente a la emision de  acciones y  aumento del capital social a la suma de doscientos setenta mil millones de guaranies (G 270.000.000.000.), modificandose los articulos 5º y 33º del estatuto </t>
    </r>
    <r>
      <rPr>
        <sz val="9"/>
        <color rgb="FF000000"/>
        <rFont val="Arial"/>
        <family val="2"/>
      </rPr>
      <t xml:space="preserve">social, inscripta en  la direccion general de los registros publicos, registro publico de comercio, bajo el Nº 140, serie “h”, folio 1479 y sgtes., de la seccion contratos, el 18 de junio de 2013 y en la seccion personas juridicas y asociaciones bajo el nº 538 y al folio 6508, serie “d” , el 18 de junio de 2013;                             </t>
    </r>
  </si>
  <si>
    <r>
      <rPr>
        <b/>
        <sz val="9"/>
        <color rgb="FF000000"/>
        <rFont val="Arial"/>
        <family val="2"/>
      </rPr>
      <t>15º)</t>
    </r>
    <r>
      <rPr>
        <sz val="9"/>
        <color rgb="FF000000"/>
        <rFont val="Arial"/>
        <family val="2"/>
      </rPr>
      <t xml:space="preserve"> Escritura Nº 3 de fecha 12 de mayo de 2016, fue protocolizada el Acta Nº 84 de fecha 11 de abril de 2016 de Asamblea General Extraordinaria, referente al  aumento del capital social a la suma de trescientos mil millones de guaranies (G 300.000.000.000.), modificandose los articulos 5º y 33º del estatuto social, inscripta en  la direccion general de los registros publicos, seccion personas juridicas y asociaciones matricula juridica Nº 5293 y en la seccion comercio matricula comercial Nº 5585 de fecha 7 de julio de 2016.</t>
    </r>
  </si>
  <si>
    <r>
      <rPr>
        <b/>
        <sz val="9"/>
        <color rgb="FF000000"/>
        <rFont val="Arial"/>
        <family val="2"/>
      </rPr>
      <t>16°)</t>
    </r>
    <r>
      <rPr>
        <sz val="9"/>
        <color rgb="FF000000"/>
        <rFont val="Arial"/>
        <family val="2"/>
      </rPr>
      <t xml:space="preserve">  Escritura Nº 13 de fecha 22 de octubre de 2018, fue protocolizada el Acta Nº 88 de fecha 05 de octubre de 2018 de Asamblea Extraordinaria, referente al  aumento del</t>
    </r>
    <r>
      <rPr>
        <b/>
        <sz val="9"/>
        <color rgb="FF000000"/>
        <rFont val="Arial"/>
        <family val="2"/>
      </rPr>
      <t xml:space="preserve"> </t>
    </r>
    <r>
      <rPr>
        <sz val="9"/>
        <color rgb="FF000000"/>
        <rFont val="Arial"/>
        <family val="2"/>
      </rPr>
      <t xml:space="preserve">capital social a la suma de ochocientos mil millones de guaranies (G 800.000.000.000.), modificandose los articulos 5º y 33º del estatuto social, inscripta en  la direccion general de los registros publicos, seccion personas juridicas y asociaciones matricula juridica Nº 5293 de fecha 20 de marzo de 2019 y en la seccion comercio, matricula comercial Nº 5585 de fecha 16 julio de 2019;                      </t>
    </r>
  </si>
  <si>
    <r>
      <rPr>
        <b/>
        <sz val="9"/>
        <color rgb="FF000000"/>
        <rFont val="Arial"/>
        <family val="2"/>
      </rPr>
      <t xml:space="preserve">17°) </t>
    </r>
    <r>
      <rPr>
        <sz val="9"/>
        <color rgb="FF000000"/>
        <rFont val="Arial"/>
        <family val="2"/>
      </rPr>
      <t xml:space="preserve">Escritura Nº 1, fecha 21 de enero 2020, fue protocolizada el Acta Nº 91 de fecha 11 de diciembre de 2019 de Asamblea Extraordinaria, Desmaterialización de acciones, modificandose los articulos 4°, 5º, 6°, 7° y 23º del estatuto social, inscripta en  la direccion general de los registros publicos, seccion personas juridicas y asociaciones matricula juridica Nº 5293 de fecha 26 de febrero de 2020 y en la seccion comercio, matricula comercial Nº 5585 de fecha 26 de febrero de 2020. </t>
    </r>
  </si>
  <si>
    <r>
      <rPr>
        <b/>
        <sz val="9"/>
        <color rgb="FF000000"/>
        <rFont val="Arial"/>
        <family val="2"/>
      </rPr>
      <t>12º)</t>
    </r>
    <r>
      <rPr>
        <sz val="9"/>
        <color rgb="FF000000"/>
        <rFont val="Arial"/>
        <family val="2"/>
      </rPr>
      <t xml:space="preserve"> Escritura Nº 8 de fecha 5 de mayo de 2008, fueron protocolizadas las actas, Nº  68 de fecha 14 de abril de 2008 de Asamblea Extraordinaria, referente al aumento del capital social a la suma de doscientos mil millones de guaranies ( G. 200.000.000.000 ), por la que se modifican los articulos 5º y 33º de los estatutos sociales y  la Nº 69 de Asamblea General Ordinaria, por la que se emiten acciones, inscripta en la direccion general de los registros  publicos, registro publico de comercio, dictamen nº 1985, según providencia de fecha 3 de junio de 2008, bajo el nº 194, serie “c”, folio 1818 de la seccion contratos y en la seccion personas juridicas y asociaciones bajo el  nº 589 y al folio 6814, el 6 de junio de 2008; </t>
    </r>
  </si>
  <si>
    <r>
      <rPr>
        <b/>
        <sz val="9"/>
        <color rgb="FF000000"/>
        <rFont val="Arial"/>
        <family val="2"/>
      </rPr>
      <t>13º)</t>
    </r>
    <r>
      <rPr>
        <sz val="9"/>
        <color rgb="FF000000"/>
        <rFont val="Arial"/>
        <family val="2"/>
      </rPr>
      <t xml:space="preserve"> Escritura Nº 7 de fecha 16 de abril de 2010, fue protocolizada el Acta Nº 72 de fecha 31 de marzo de 2010 de Asamblea General Extraordinaria, referente a la emision de acciones y aumento del capital social a la suma de doscientos cincuenta mil millones de guaranies (G250.000.000.000), modificandose los articulos 5º y 33º del estatuto social, inscripta en  la Direccion General de los Registros Publicos, Registro Publico de Comercio, dictamen Nº 1772 de fecha 3 de mayo de 2010, bajo el Nº 192, serie “g”, folio 2021, de la seccion contratos, el 10 de mayo de 2010 y en la seccion  personas juridicas y asociaciones bajo el nº 99 y al folio 988, serie “e” , el 10 de mayo de 2010;  </t>
    </r>
  </si>
  <si>
    <t>Fletes cobrados</t>
  </si>
  <si>
    <t xml:space="preserve">Ingresos por Acuerdos comerciales </t>
  </si>
  <si>
    <t xml:space="preserve">Publicidad Cobrada </t>
  </si>
  <si>
    <t>Intereses y com.p/Invers. Financ.</t>
  </si>
  <si>
    <t>Regional casa de Bolsa S.A ME</t>
  </si>
  <si>
    <t>Impuestos y Tasas Mun. s/ INM.INV.</t>
  </si>
  <si>
    <t>Jose Alladio e Hijo Sa</t>
  </si>
  <si>
    <t>Seb do Brasil</t>
  </si>
  <si>
    <t>Whirlpool S.A</t>
  </si>
  <si>
    <t>Refrimate engenharia do frio LTDA.</t>
  </si>
  <si>
    <t>Kronen Internacional S.A</t>
  </si>
  <si>
    <t>Fábrica austral de productos electricos S.A</t>
  </si>
  <si>
    <t>Middleby Worldwide Sociedad Anónima</t>
  </si>
  <si>
    <t>York InternationalCorporation</t>
  </si>
  <si>
    <t>Groupe Seb Chile com. LTD</t>
  </si>
  <si>
    <t>Cem S.A</t>
  </si>
  <si>
    <t>Remuner. Direct. Y Gerente a pagar</t>
  </si>
  <si>
    <t>Ingresos varios EX de IVA</t>
  </si>
  <si>
    <t>Gastos de publicidad Todo Franquicia</t>
  </si>
  <si>
    <t>Gastos de publicidad  Sara comercial Villamorra S.A</t>
  </si>
  <si>
    <t>NOTA 6.1 - INVERSIONES FINANCIERAS</t>
  </si>
  <si>
    <t xml:space="preserve">No corrientes </t>
  </si>
  <si>
    <t xml:space="preserve">Activos Disponibles para la Venta </t>
  </si>
  <si>
    <t xml:space="preserve">DISTRITO DE ITAUGUA SUPERFICIE de 900 m2., FINCA Nº 15.972, PADRON Nº 15.461 </t>
  </si>
  <si>
    <t>Distribución de dividendos s/Acta de Asamblea General Ordinaria N°92 de fecha 30/06/2020</t>
  </si>
  <si>
    <t>Distribución de dividendos s/Acta de Asamblea General Ordinaria N° 93 de fecha 16/04/2021</t>
  </si>
  <si>
    <t xml:space="preserve">Diferencias de Cambios </t>
  </si>
  <si>
    <t xml:space="preserve">Resultados vta. Activo fijo </t>
  </si>
  <si>
    <t>Diferencias de Cambios</t>
  </si>
  <si>
    <t>Pérdida de Inventarios</t>
  </si>
  <si>
    <t xml:space="preserve">NGO SAECA, es socio Fundador de la sociedad TODO FRANQUICIA S.A., </t>
  </si>
  <si>
    <t xml:space="preserve">el capital social de la firma, por asamblea extraordinaria en abril 2011, </t>
  </si>
  <si>
    <t xml:space="preserve">aumentó a la suma de cincuenta millones de guaranies. La particpación </t>
  </si>
  <si>
    <t xml:space="preserve">de NGO SAECA es (99, 87 %), en dicha sociedad. </t>
  </si>
  <si>
    <r>
      <rPr>
        <b/>
        <sz val="9"/>
        <color theme="1"/>
        <rFont val="Arial"/>
        <family val="2"/>
      </rPr>
      <t>CPH S.A</t>
    </r>
    <r>
      <rPr>
        <sz val="9"/>
        <color theme="1"/>
        <rFont val="Arial"/>
        <family val="2"/>
      </rPr>
      <t xml:space="preserve">, el capital social de la firma según escritura de constitución de </t>
    </r>
  </si>
  <si>
    <t>fecha 4 de marzo de 2014 es de cincuenta millomes de guaraníes. La</t>
  </si>
  <si>
    <t xml:space="preserve">participación de NGO SAECA (99, 97%) en dicha sociedad, es cuarenta y </t>
  </si>
  <si>
    <t>nueve mil quinientos millones de guaraníes G. 49.500.000.000.-</t>
  </si>
  <si>
    <t>Otros ingresos varios Gr ST</t>
  </si>
  <si>
    <t>Intereses y com.p/Invers. Financ. EX</t>
  </si>
  <si>
    <t>Creditos recuperados EX</t>
  </si>
  <si>
    <t>Best Credit S.A</t>
  </si>
  <si>
    <t xml:space="preserve">Best Home S.A </t>
  </si>
  <si>
    <t>80117733-2</t>
  </si>
  <si>
    <t>80111979-0</t>
  </si>
  <si>
    <t>Whirlpool Corporation</t>
  </si>
  <si>
    <t>Vitamix corporation</t>
  </si>
  <si>
    <t>Metalurgica Siemsen LTDA.</t>
  </si>
  <si>
    <t>Sueldos y Jornales a pagar Act. Ganadera.</t>
  </si>
  <si>
    <t>Retención IRE a pagar</t>
  </si>
  <si>
    <t>Síndico Titular: Óscar Benítez Codas</t>
  </si>
  <si>
    <t xml:space="preserve">Ingresos por ventas de productos,  servicios e intereses </t>
  </si>
  <si>
    <t>NGO SAECA, es socio fundador de la sociedad CONFORT PARA EL HOGAR</t>
  </si>
  <si>
    <r>
      <t xml:space="preserve">NGO SAECA, es socio fundador de la sociedad BEST CREDIT S.A., </t>
    </r>
    <r>
      <rPr>
        <sz val="9"/>
        <color theme="1"/>
        <rFont val="Arial"/>
        <family val="2"/>
      </rPr>
      <t>el capital</t>
    </r>
  </si>
  <si>
    <t>social de la asciende a la suma de Seiscientos mil millones de guaraníes.</t>
  </si>
  <si>
    <t>social de la asciende a la suma de Cincuenta mil millones de guaraníes.</t>
  </si>
  <si>
    <t>actual asciende a 291.000.000 de G.</t>
  </si>
  <si>
    <t>La participación de NGO SAECA  es (97,00%) en dicha sociedad. La integracion</t>
  </si>
  <si>
    <t>La participación de NGO SAECA es (99,51%) en dicha sociedad. La integracion</t>
  </si>
  <si>
    <t>actual asciende a 2.020.000.000 de G.</t>
  </si>
  <si>
    <t>Ingresos por alquiler de uno de sus inmuebles de inversión, a la sociedad</t>
  </si>
  <si>
    <t>Compañía Internacional de Comercio S.R.L. (CIDECOM SRL)</t>
  </si>
  <si>
    <t xml:space="preserve">mercaderías, repuestos  y servicio técnico, la suma de G. </t>
  </si>
  <si>
    <t>Personas con derecho a voto que controlen al menos 10% del capital</t>
  </si>
  <si>
    <t>Directores, administradores, síndicos, auditores Internos y apoderados</t>
  </si>
  <si>
    <t xml:space="preserve">Cónyuges y parientes hasta el segundo grado de consaguinidad o afinidad  de  </t>
  </si>
  <si>
    <t xml:space="preserve">las personas de los incisos anteriores, con participación en el capital de la </t>
  </si>
  <si>
    <t>sociedad</t>
  </si>
  <si>
    <t>activo fijo y alquileres la suma de G.</t>
  </si>
  <si>
    <t>y préstamos  la suma de G.</t>
  </si>
  <si>
    <t xml:space="preserve">la suma de G. </t>
  </si>
  <si>
    <t xml:space="preserve">rías la suma de G. </t>
  </si>
  <si>
    <t>Ingresos por alquiler de inmuebles de inversion a Todo Franquicia S.A.</t>
  </si>
  <si>
    <t>Ingresos por alquiler de uno de sus inmuebles a la empresa Estirpe Guaraní SA</t>
  </si>
  <si>
    <t xml:space="preserve">Ingresos por servicios e intereses  </t>
  </si>
  <si>
    <t>ESTADOS CONTABLES AL 31/12/2021</t>
  </si>
  <si>
    <t>BALANCE GENERAL AL 31 DE DICIEMBRE DE 2021 COMPARATIVO CON CIFRAS AL 31 DE DICIEMBRE DE 2020</t>
  </si>
  <si>
    <t xml:space="preserve">                AL 31 DE DICIEMBRE DE 2021</t>
  </si>
  <si>
    <t>AL 31 DE DICIEMBRE DE 2021 COMPARATIVO CON CIFRAS AL 31 DE DICIEMBRE DE 2020</t>
  </si>
  <si>
    <t>Por los periodos comprendidos entre el 01 de enero al 31 de Diciembre de 2021</t>
  </si>
  <si>
    <r>
      <rPr>
        <b/>
        <u/>
        <sz val="9"/>
        <color theme="1"/>
        <rFont val="Arial"/>
        <family val="2"/>
      </rPr>
      <t>Estado de Resultados</t>
    </r>
    <r>
      <rPr>
        <b/>
        <sz val="9"/>
        <color theme="1"/>
        <rFont val="Arial"/>
        <family val="2"/>
      </rPr>
      <t>: Correspondiente al periódo finalizado el 31 de diciembre de 2021, presentado en forma comparativa con el periódo finalizado el 31 de diciembre de 2020.</t>
    </r>
  </si>
  <si>
    <t>Los saldos de este rubro al 31 de dictiembre 2021 y 31 de diciembre de 2020, están compuestos por fondos de libre disponibilidad en poder de la Sociedad y en Bancos de plaza, en las modalidades de cuentas corrientes y cajas de ahorros en guaraníes y en moneda extranjera.</t>
  </si>
  <si>
    <t>Las Ventas netas al 31 de diciembre de 2021 y 2020 son las siguientes:</t>
  </si>
  <si>
    <t>Gastos varios de Invers Gnd.</t>
  </si>
  <si>
    <t xml:space="preserve">Todo Franquicia S.A adeuda a NGO, al 31/12/2021, por compras de mercaderias </t>
  </si>
  <si>
    <t>Confort para el Hogar adeuda NGO, al 31/12/2021 por  compras de mercaderias</t>
  </si>
  <si>
    <t>Estirpe Guaraní S.A adeuda a NGO, al 31/12/2021 por  compras de merecaderías</t>
  </si>
  <si>
    <t>Monday S.A Inmobiliaria adeuda a NGO, al 31/12/2021 por compras de mercade-</t>
  </si>
  <si>
    <t xml:space="preserve">Agropecuaria cuatro vientos adeuda a NGO al 31/12/2021 por compras de </t>
  </si>
  <si>
    <t>Guangdong Chigo Heating / Guangdong Gimee Technology</t>
  </si>
  <si>
    <t>Madson Electrometalúrgica LTDA.</t>
  </si>
  <si>
    <t>Mercofricon S.A</t>
  </si>
  <si>
    <t>Intereses a bancos e inst. financieras</t>
  </si>
  <si>
    <t>Servicios de seguridad Inv. Inmob.</t>
  </si>
  <si>
    <t>Comisiones pagadas Inv. Inmob.</t>
  </si>
  <si>
    <r>
      <rPr>
        <b/>
        <u/>
        <sz val="9"/>
        <color theme="1"/>
        <rFont val="Arial"/>
        <family val="2"/>
      </rPr>
      <t>Balance General</t>
    </r>
    <r>
      <rPr>
        <b/>
        <sz val="9"/>
        <color theme="1"/>
        <rFont val="Arial"/>
        <family val="2"/>
      </rPr>
      <t>:  Correspondiente al periódo finalizado el 31 de diciembre de 2021, presentado en forma comparativa con el ejercicio finalizado el 31 de diciembre de 2020</t>
    </r>
  </si>
  <si>
    <t>Saldo al 31/12/2020</t>
  </si>
  <si>
    <t>Saldo al 31/12/2021</t>
  </si>
  <si>
    <t xml:space="preserve">Capitalización de Accionistas </t>
  </si>
  <si>
    <t xml:space="preserve">MAT 4428 27-1860-13 YPANE </t>
  </si>
  <si>
    <t>FINCA Nº 1640 PADRON Nº 2498 SUPERFICIE 5885MTRS2. DISTRITO LIMPIO  (DACION DE PAGO GUILLERMO ROTELA GUARANGA S.A)+ ESCRITURA F.9935 ALEJANDRA ODDONE</t>
  </si>
  <si>
    <t>CTA.CTE.CAT. 27-0081-11 CALLE 28 DE FEBRERO</t>
  </si>
  <si>
    <t xml:space="preserve">Según el índice general de precios del consumo (IPC) publicado por el Banco Central del Paraguay, la inflación acumulada del tercer trimestre fue de 6,8% en el año 2021 y 2,2% en el año 2020.
</t>
  </si>
  <si>
    <t>Al 31 de diciembre de 2021, el saldo de Acciones en Tesorería es de 1.442 acciones. El valor nominal de dichas acciones es de G. 100.000.- cada una. El tratamiento contable que corresponde es el de las acciones propias en cartera, por lo que se las registró por su valor nominal en una cuenta denominada Acciones en Tesorería, y por la diferencia de valor entre el valor pagado y el valor nominal se debitó a otra cuenta denominada Prima de Recompra de Acciones, actuando ambas cuentas como Reguladoras del Patrimonio Neto.</t>
  </si>
  <si>
    <t>NOTAS A LOS ESTADOS FINANCIEROS POR EL PERIODO FINALIZADO EL 31 DE DICIEMBRE DE 2021</t>
  </si>
  <si>
    <t>A la fecha el Capital Integrado asciende a Gs. 777.367.000.000</t>
  </si>
  <si>
    <r>
      <t>1.515.324.-</t>
    </r>
    <r>
      <rPr>
        <sz val="8"/>
        <color theme="1"/>
        <rFont val="Arial"/>
        <family val="2"/>
      </rPr>
      <t xml:space="preserve">     PREFE./NOMINATIVAS       1 RESTR              </t>
    </r>
    <r>
      <rPr>
        <u/>
        <sz val="8"/>
        <color theme="1"/>
        <rFont val="Arial"/>
        <family val="2"/>
      </rPr>
      <t xml:space="preserve">      151.532.400.000.-</t>
    </r>
    <r>
      <rPr>
        <sz val="8"/>
        <color theme="1"/>
        <rFont val="Arial"/>
        <family val="2"/>
      </rPr>
      <t xml:space="preserve">                  </t>
    </r>
    <r>
      <rPr>
        <u/>
        <sz val="8"/>
        <color theme="1"/>
        <rFont val="Arial"/>
        <family val="2"/>
      </rPr>
      <t xml:space="preserve">  151.532.400.000.-</t>
    </r>
  </si>
  <si>
    <t>7.773.670.-                                                                                777.367.000.000.-                 777.367.000.000.-</t>
  </si>
  <si>
    <t xml:space="preserve">  7.772.228.-                                                                               777.222.800.000.-                        777.222.800.000.-</t>
  </si>
  <si>
    <t>4.609.256.-   ORDIN/NOMINATIVAS      5                                   460.925.600.000.-                      460.925.600.000.-</t>
  </si>
  <si>
    <t xml:space="preserve">   1.647.648.-     ORDIN/NOMINATIVAS     4                                164.764.800.000.-                    164.764.800.000.-</t>
  </si>
  <si>
    <t>Banco Itaú - Préstamos</t>
  </si>
  <si>
    <t xml:space="preserve">Mensual </t>
  </si>
  <si>
    <t>Mantenimiento de Edificios de Invers.</t>
  </si>
  <si>
    <t>Adquisición de inversiones</t>
  </si>
  <si>
    <r>
      <t xml:space="preserve">NGO SAECA, es socio fundador de la sociedad BEST Home S.A., </t>
    </r>
    <r>
      <rPr>
        <sz val="9"/>
        <color theme="1"/>
        <rFont val="Arial"/>
        <family val="2"/>
      </rPr>
      <t>el capital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</si>
</sst>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_ * #,##0_ ;_ * \-#,##0_ ;_ * &quot;-&quot;_ ;_ @_ "/>
    <numFmt numFmtId="165" formatCode="_ * #,##0.00_ ;_ * \-#,##0.00_ ;_ * &quot;-&quot;??_ ;_ @_ "/>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_ * #,##0.00_ ;_ * \-#,##0.00_ ;_ * &quot;-&quot;_ ;_ @_ "/>
    <numFmt numFmtId="172" formatCode="#,###,##0"/>
    <numFmt numFmtId="173" formatCode="#,##0_ ;\-#,##0\ "/>
    <numFmt numFmtId="174" formatCode="d/mm/yyyy;@"/>
    <numFmt numFmtId="175" formatCode="_ [$€]\ * #,##0.00_ ;_ [$€]\ * \-#,##0.00_ ;_ [$€]\ * &quot;-&quot;??_ ;_ @_ "/>
    <numFmt numFmtId="176" formatCode="General_)"/>
    <numFmt numFmtId="177" formatCode="#,##0.0"/>
  </numFmts>
  <fonts count="110">
    <font>
      <sz val="11"/>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sz val="8"/>
      <color theme="1"/>
      <name val="Arial"/>
      <family val="2"/>
    </font>
    <font>
      <sz val="11"/>
      <color theme="1"/>
      <name val="Arial"/>
      <family val="2"/>
    </font>
    <font>
      <u/>
      <sz val="11"/>
      <color theme="10"/>
      <name val="Calibri"/>
      <family val="2"/>
      <scheme val="minor"/>
    </font>
    <font>
      <u/>
      <sz val="10"/>
      <color theme="10"/>
      <name val="Arial"/>
      <family val="2"/>
    </font>
    <font>
      <sz val="10"/>
      <color theme="0"/>
      <name val="Arial"/>
      <family val="2"/>
    </font>
    <font>
      <sz val="10"/>
      <color rgb="FFFF0000"/>
      <name val="Arial"/>
      <family val="2"/>
    </font>
    <font>
      <sz val="9"/>
      <color rgb="FFFF0000"/>
      <name val="Arial"/>
      <family val="2"/>
    </font>
    <font>
      <b/>
      <sz val="11"/>
      <name val="Arial"/>
      <family val="2"/>
    </font>
    <font>
      <b/>
      <sz val="10"/>
      <color theme="0"/>
      <name val="Arial"/>
      <family val="2"/>
    </font>
    <font>
      <b/>
      <sz val="11"/>
      <color theme="1"/>
      <name val="Calibri"/>
      <family val="2"/>
      <scheme val="minor"/>
    </font>
    <font>
      <sz val="9"/>
      <name val="Arial"/>
      <family val="2"/>
    </font>
    <font>
      <b/>
      <sz val="10"/>
      <color rgb="FF000000"/>
      <name val="Arial"/>
      <family val="2"/>
    </font>
    <font>
      <b/>
      <sz val="9"/>
      <color rgb="FFFFFFFF"/>
      <name val="Arial"/>
      <family val="2"/>
    </font>
    <font>
      <sz val="9"/>
      <color rgb="FF000000"/>
      <name val="Arial"/>
      <family val="2"/>
    </font>
    <font>
      <sz val="11"/>
      <color rgb="FF000000"/>
      <name val="Calibri"/>
      <family val="2"/>
      <scheme val="minor"/>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sz val="9"/>
      <color theme="1"/>
      <name val="Calibri"/>
      <family val="2"/>
      <scheme val="minor"/>
    </font>
    <font>
      <sz val="10"/>
      <color theme="1"/>
      <name val="Calibri"/>
      <family val="2"/>
      <scheme val="minor"/>
    </font>
    <font>
      <sz val="9"/>
      <color theme="1"/>
      <name val="Book Antiqua"/>
      <family val="1"/>
    </font>
    <font>
      <i/>
      <sz val="9"/>
      <color theme="1"/>
      <name val="Arial"/>
      <family val="2"/>
    </font>
    <font>
      <sz val="12"/>
      <color theme="1"/>
      <name val="Calibri"/>
      <family val="2"/>
      <scheme val="minor"/>
    </font>
    <font>
      <i/>
      <sz val="10"/>
      <color theme="1"/>
      <name val="Arial"/>
      <family val="2"/>
    </font>
    <font>
      <i/>
      <sz val="9"/>
      <color rgb="FF000000"/>
      <name val="Arial"/>
      <family val="2"/>
    </font>
    <font>
      <b/>
      <sz val="9"/>
      <color theme="0"/>
      <name val="Arial"/>
      <family val="2"/>
    </font>
    <font>
      <b/>
      <sz val="10"/>
      <color rgb="FFFFFFFF"/>
      <name val="Arial"/>
      <family val="2"/>
    </font>
    <font>
      <sz val="11"/>
      <color theme="1"/>
      <name val="Calibri"/>
      <family val="2"/>
    </font>
    <font>
      <sz val="11"/>
      <name val="Calibri"/>
      <family val="2"/>
    </font>
    <font>
      <b/>
      <sz val="11"/>
      <name val="Calibri"/>
      <family val="2"/>
    </font>
    <font>
      <sz val="11"/>
      <color theme="0"/>
      <name val="Calibri"/>
      <family val="2"/>
      <scheme val="minor"/>
    </font>
    <font>
      <sz val="10"/>
      <color theme="1"/>
      <name val="Book Antiqua"/>
      <family val="1"/>
    </font>
    <font>
      <u/>
      <sz val="9"/>
      <name val="Arial"/>
      <family val="2"/>
    </font>
    <font>
      <b/>
      <u/>
      <sz val="9"/>
      <name val="Arial"/>
      <family val="2"/>
    </font>
    <font>
      <u/>
      <sz val="9"/>
      <color theme="10"/>
      <name val="Calibri"/>
      <family val="2"/>
      <scheme val="minor"/>
    </font>
    <font>
      <b/>
      <sz val="9"/>
      <color theme="1"/>
      <name val="Calibri"/>
      <family val="2"/>
      <scheme val="minor"/>
    </font>
    <font>
      <u/>
      <sz val="9"/>
      <color theme="1"/>
      <name val="Arial"/>
      <family val="2"/>
    </font>
    <font>
      <sz val="9"/>
      <color theme="0"/>
      <name val="Arial"/>
      <family val="2"/>
    </font>
    <font>
      <b/>
      <sz val="9"/>
      <color rgb="FFFF0000"/>
      <name val="Arial"/>
      <family val="2"/>
    </font>
    <font>
      <b/>
      <sz val="9"/>
      <color theme="1"/>
      <name val="Arial"/>
      <family val="2"/>
    </font>
    <font>
      <u/>
      <sz val="9"/>
      <color theme="10"/>
      <name val="Arial"/>
      <family val="2"/>
    </font>
    <font>
      <sz val="9"/>
      <color indexed="8"/>
      <name val="Arial"/>
      <family val="2"/>
    </font>
    <font>
      <b/>
      <u val="singleAccounting"/>
      <sz val="9"/>
      <color theme="0"/>
      <name val="Arial"/>
      <family val="2"/>
    </font>
    <font>
      <b/>
      <u/>
      <sz val="9"/>
      <color theme="1"/>
      <name val="Arial"/>
      <family val="2"/>
    </font>
    <font>
      <sz val="9"/>
      <color theme="0"/>
      <name val="Arial Black"/>
      <family val="2"/>
    </font>
    <font>
      <b/>
      <sz val="9"/>
      <color rgb="FF000000"/>
      <name val="Arial"/>
      <family val="2"/>
    </font>
    <font>
      <b/>
      <u/>
      <sz val="9"/>
      <color rgb="FF000000"/>
      <name val="Arial"/>
      <family val="2"/>
    </font>
    <font>
      <i/>
      <sz val="11"/>
      <color theme="1"/>
      <name val="Calibri"/>
      <family val="2"/>
      <scheme val="minor"/>
    </font>
    <font>
      <i/>
      <sz val="9"/>
      <name val="Arial"/>
      <family val="2"/>
    </font>
    <font>
      <sz val="9"/>
      <color rgb="FF0000CC"/>
      <name val="Arial"/>
      <family val="2"/>
    </font>
    <font>
      <u/>
      <sz val="9"/>
      <color rgb="FF0000CC"/>
      <name val="Calibri"/>
      <family val="2"/>
      <scheme val="minor"/>
    </font>
    <font>
      <u/>
      <sz val="9"/>
      <color rgb="FF0000CC"/>
      <name val="Arial"/>
      <family val="2"/>
    </font>
    <font>
      <u/>
      <sz val="11"/>
      <color rgb="FF0000CC"/>
      <name val="Calibri"/>
      <family val="2"/>
      <scheme val="minor"/>
    </font>
    <font>
      <b/>
      <sz val="9"/>
      <color rgb="FF0000CC"/>
      <name val="Arial"/>
      <family val="2"/>
    </font>
    <font>
      <sz val="9"/>
      <color rgb="FF0000CC"/>
      <name val="Calibri"/>
      <family val="2"/>
      <scheme val="minor"/>
    </font>
    <font>
      <b/>
      <sz val="10"/>
      <color rgb="FF0000CC"/>
      <name val="Arial"/>
      <family val="2"/>
    </font>
    <font>
      <u/>
      <sz val="10"/>
      <color rgb="FF0000CC"/>
      <name val="Arial"/>
      <family val="2"/>
    </font>
    <font>
      <sz val="11"/>
      <name val="Arial"/>
      <family val="2"/>
    </font>
    <font>
      <sz val="12"/>
      <color theme="1"/>
      <name val="Arial"/>
      <family val="2"/>
    </font>
    <font>
      <sz val="12"/>
      <color theme="0"/>
      <name val="Arial"/>
      <family val="2"/>
    </font>
    <font>
      <b/>
      <sz val="18"/>
      <color rgb="FFFF0000"/>
      <name val="Arial"/>
      <family val="2"/>
    </font>
    <font>
      <b/>
      <sz val="11"/>
      <color theme="1"/>
      <name val="Arial"/>
      <family val="2"/>
    </font>
    <font>
      <u/>
      <sz val="11"/>
      <color theme="10"/>
      <name val="Arial"/>
      <family val="2"/>
    </font>
    <font>
      <sz val="12"/>
      <color theme="1"/>
      <name val="Times New Roman"/>
      <family val="1"/>
    </font>
    <font>
      <u/>
      <sz val="11"/>
      <color theme="1"/>
      <name val="Arial"/>
      <family val="2"/>
    </font>
    <font>
      <u/>
      <sz val="8"/>
      <color theme="1"/>
      <name val="Arial"/>
      <family val="2"/>
    </font>
    <font>
      <b/>
      <u/>
      <sz val="8"/>
      <color theme="1"/>
      <name val="Arial"/>
      <family val="2"/>
    </font>
    <font>
      <sz val="9"/>
      <color rgb="FF222222"/>
      <name val="Arial"/>
      <family val="2"/>
    </font>
    <font>
      <sz val="9"/>
      <color rgb="FFFF0000"/>
      <name val="Calibri"/>
      <family val="2"/>
      <scheme val="minor"/>
    </font>
    <font>
      <sz val="12"/>
      <name val="Courier"/>
      <family val="3"/>
    </font>
    <font>
      <u/>
      <sz val="7.5"/>
      <color indexed="12"/>
      <name val="Arial"/>
      <family val="2"/>
    </font>
    <font>
      <sz val="10"/>
      <name val="Verdana"/>
      <family val="2"/>
    </font>
    <font>
      <sz val="8"/>
      <name val="Verdana"/>
      <family val="2"/>
    </font>
    <font>
      <sz val="9"/>
      <color rgb="FF13213D"/>
      <name val="Arial"/>
      <family val="2"/>
    </font>
    <font>
      <b/>
      <sz val="10"/>
      <color rgb="FF13213D"/>
      <name val="Arial"/>
      <family val="2"/>
    </font>
    <font>
      <sz val="9"/>
      <name val="Book Antiqua"/>
      <family val="1"/>
    </font>
    <font>
      <sz val="9"/>
      <color theme="1"/>
      <name val="Times New Roman"/>
      <family val="1"/>
    </font>
    <font>
      <b/>
      <sz val="9"/>
      <color rgb="FF13213D"/>
      <name val="Arial"/>
      <family val="2"/>
    </font>
    <font>
      <sz val="9"/>
      <color rgb="FF13213D"/>
      <name val="Book Antiqua"/>
      <family val="1"/>
    </font>
    <font>
      <sz val="9"/>
      <color rgb="FF13213D"/>
      <name val="Times New Roman"/>
      <family val="1"/>
    </font>
    <font>
      <sz val="8"/>
      <name val="Calibri"/>
      <family val="2"/>
      <scheme val="minor"/>
    </font>
    <font>
      <b/>
      <sz val="10"/>
      <color theme="0"/>
      <name val="Calibri"/>
      <family val="2"/>
      <scheme val="minor"/>
    </font>
    <font>
      <u/>
      <sz val="10"/>
      <name val="Arial"/>
      <family val="2"/>
    </font>
    <font>
      <sz val="10"/>
      <color indexed="63"/>
      <name val="Arial"/>
      <family val="2"/>
    </font>
    <font>
      <b/>
      <sz val="9"/>
      <color indexed="81"/>
      <name val="Tahoma"/>
      <family val="2"/>
    </font>
    <font>
      <sz val="9"/>
      <color indexed="81"/>
      <name val="Tahoma"/>
      <family val="2"/>
    </font>
    <font>
      <sz val="10"/>
      <color theme="1"/>
      <name val="Times New Roman"/>
      <family val="1"/>
    </font>
    <font>
      <sz val="9"/>
      <color theme="1"/>
      <name val="Aril"/>
    </font>
    <font>
      <b/>
      <sz val="12"/>
      <color theme="1"/>
      <name val="Aril"/>
    </font>
    <font>
      <sz val="9"/>
      <name val="Arial"/>
      <family val="2"/>
      <charset val="1"/>
    </font>
    <font>
      <b/>
      <u/>
      <sz val="10"/>
      <color theme="1"/>
      <name val="Arial"/>
      <family val="2"/>
    </font>
    <font>
      <u/>
      <sz val="10"/>
      <color theme="1"/>
      <name val="Arial"/>
      <family val="2"/>
    </font>
    <font>
      <b/>
      <sz val="14"/>
      <name val="Arial"/>
      <family val="2"/>
    </font>
    <font>
      <sz val="8"/>
      <name val="Arial"/>
      <family val="2"/>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rgb="FFFFFFFF"/>
        <bgColor rgb="FF000000"/>
      </patternFill>
    </fill>
    <fill>
      <patternFill patternType="solid">
        <fgColor rgb="FF0000CC"/>
        <bgColor indexed="64"/>
      </patternFill>
    </fill>
    <fill>
      <patternFill patternType="solid">
        <fgColor rgb="FF0000CC"/>
        <bgColor rgb="FF000000"/>
      </patternFill>
    </fill>
    <fill>
      <patternFill patternType="solid">
        <fgColor rgb="FFFFFF00"/>
        <bgColor indexed="64"/>
      </patternFill>
    </fill>
  </fills>
  <borders count="76">
    <border>
      <left/>
      <right/>
      <top/>
      <bottom/>
      <diagonal/>
    </border>
    <border>
      <left/>
      <right/>
      <top/>
      <bottom style="thin">
        <color auto="1"/>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theme="0"/>
      </left>
      <right style="medium">
        <color theme="0"/>
      </right>
      <top style="medium">
        <color theme="0"/>
      </top>
      <bottom style="medium">
        <color theme="0"/>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thin">
        <color auto="1"/>
      </top>
      <bottom style="thin">
        <color auto="1"/>
      </bottom>
      <diagonal/>
    </border>
    <border>
      <left style="thin">
        <color indexed="64"/>
      </left>
      <right/>
      <top style="thin">
        <color indexed="64"/>
      </top>
      <bottom/>
      <diagonal/>
    </border>
    <border>
      <left style="medium">
        <color rgb="FF000000"/>
      </left>
      <right style="medium">
        <color rgb="FF000000"/>
      </right>
      <top style="thin">
        <color indexed="64"/>
      </top>
      <bottom/>
      <diagonal/>
    </border>
    <border>
      <left/>
      <right/>
      <top style="thin">
        <color indexed="64"/>
      </top>
      <bottom/>
      <diagonal/>
    </border>
    <border>
      <left/>
      <right/>
      <top/>
      <bottom style="thin">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style="thin">
        <color indexed="8"/>
      </top>
      <bottom style="thin">
        <color indexed="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style="double">
        <color indexed="64"/>
      </bottom>
      <diagonal/>
    </border>
    <border>
      <left/>
      <right/>
      <top style="thin">
        <color auto="1"/>
      </top>
      <bottom style="thin">
        <color indexed="64"/>
      </bottom>
      <diagonal/>
    </border>
    <border>
      <left/>
      <right/>
      <top style="thin">
        <color auto="1"/>
      </top>
      <bottom style="double">
        <color indexed="64"/>
      </bottom>
      <diagonal/>
    </border>
    <border>
      <left/>
      <right/>
      <top style="thin">
        <color auto="1"/>
      </top>
      <bottom style="double">
        <color indexed="64"/>
      </bottom>
      <diagonal/>
    </border>
    <border>
      <left/>
      <right/>
      <top style="thin">
        <color auto="1"/>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top/>
      <bottom style="thin">
        <color indexed="64"/>
      </bottom>
      <diagonal/>
    </border>
    <border>
      <left/>
      <right/>
      <top style="thin">
        <color auto="1"/>
      </top>
      <bottom/>
      <diagonal/>
    </border>
    <border>
      <left/>
      <right/>
      <top style="thin">
        <color auto="1"/>
      </top>
      <bottom style="double">
        <color indexed="64"/>
      </bottom>
      <diagonal/>
    </border>
  </borders>
  <cellStyleXfs count="151">
    <xf numFmtId="0" fontId="0" fillId="0" borderId="0"/>
    <xf numFmtId="165" fontId="4" fillId="0" borderId="0" applyFont="0" applyFill="0" applyBorder="0" applyAlignment="0" applyProtection="0"/>
    <xf numFmtId="0" fontId="7" fillId="0" borderId="0" applyNumberFormat="0" applyFill="0" applyBorder="0" applyAlignment="0" applyProtection="0"/>
    <xf numFmtId="0" fontId="7" fillId="0" borderId="0"/>
    <xf numFmtId="0" fontId="7" fillId="0" borderId="0"/>
    <xf numFmtId="0" fontId="4" fillId="0" borderId="0"/>
    <xf numFmtId="166" fontId="8" fillId="0" borderId="0" applyFont="0" applyFill="0" applyBorder="0" applyAlignment="0" applyProtection="0"/>
    <xf numFmtId="0" fontId="7" fillId="0" borderId="0"/>
    <xf numFmtId="164" fontId="4" fillId="0" borderId="0" applyFont="0" applyFill="0" applyBorder="0" applyAlignment="0" applyProtection="0"/>
    <xf numFmtId="9" fontId="4" fillId="0" borderId="0" applyFont="0" applyFill="0" applyBorder="0" applyAlignment="0" applyProtection="0"/>
    <xf numFmtId="165" fontId="7" fillId="0" borderId="0" applyFont="0" applyFill="0" applyBorder="0" applyAlignment="0" applyProtection="0"/>
    <xf numFmtId="166" fontId="4" fillId="0" borderId="0" applyFont="0" applyFill="0" applyBorder="0" applyAlignment="0" applyProtection="0"/>
    <xf numFmtId="0" fontId="4" fillId="0" borderId="0"/>
    <xf numFmtId="0" fontId="1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7" fillId="0" borderId="0" applyFont="0" applyFill="0" applyBorder="0" applyAlignment="0" applyProtection="0"/>
    <xf numFmtId="0" fontId="7" fillId="0" borderId="0" applyNumberFormat="0" applyFill="0" applyBorder="0" applyAlignment="0" applyProtection="0"/>
    <xf numFmtId="0" fontId="4" fillId="0" borderId="0"/>
    <xf numFmtId="0" fontId="7" fillId="0" borderId="0"/>
    <xf numFmtId="166" fontId="7" fillId="0" borderId="0" applyFont="0" applyFill="0" applyBorder="0" applyAlignment="0" applyProtection="0"/>
    <xf numFmtId="43" fontId="4" fillId="0" borderId="0" applyFont="0" applyFill="0" applyBorder="0" applyAlignment="0" applyProtection="0"/>
    <xf numFmtId="0" fontId="27" fillId="0" borderId="0"/>
    <xf numFmtId="41" fontId="7" fillId="0" borderId="0" applyFont="0" applyFill="0" applyBorder="0" applyAlignment="0" applyProtection="0"/>
    <xf numFmtId="166" fontId="4" fillId="0" borderId="0" applyFont="0" applyFill="0" applyBorder="0" applyAlignment="0" applyProtection="0"/>
    <xf numFmtId="0" fontId="27" fillId="0" borderId="0"/>
    <xf numFmtId="0" fontId="7" fillId="0" borderId="0"/>
    <xf numFmtId="166" fontId="8"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1" fontId="7"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 fillId="0" borderId="0"/>
    <xf numFmtId="0" fontId="6" fillId="0" borderId="0"/>
    <xf numFmtId="43" fontId="4" fillId="0" borderId="0" applyFont="0" applyFill="0" applyBorder="0" applyAlignment="0" applyProtection="0"/>
    <xf numFmtId="41" fontId="7" fillId="0" borderId="0" applyFont="0" applyFill="0" applyBorder="0" applyAlignment="0" applyProtection="0"/>
    <xf numFmtId="43" fontId="4" fillId="0" borderId="0" applyFont="0" applyFill="0" applyBorder="0" applyAlignment="0" applyProtection="0"/>
    <xf numFmtId="41" fontId="7" fillId="0" borderId="0" applyFont="0" applyFill="0" applyBorder="0" applyAlignment="0" applyProtection="0"/>
    <xf numFmtId="165" fontId="4" fillId="0" borderId="0" applyFont="0" applyFill="0" applyBorder="0" applyAlignment="0" applyProtection="0"/>
    <xf numFmtId="165" fontId="8" fillId="0" borderId="0" applyFont="0" applyFill="0" applyBorder="0" applyAlignment="0" applyProtection="0"/>
    <xf numFmtId="164" fontId="4"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65" fontId="8" fillId="0" borderId="0" applyFont="0" applyFill="0" applyBorder="0" applyAlignment="0" applyProtection="0"/>
    <xf numFmtId="164" fontId="4"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5" fontId="4" fillId="0" borderId="0"/>
    <xf numFmtId="0" fontId="4" fillId="0" borderId="0"/>
    <xf numFmtId="0" fontId="4" fillId="0" borderId="0"/>
    <xf numFmtId="0" fontId="4" fillId="0" borderId="0"/>
    <xf numFmtId="0" fontId="4" fillId="0" borderId="0"/>
    <xf numFmtId="0" fontId="4" fillId="0" borderId="0"/>
    <xf numFmtId="175" fontId="7" fillId="0" borderId="0"/>
    <xf numFmtId="165" fontId="85" fillId="0" borderId="0"/>
    <xf numFmtId="175" fontId="38" fillId="0" borderId="0"/>
    <xf numFmtId="164" fontId="38" fillId="0" borderId="0" applyFont="0" applyFill="0" applyBorder="0" applyAlignment="0" applyProtection="0"/>
    <xf numFmtId="176" fontId="7" fillId="0" borderId="0"/>
    <xf numFmtId="175" fontId="86" fillId="0" borderId="0" applyNumberFormat="0" applyFill="0" applyBorder="0" applyAlignment="0" applyProtection="0">
      <alignment vertical="top"/>
      <protection locked="0"/>
    </xf>
    <xf numFmtId="164" fontId="4"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75" fontId="87" fillId="0" borderId="0"/>
    <xf numFmtId="9" fontId="88" fillId="0" borderId="0" applyFont="0" applyFill="0" applyBorder="0" applyAlignment="0" applyProtection="0"/>
    <xf numFmtId="164" fontId="87"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1" fontId="7" fillId="0" borderId="0" applyFont="0" applyFill="0" applyBorder="0" applyAlignment="0" applyProtection="0"/>
    <xf numFmtId="9" fontId="4" fillId="0" borderId="0" applyFont="0" applyFill="0" applyBorder="0" applyAlignment="0" applyProtection="0"/>
  </cellStyleXfs>
  <cellXfs count="1285">
    <xf numFmtId="0" fontId="0" fillId="0" borderId="0" xfId="0"/>
    <xf numFmtId="0" fontId="6" fillId="0" borderId="0" xfId="0" applyFont="1"/>
    <xf numFmtId="0" fontId="11" fillId="2" borderId="0" xfId="0" applyFont="1" applyFill="1"/>
    <xf numFmtId="0" fontId="12" fillId="2" borderId="1" xfId="12" applyFont="1" applyFill="1" applyBorder="1" applyAlignment="1">
      <alignment horizontal="left"/>
    </xf>
    <xf numFmtId="0" fontId="0" fillId="2" borderId="0" xfId="0" applyFill="1"/>
    <xf numFmtId="0" fontId="6" fillId="0" borderId="0" xfId="0" applyFont="1" applyBorder="1"/>
    <xf numFmtId="0" fontId="6" fillId="3" borderId="0" xfId="0" applyFont="1" applyFill="1"/>
    <xf numFmtId="0" fontId="5" fillId="0" borderId="0" xfId="0" applyFont="1" applyBorder="1" applyAlignment="1">
      <alignment horizontal="center"/>
    </xf>
    <xf numFmtId="0" fontId="0" fillId="0" borderId="0" xfId="0" applyFill="1"/>
    <xf numFmtId="0" fontId="11" fillId="0" borderId="0" xfId="0" applyFont="1" applyFill="1"/>
    <xf numFmtId="0" fontId="6" fillId="0" borderId="0" xfId="0" applyFont="1" applyBorder="1" applyAlignment="1">
      <alignment horizontal="left"/>
    </xf>
    <xf numFmtId="0" fontId="22" fillId="0" borderId="0" xfId="0" applyFont="1"/>
    <xf numFmtId="0" fontId="0" fillId="7" borderId="0" xfId="0" applyFill="1"/>
    <xf numFmtId="0" fontId="29" fillId="7" borderId="0" xfId="0" applyFont="1" applyFill="1"/>
    <xf numFmtId="0" fontId="6" fillId="7" borderId="0" xfId="0" applyFont="1" applyFill="1" applyAlignment="1">
      <alignment vertical="justify" wrapText="1"/>
    </xf>
    <xf numFmtId="0" fontId="6" fillId="7" borderId="0" xfId="0" applyFont="1" applyFill="1" applyAlignment="1">
      <alignment horizontal="left" vertical="top" wrapText="1"/>
    </xf>
    <xf numFmtId="0" fontId="6" fillId="7" borderId="0" xfId="0" applyFont="1" applyFill="1" applyAlignment="1">
      <alignment vertical="top" wrapText="1"/>
    </xf>
    <xf numFmtId="0" fontId="5" fillId="7" borderId="0" xfId="0" applyFont="1" applyFill="1" applyAlignment="1">
      <alignment vertical="top" wrapText="1"/>
    </xf>
    <xf numFmtId="0" fontId="15" fillId="0" borderId="0" xfId="13"/>
    <xf numFmtId="0" fontId="15" fillId="7" borderId="0" xfId="13" applyFill="1"/>
    <xf numFmtId="0" fontId="21" fillId="2" borderId="0" xfId="0" applyFont="1" applyFill="1" applyAlignment="1">
      <alignment horizontal="left" vertical="center"/>
    </xf>
    <xf numFmtId="0" fontId="29" fillId="0" borderId="0" xfId="0" applyFont="1"/>
    <xf numFmtId="0" fontId="21" fillId="2" borderId="0" xfId="0" applyFont="1" applyFill="1" applyAlignment="1">
      <alignment vertical="center"/>
    </xf>
    <xf numFmtId="0" fontId="9" fillId="7" borderId="0" xfId="0" applyFont="1" applyFill="1" applyBorder="1"/>
    <xf numFmtId="169" fontId="9" fillId="7" borderId="0" xfId="86" applyNumberFormat="1" applyFont="1" applyFill="1" applyBorder="1"/>
    <xf numFmtId="9" fontId="9" fillId="7" borderId="0" xfId="9" applyFont="1" applyFill="1" applyBorder="1"/>
    <xf numFmtId="3" fontId="9" fillId="7" borderId="0" xfId="0" applyNumberFormat="1" applyFont="1" applyFill="1" applyBorder="1"/>
    <xf numFmtId="0" fontId="24" fillId="7" borderId="0" xfId="0" applyFont="1" applyFill="1" applyBorder="1"/>
    <xf numFmtId="164" fontId="9" fillId="7" borderId="2" xfId="8" applyFont="1" applyFill="1" applyBorder="1"/>
    <xf numFmtId="0" fontId="23" fillId="7" borderId="7" xfId="77" applyFont="1" applyFill="1" applyBorder="1"/>
    <xf numFmtId="0" fontId="30" fillId="7" borderId="0" xfId="0" applyFont="1" applyFill="1"/>
    <xf numFmtId="0" fontId="30" fillId="0" borderId="0" xfId="0" applyFont="1"/>
    <xf numFmtId="0" fontId="30" fillId="7" borderId="13" xfId="0" applyFont="1" applyFill="1" applyBorder="1" applyAlignment="1">
      <alignment vertical="top" wrapText="1"/>
    </xf>
    <xf numFmtId="0" fontId="30" fillId="7" borderId="14" xfId="0" applyFont="1" applyFill="1" applyBorder="1" applyAlignment="1">
      <alignment vertical="top" wrapText="1"/>
    </xf>
    <xf numFmtId="0" fontId="32" fillId="0" borderId="14" xfId="0" applyFont="1" applyBorder="1" applyAlignment="1">
      <alignment vertical="center" wrapText="1"/>
    </xf>
    <xf numFmtId="0" fontId="32" fillId="0" borderId="15" xfId="0" applyFont="1" applyBorder="1" applyAlignment="1">
      <alignment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7" xfId="0" applyFont="1" applyBorder="1" applyAlignment="1">
      <alignment vertical="center" wrapText="1"/>
    </xf>
    <xf numFmtId="0" fontId="32" fillId="0" borderId="18" xfId="0" applyFont="1" applyBorder="1" applyAlignment="1">
      <alignment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0" xfId="0" applyFont="1" applyBorder="1" applyAlignment="1">
      <alignment vertical="center" wrapText="1"/>
    </xf>
    <xf numFmtId="0" fontId="32" fillId="0" borderId="21" xfId="0" applyFont="1" applyBorder="1" applyAlignment="1">
      <alignment vertical="center" wrapText="1"/>
    </xf>
    <xf numFmtId="0" fontId="0" fillId="0" borderId="0" xfId="0"/>
    <xf numFmtId="0" fontId="11" fillId="2" borderId="0" xfId="0" applyFont="1" applyFill="1" applyAlignment="1">
      <alignment horizontal="center" vertical="center"/>
    </xf>
    <xf numFmtId="0" fontId="23" fillId="0" borderId="22" xfId="0" applyFont="1" applyBorder="1" applyAlignment="1">
      <alignment vertical="center" wrapText="1"/>
    </xf>
    <xf numFmtId="0" fontId="23" fillId="0" borderId="23" xfId="0" applyFont="1" applyBorder="1" applyAlignment="1">
      <alignment vertical="center" wrapText="1"/>
    </xf>
    <xf numFmtId="0" fontId="10" fillId="0" borderId="25" xfId="0" applyFont="1" applyBorder="1" applyAlignment="1">
      <alignment vertical="center" wrapText="1"/>
    </xf>
    <xf numFmtId="0" fontId="6" fillId="0" borderId="0" xfId="0" applyFont="1" applyAlignment="1">
      <alignment horizontal="left"/>
    </xf>
    <xf numFmtId="0" fontId="21" fillId="0" borderId="0" xfId="0" applyFont="1" applyFill="1" applyAlignment="1">
      <alignment vertical="center"/>
    </xf>
    <xf numFmtId="0" fontId="21" fillId="7" borderId="0" xfId="0" applyFont="1" applyFill="1" applyBorder="1" applyAlignment="1">
      <alignment vertical="center"/>
    </xf>
    <xf numFmtId="0" fontId="28" fillId="0" borderId="0" xfId="0" applyFont="1" applyFill="1" applyAlignment="1">
      <alignment horizontal="center" vertical="center"/>
    </xf>
    <xf numFmtId="0" fontId="6" fillId="3" borderId="0" xfId="0" applyFont="1" applyFill="1" applyAlignment="1">
      <alignment horizontal="left"/>
    </xf>
    <xf numFmtId="0" fontId="16" fillId="0" borderId="0" xfId="13" quotePrefix="1" applyFont="1" applyBorder="1" applyAlignment="1">
      <alignment horizontal="left"/>
    </xf>
    <xf numFmtId="0" fontId="21" fillId="5" borderId="0" xfId="0" applyFont="1" applyFill="1" applyAlignment="1"/>
    <xf numFmtId="0" fontId="21" fillId="0" borderId="0" xfId="0" applyFont="1" applyFill="1" applyAlignment="1"/>
    <xf numFmtId="0" fontId="38" fillId="7" borderId="0" xfId="0" applyFont="1" applyFill="1" applyAlignment="1">
      <alignment vertical="center" wrapText="1"/>
    </xf>
    <xf numFmtId="0" fontId="38" fillId="7" borderId="0" xfId="0" applyFont="1" applyFill="1" applyAlignment="1">
      <alignment vertical="center"/>
    </xf>
    <xf numFmtId="0" fontId="0" fillId="0" borderId="0" xfId="0"/>
    <xf numFmtId="0" fontId="21" fillId="5" borderId="0" xfId="0" applyFont="1" applyFill="1" applyAlignment="1">
      <alignment vertical="center"/>
    </xf>
    <xf numFmtId="0" fontId="13" fillId="0" borderId="0" xfId="0" applyFont="1" applyAlignment="1">
      <alignment horizontal="center" vertical="center"/>
    </xf>
    <xf numFmtId="0" fontId="0" fillId="0" borderId="0" xfId="0"/>
    <xf numFmtId="0" fontId="34" fillId="7" borderId="0" xfId="0" applyFont="1" applyFill="1" applyAlignment="1">
      <alignment horizontal="center"/>
    </xf>
    <xf numFmtId="0" fontId="21" fillId="5" borderId="0" xfId="0" applyFont="1" applyFill="1" applyBorder="1" applyAlignment="1">
      <alignment vertical="center"/>
    </xf>
    <xf numFmtId="0" fontId="0" fillId="0" borderId="0" xfId="0"/>
    <xf numFmtId="0" fontId="23" fillId="7" borderId="0" xfId="0" applyFont="1" applyFill="1" applyBorder="1" applyAlignment="1">
      <alignment vertical="center" wrapText="1"/>
    </xf>
    <xf numFmtId="0" fontId="23" fillId="7" borderId="0" xfId="0" applyFont="1" applyFill="1" applyBorder="1" applyAlignment="1">
      <alignment horizontal="center" vertical="center" wrapText="1"/>
    </xf>
    <xf numFmtId="9" fontId="26" fillId="7" borderId="0" xfId="9" applyFont="1" applyFill="1" applyBorder="1" applyAlignment="1"/>
    <xf numFmtId="0" fontId="29" fillId="7" borderId="0" xfId="0" applyFont="1" applyFill="1" applyAlignment="1">
      <alignment wrapText="1"/>
    </xf>
    <xf numFmtId="9" fontId="40" fillId="7" borderId="0" xfId="9" applyFont="1" applyFill="1" applyBorder="1" applyAlignment="1"/>
    <xf numFmtId="0" fontId="12" fillId="0" borderId="0" xfId="0" applyFont="1" applyFill="1" applyAlignment="1"/>
    <xf numFmtId="0" fontId="5" fillId="0" borderId="0" xfId="0" applyFont="1" applyAlignment="1">
      <alignment horizontal="right"/>
    </xf>
    <xf numFmtId="0" fontId="0" fillId="0" borderId="0" xfId="0"/>
    <xf numFmtId="3" fontId="0" fillId="7" borderId="0" xfId="0" applyNumberFormat="1" applyFill="1"/>
    <xf numFmtId="3" fontId="6" fillId="0" borderId="0" xfId="0" applyNumberFormat="1" applyFont="1"/>
    <xf numFmtId="0" fontId="23" fillId="0" borderId="0" xfId="0" applyFont="1"/>
    <xf numFmtId="3" fontId="23" fillId="0" borderId="0" xfId="78" applyNumberFormat="1" applyFont="1" applyFill="1" applyBorder="1"/>
    <xf numFmtId="3" fontId="23" fillId="7" borderId="9" xfId="78" applyNumberFormat="1" applyFont="1" applyFill="1" applyBorder="1" applyAlignment="1">
      <alignment horizontal="right"/>
    </xf>
    <xf numFmtId="0" fontId="34" fillId="7" borderId="0" xfId="0" applyFont="1" applyFill="1"/>
    <xf numFmtId="0" fontId="34" fillId="0" borderId="0" xfId="0" applyFont="1"/>
    <xf numFmtId="0" fontId="51" fillId="7" borderId="0" xfId="0" applyFont="1" applyFill="1"/>
    <xf numFmtId="3" fontId="30" fillId="0" borderId="0" xfId="0" applyNumberFormat="1" applyFont="1" applyFill="1" applyAlignment="1">
      <alignment horizontal="center" vertical="center"/>
    </xf>
    <xf numFmtId="3" fontId="30" fillId="0" borderId="0" xfId="0" applyNumberFormat="1" applyFont="1" applyFill="1" applyAlignment="1">
      <alignment horizontal="right" vertical="center"/>
    </xf>
    <xf numFmtId="3" fontId="30" fillId="7" borderId="0" xfId="0" applyNumberFormat="1" applyFont="1" applyFill="1"/>
    <xf numFmtId="3" fontId="31" fillId="0" borderId="0" xfId="0" applyNumberFormat="1" applyFont="1" applyFill="1" applyAlignment="1">
      <alignment horizontal="right" vertical="center"/>
    </xf>
    <xf numFmtId="0" fontId="50" fillId="2" borderId="0" xfId="13" applyFont="1" applyFill="1" applyAlignment="1">
      <alignment horizontal="center" vertical="center"/>
    </xf>
    <xf numFmtId="167" fontId="11" fillId="0" borderId="0" xfId="1" applyNumberFormat="1" applyFont="1" applyFill="1"/>
    <xf numFmtId="167" fontId="10" fillId="0" borderId="0" xfId="1" applyNumberFormat="1" applyFont="1" applyFill="1" applyBorder="1"/>
    <xf numFmtId="167" fontId="23" fillId="0" borderId="0" xfId="1" applyNumberFormat="1" applyFont="1" applyFill="1"/>
    <xf numFmtId="0" fontId="10" fillId="2" borderId="0" xfId="0" applyFont="1" applyFill="1" applyAlignment="1">
      <alignment horizontal="center" vertical="center"/>
    </xf>
    <xf numFmtId="167" fontId="11" fillId="0" borderId="0" xfId="1" applyNumberFormat="1" applyFont="1" applyFill="1" applyAlignment="1"/>
    <xf numFmtId="167" fontId="11" fillId="2" borderId="0" xfId="1" applyNumberFormat="1" applyFont="1" applyFill="1" applyAlignment="1">
      <alignment horizontal="center" vertical="center"/>
    </xf>
    <xf numFmtId="167" fontId="10" fillId="0" borderId="0" xfId="1" applyNumberFormat="1" applyFont="1" applyFill="1" applyAlignment="1"/>
    <xf numFmtId="167" fontId="10" fillId="0" borderId="0" xfId="1" applyNumberFormat="1" applyFont="1" applyFill="1" applyAlignment="1">
      <alignment horizontal="left"/>
    </xf>
    <xf numFmtId="167" fontId="10" fillId="0" borderId="0" xfId="1" applyNumberFormat="1" applyFont="1" applyFill="1" applyAlignment="1">
      <alignment horizontal="center" vertical="center"/>
    </xf>
    <xf numFmtId="0" fontId="10" fillId="0" borderId="0" xfId="0" applyFont="1" applyFill="1" applyAlignment="1"/>
    <xf numFmtId="167" fontId="10" fillId="0" borderId="0" xfId="1" applyNumberFormat="1" applyFont="1" applyFill="1"/>
    <xf numFmtId="165" fontId="11" fillId="0" borderId="0" xfId="1" applyFont="1" applyFill="1"/>
    <xf numFmtId="165" fontId="11" fillId="2" borderId="0" xfId="1" applyFont="1" applyFill="1" applyAlignment="1">
      <alignment horizontal="center" vertical="center"/>
    </xf>
    <xf numFmtId="0" fontId="10" fillId="2" borderId="0" xfId="0" applyFont="1" applyFill="1"/>
    <xf numFmtId="0" fontId="11" fillId="0" borderId="0" xfId="0" applyFont="1"/>
    <xf numFmtId="0" fontId="41" fillId="0" borderId="0" xfId="0" applyFont="1" applyFill="1" applyAlignment="1">
      <alignment horizontal="left" vertical="center"/>
    </xf>
    <xf numFmtId="0" fontId="23" fillId="2" borderId="0" xfId="0" applyFont="1" applyFill="1" applyAlignment="1">
      <alignment horizontal="center" vertical="center"/>
    </xf>
    <xf numFmtId="0" fontId="50" fillId="0" borderId="0" xfId="13" applyFont="1"/>
    <xf numFmtId="0" fontId="26" fillId="0" borderId="0" xfId="0" applyFont="1" applyAlignment="1">
      <alignment vertical="center"/>
    </xf>
    <xf numFmtId="0" fontId="10" fillId="2" borderId="1" xfId="2" applyFont="1" applyFill="1" applyBorder="1" applyAlignment="1">
      <alignment horizontal="left"/>
    </xf>
    <xf numFmtId="0" fontId="49" fillId="2" borderId="0" xfId="2" applyFont="1" applyFill="1" applyBorder="1" applyAlignment="1">
      <alignment horizontal="center"/>
    </xf>
    <xf numFmtId="0" fontId="49" fillId="2" borderId="0" xfId="2" applyFont="1" applyFill="1" applyAlignment="1">
      <alignment horizontal="center"/>
    </xf>
    <xf numFmtId="0" fontId="23" fillId="2" borderId="0" xfId="4" applyFont="1" applyFill="1"/>
    <xf numFmtId="0" fontId="10" fillId="2" borderId="0" xfId="4" applyFont="1" applyFill="1"/>
    <xf numFmtId="0" fontId="11" fillId="7" borderId="0" xfId="0" applyFont="1" applyFill="1"/>
    <xf numFmtId="3" fontId="11" fillId="7" borderId="0" xfId="0" applyNumberFormat="1" applyFont="1" applyFill="1"/>
    <xf numFmtId="0" fontId="26" fillId="7" borderId="0" xfId="0" applyFont="1" applyFill="1" applyAlignment="1">
      <alignment vertical="center"/>
    </xf>
    <xf numFmtId="3" fontId="10" fillId="2" borderId="3" xfId="6" applyNumberFormat="1" applyFont="1" applyFill="1" applyBorder="1"/>
    <xf numFmtId="0" fontId="56" fillId="7" borderId="0" xfId="13" applyFont="1" applyFill="1"/>
    <xf numFmtId="3" fontId="11" fillId="0" borderId="0" xfId="0" applyNumberFormat="1" applyFont="1"/>
    <xf numFmtId="0" fontId="55" fillId="2" borderId="0" xfId="0" applyFont="1" applyFill="1"/>
    <xf numFmtId="0" fontId="23" fillId="7" borderId="0" xfId="0" applyFont="1" applyFill="1"/>
    <xf numFmtId="0" fontId="11" fillId="0" borderId="0" xfId="0" applyFont="1" applyAlignment="1">
      <alignment horizontal="justify" vertical="center"/>
    </xf>
    <xf numFmtId="0" fontId="55" fillId="0" borderId="0" xfId="0" applyFont="1" applyAlignment="1">
      <alignment vertical="center"/>
    </xf>
    <xf numFmtId="169" fontId="23" fillId="2" borderId="0" xfId="11" applyNumberFormat="1" applyFont="1" applyFill="1" applyAlignment="1">
      <alignment horizontal="right"/>
    </xf>
    <xf numFmtId="3" fontId="23" fillId="2" borderId="0" xfId="11" applyNumberFormat="1" applyFont="1" applyFill="1" applyAlignment="1">
      <alignment horizontal="right"/>
    </xf>
    <xf numFmtId="169" fontId="23" fillId="2" borderId="0" xfId="1" applyNumberFormat="1" applyFont="1" applyFill="1" applyAlignment="1">
      <alignment horizontal="right"/>
    </xf>
    <xf numFmtId="3" fontId="11" fillId="2" borderId="0" xfId="0" applyNumberFormat="1" applyFont="1" applyFill="1" applyAlignment="1">
      <alignment horizontal="right"/>
    </xf>
    <xf numFmtId="169" fontId="10" fillId="2" borderId="0" xfId="1" applyNumberFormat="1" applyFont="1" applyFill="1" applyBorder="1"/>
    <xf numFmtId="3" fontId="23" fillId="2" borderId="0" xfId="1" applyNumberFormat="1" applyFont="1" applyFill="1" applyAlignment="1">
      <alignment horizontal="right"/>
    </xf>
    <xf numFmtId="169" fontId="10" fillId="2" borderId="0" xfId="1" applyNumberFormat="1" applyFont="1" applyFill="1" applyBorder="1" applyAlignment="1">
      <alignment horizontal="right"/>
    </xf>
    <xf numFmtId="167" fontId="10" fillId="2" borderId="0" xfId="10" applyNumberFormat="1" applyFont="1" applyFill="1" applyBorder="1" applyAlignment="1">
      <alignment horizontal="right"/>
    </xf>
    <xf numFmtId="0" fontId="55" fillId="0" borderId="0" xfId="0" applyFont="1"/>
    <xf numFmtId="0" fontId="11" fillId="0" borderId="0" xfId="0" applyFont="1" applyAlignment="1">
      <alignment horizontal="right"/>
    </xf>
    <xf numFmtId="3" fontId="11" fillId="0" borderId="0" xfId="0" applyNumberFormat="1" applyFont="1" applyAlignment="1">
      <alignment horizontal="right"/>
    </xf>
    <xf numFmtId="3" fontId="10" fillId="2" borderId="0" xfId="1" applyNumberFormat="1" applyFont="1" applyFill="1" applyBorder="1" applyAlignment="1">
      <alignment horizontal="right"/>
    </xf>
    <xf numFmtId="3" fontId="10" fillId="2" borderId="8" xfId="1" applyNumberFormat="1" applyFont="1" applyFill="1" applyBorder="1" applyAlignment="1">
      <alignment horizontal="right"/>
    </xf>
    <xf numFmtId="169" fontId="23" fillId="2" borderId="0" xfId="1" applyNumberFormat="1" applyFont="1" applyFill="1" applyAlignment="1"/>
    <xf numFmtId="167" fontId="10" fillId="2" borderId="0" xfId="10" applyNumberFormat="1" applyFont="1" applyFill="1" applyBorder="1" applyAlignment="1"/>
    <xf numFmtId="0" fontId="59" fillId="7" borderId="0" xfId="0" applyFont="1" applyFill="1" applyAlignment="1">
      <alignment vertical="justify" wrapText="1"/>
    </xf>
    <xf numFmtId="0" fontId="11" fillId="7" borderId="0" xfId="0" applyFont="1" applyFill="1" applyAlignment="1">
      <alignment vertical="justify" wrapText="1"/>
    </xf>
    <xf numFmtId="0" fontId="11" fillId="7" borderId="0" xfId="0" applyFont="1" applyFill="1" applyAlignment="1">
      <alignment horizontal="left" vertical="top" wrapText="1"/>
    </xf>
    <xf numFmtId="0" fontId="55" fillId="7" borderId="0" xfId="0" applyFont="1" applyFill="1" applyAlignment="1">
      <alignment vertical="top" wrapText="1"/>
    </xf>
    <xf numFmtId="0" fontId="11" fillId="7" borderId="0" xfId="0" applyFont="1" applyFill="1" applyAlignment="1">
      <alignment vertical="top" wrapText="1"/>
    </xf>
    <xf numFmtId="3" fontId="23" fillId="0" borderId="0" xfId="0" applyNumberFormat="1" applyFont="1" applyFill="1" applyAlignment="1">
      <alignment horizontal="right" vertical="center"/>
    </xf>
    <xf numFmtId="3" fontId="10" fillId="0" borderId="0" xfId="0" applyNumberFormat="1" applyFont="1" applyFill="1" applyAlignment="1">
      <alignment horizontal="right" vertical="center"/>
    </xf>
    <xf numFmtId="3" fontId="55" fillId="7" borderId="0" xfId="0" applyNumberFormat="1" applyFont="1" applyFill="1" applyAlignment="1">
      <alignment horizontal="right"/>
    </xf>
    <xf numFmtId="0" fontId="55" fillId="7" borderId="0" xfId="0" applyFont="1" applyFill="1"/>
    <xf numFmtId="0" fontId="41" fillId="0" borderId="0" xfId="0" applyFont="1" applyFill="1" applyAlignment="1">
      <alignment vertical="center"/>
    </xf>
    <xf numFmtId="0" fontId="59" fillId="7" borderId="0" xfId="0" applyFont="1" applyFill="1" applyAlignment="1">
      <alignment horizontal="left" vertical="center" wrapText="1"/>
    </xf>
    <xf numFmtId="0" fontId="55" fillId="7" borderId="37" xfId="0" applyFont="1" applyFill="1" applyBorder="1" applyAlignment="1">
      <alignment horizontal="left" vertical="center" wrapText="1"/>
    </xf>
    <xf numFmtId="0" fontId="59" fillId="7" borderId="0" xfId="0" applyFont="1" applyFill="1"/>
    <xf numFmtId="3" fontId="11" fillId="7" borderId="37" xfId="0" applyNumberFormat="1" applyFont="1" applyFill="1" applyBorder="1"/>
    <xf numFmtId="3" fontId="55" fillId="7" borderId="0" xfId="0" applyNumberFormat="1" applyFont="1" applyFill="1"/>
    <xf numFmtId="0" fontId="11" fillId="0" borderId="0" xfId="0" applyFont="1" applyAlignment="1"/>
    <xf numFmtId="3" fontId="23" fillId="2" borderId="0" xfId="3" applyNumberFormat="1" applyFont="1" applyFill="1" applyAlignment="1">
      <alignment horizontal="right"/>
    </xf>
    <xf numFmtId="3" fontId="23" fillId="2" borderId="0" xfId="3" quotePrefix="1" applyNumberFormat="1" applyFont="1" applyFill="1" applyAlignment="1">
      <alignment horizontal="right"/>
    </xf>
    <xf numFmtId="3" fontId="23" fillId="2" borderId="0" xfId="1" applyNumberFormat="1" applyFont="1" applyFill="1" applyBorder="1" applyAlignment="1">
      <alignment horizontal="right"/>
    </xf>
    <xf numFmtId="3" fontId="10" fillId="2" borderId="0" xfId="3" applyNumberFormat="1" applyFont="1" applyFill="1" applyAlignment="1">
      <alignment horizontal="right"/>
    </xf>
    <xf numFmtId="3" fontId="10" fillId="2" borderId="8" xfId="3" applyNumberFormat="1" applyFont="1" applyFill="1" applyBorder="1" applyAlignment="1">
      <alignment horizontal="right"/>
    </xf>
    <xf numFmtId="0" fontId="10" fillId="2" borderId="0" xfId="3" applyFont="1" applyFill="1" applyAlignment="1">
      <alignment horizontal="center"/>
    </xf>
    <xf numFmtId="0" fontId="11" fillId="2" borderId="0" xfId="0" applyFont="1" applyFill="1" applyAlignment="1"/>
    <xf numFmtId="0" fontId="55" fillId="0" borderId="37" xfId="0" applyFont="1" applyBorder="1"/>
    <xf numFmtId="0" fontId="11" fillId="0" borderId="0" xfId="0" applyFont="1" applyFill="1" applyBorder="1"/>
    <xf numFmtId="0" fontId="11" fillId="7" borderId="0" xfId="0" applyFont="1" applyFill="1" applyAlignment="1">
      <alignment horizontal="left" vertical="center"/>
    </xf>
    <xf numFmtId="0" fontId="55" fillId="7" borderId="0" xfId="0" applyFont="1" applyFill="1" applyAlignment="1">
      <alignment horizontal="left" vertical="center"/>
    </xf>
    <xf numFmtId="3" fontId="11" fillId="7" borderId="0" xfId="0" applyNumberFormat="1" applyFont="1" applyFill="1" applyBorder="1"/>
    <xf numFmtId="3" fontId="55" fillId="7" borderId="0" xfId="8" applyNumberFormat="1" applyFont="1" applyFill="1" applyBorder="1"/>
    <xf numFmtId="0" fontId="49" fillId="0" borderId="0" xfId="0" applyFont="1" applyFill="1" applyAlignment="1">
      <alignment horizontal="left" vertical="center"/>
    </xf>
    <xf numFmtId="0" fontId="56" fillId="0" borderId="0" xfId="13" applyFont="1"/>
    <xf numFmtId="0" fontId="59" fillId="0" borderId="0" xfId="0" applyFont="1" applyAlignment="1">
      <alignment vertical="center"/>
    </xf>
    <xf numFmtId="3" fontId="11" fillId="0" borderId="37" xfId="0" applyNumberFormat="1" applyFont="1" applyBorder="1" applyAlignment="1">
      <alignment horizontal="right"/>
    </xf>
    <xf numFmtId="3" fontId="55" fillId="0" borderId="0" xfId="0" applyNumberFormat="1" applyFont="1"/>
    <xf numFmtId="0" fontId="11" fillId="0" borderId="0" xfId="0" applyFont="1" applyBorder="1"/>
    <xf numFmtId="0" fontId="37" fillId="0" borderId="0" xfId="0" applyFont="1"/>
    <xf numFmtId="0" fontId="41" fillId="0" borderId="0" xfId="0" applyFont="1" applyFill="1" applyAlignment="1"/>
    <xf numFmtId="0" fontId="11" fillId="0" borderId="8" xfId="0" applyFont="1" applyBorder="1"/>
    <xf numFmtId="0" fontId="11" fillId="0" borderId="8" xfId="0" applyFont="1" applyBorder="1" applyAlignment="1">
      <alignment horizontal="center"/>
    </xf>
    <xf numFmtId="3" fontId="55" fillId="0" borderId="8" xfId="0" applyNumberFormat="1" applyFont="1" applyBorder="1"/>
    <xf numFmtId="0" fontId="11" fillId="2" borderId="0" xfId="0" applyFont="1" applyFill="1" applyAlignment="1">
      <alignment horizontal="left"/>
    </xf>
    <xf numFmtId="0" fontId="12" fillId="0" borderId="0" xfId="12" applyFont="1" applyFill="1" applyBorder="1" applyAlignment="1">
      <alignment horizontal="left"/>
    </xf>
    <xf numFmtId="0" fontId="7" fillId="0" borderId="0" xfId="12" applyFont="1" applyFill="1" applyBorder="1" applyAlignment="1">
      <alignment horizontal="left"/>
    </xf>
    <xf numFmtId="14" fontId="46" fillId="0" borderId="0" xfId="0" applyNumberFormat="1" applyFont="1" applyFill="1" applyAlignment="1">
      <alignment horizontal="center" vertical="center"/>
    </xf>
    <xf numFmtId="14" fontId="46" fillId="0" borderId="0" xfId="0" applyNumberFormat="1" applyFont="1" applyFill="1" applyAlignment="1">
      <alignment horizontal="right" vertical="center"/>
    </xf>
    <xf numFmtId="0" fontId="35" fillId="2" borderId="0" xfId="0" applyFont="1" applyFill="1" applyAlignment="1">
      <alignment horizontal="left"/>
    </xf>
    <xf numFmtId="0" fontId="22" fillId="7" borderId="37" xfId="0" applyFont="1" applyFill="1" applyBorder="1" applyAlignment="1">
      <alignment horizontal="left" vertical="center"/>
    </xf>
    <xf numFmtId="0" fontId="41" fillId="2" borderId="0" xfId="0" applyFont="1" applyFill="1" applyAlignment="1">
      <alignment horizontal="left" vertical="center"/>
    </xf>
    <xf numFmtId="0" fontId="47" fillId="0" borderId="0" xfId="0" applyFont="1"/>
    <xf numFmtId="3" fontId="47" fillId="0" borderId="0" xfId="0" applyNumberFormat="1" applyFont="1"/>
    <xf numFmtId="3" fontId="11" fillId="7" borderId="0" xfId="0" applyNumberFormat="1" applyFont="1" applyFill="1" applyAlignment="1">
      <alignment horizontal="right"/>
    </xf>
    <xf numFmtId="3" fontId="11" fillId="7" borderId="37" xfId="0" applyNumberFormat="1" applyFont="1" applyFill="1" applyBorder="1" applyAlignment="1">
      <alignment horizontal="right"/>
    </xf>
    <xf numFmtId="0" fontId="55" fillId="0" borderId="0" xfId="0" applyFont="1" applyFill="1"/>
    <xf numFmtId="3" fontId="11" fillId="0" borderId="0" xfId="0" applyNumberFormat="1" applyFont="1" applyFill="1" applyAlignment="1">
      <alignment horizontal="center"/>
    </xf>
    <xf numFmtId="3" fontId="11" fillId="0" borderId="0" xfId="1" applyNumberFormat="1" applyFont="1" applyFill="1" applyAlignment="1">
      <alignment horizontal="center"/>
    </xf>
    <xf numFmtId="0" fontId="10" fillId="0" borderId="0" xfId="0" applyFont="1" applyFill="1" applyAlignment="1">
      <alignment wrapText="1"/>
    </xf>
    <xf numFmtId="167" fontId="11" fillId="0" borderId="0" xfId="1" applyNumberFormat="1" applyFont="1" applyFill="1" applyAlignment="1">
      <alignment horizontal="center"/>
    </xf>
    <xf numFmtId="167" fontId="10" fillId="2" borderId="0" xfId="1" applyNumberFormat="1" applyFont="1" applyFill="1" applyAlignment="1">
      <alignment horizontal="center" vertical="center"/>
    </xf>
    <xf numFmtId="3" fontId="10" fillId="0" borderId="0" xfId="1" applyNumberFormat="1" applyFont="1" applyFill="1" applyAlignment="1">
      <alignment horizontal="center"/>
    </xf>
    <xf numFmtId="0" fontId="11" fillId="0" borderId="0" xfId="0" applyFont="1" applyFill="1" applyAlignment="1">
      <alignment horizontal="center"/>
    </xf>
    <xf numFmtId="0" fontId="55" fillId="7" borderId="37" xfId="0" applyFont="1" applyFill="1" applyBorder="1"/>
    <xf numFmtId="3" fontId="11" fillId="0" borderId="0" xfId="0" applyNumberFormat="1" applyFont="1" applyFill="1"/>
    <xf numFmtId="3" fontId="10" fillId="0" borderId="0" xfId="0" applyNumberFormat="1" applyFont="1" applyFill="1"/>
    <xf numFmtId="0" fontId="59" fillId="2" borderId="0" xfId="0" applyFont="1" applyFill="1"/>
    <xf numFmtId="0" fontId="59" fillId="0" borderId="0" xfId="0" applyFont="1"/>
    <xf numFmtId="3" fontId="55" fillId="0" borderId="3" xfId="0" applyNumberFormat="1" applyFont="1" applyFill="1" applyBorder="1"/>
    <xf numFmtId="3" fontId="11" fillId="0" borderId="0" xfId="0" applyNumberFormat="1" applyFont="1" applyFill="1" applyBorder="1"/>
    <xf numFmtId="0" fontId="11" fillId="2" borderId="0" xfId="0" quotePrefix="1" applyFont="1" applyFill="1"/>
    <xf numFmtId="14" fontId="41" fillId="0" borderId="0" xfId="0" applyNumberFormat="1" applyFont="1" applyFill="1" applyAlignment="1">
      <alignment horizontal="right" vertical="center"/>
    </xf>
    <xf numFmtId="14" fontId="41" fillId="0" borderId="0" xfId="0" applyNumberFormat="1" applyFont="1" applyFill="1" applyBorder="1" applyAlignment="1">
      <alignment horizontal="right" vertical="center"/>
    </xf>
    <xf numFmtId="0" fontId="23" fillId="0" borderId="27" xfId="0" applyFont="1" applyBorder="1" applyAlignment="1">
      <alignment vertical="center" wrapText="1"/>
    </xf>
    <xf numFmtId="0" fontId="23" fillId="0" borderId="38" xfId="0" applyFont="1" applyBorder="1" applyAlignment="1">
      <alignment vertical="center" wrapText="1"/>
    </xf>
    <xf numFmtId="0" fontId="11" fillId="0" borderId="0" xfId="0" applyFont="1"/>
    <xf numFmtId="0" fontId="11" fillId="0" borderId="0" xfId="0" applyFont="1"/>
    <xf numFmtId="3" fontId="23" fillId="0" borderId="32"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8" xfId="0" applyNumberFormat="1" applyFont="1" applyBorder="1" applyAlignment="1">
      <alignment vertical="center" wrapText="1"/>
    </xf>
    <xf numFmtId="3" fontId="26" fillId="7" borderId="0" xfId="0" applyNumberFormat="1" applyFont="1" applyFill="1" applyBorder="1"/>
    <xf numFmtId="9" fontId="26" fillId="7" borderId="0" xfId="9" applyFont="1" applyFill="1" applyBorder="1"/>
    <xf numFmtId="169" fontId="26" fillId="7" borderId="0" xfId="86" applyNumberFormat="1" applyFont="1" applyFill="1" applyBorder="1"/>
    <xf numFmtId="0" fontId="26" fillId="7" borderId="0" xfId="0" applyFont="1" applyFill="1" applyBorder="1"/>
    <xf numFmtId="0" fontId="61" fillId="7" borderId="0" xfId="0" applyFont="1" applyFill="1" applyBorder="1"/>
    <xf numFmtId="169" fontId="26" fillId="7" borderId="0" xfId="86" applyNumberFormat="1" applyFont="1" applyFill="1" applyBorder="1" applyAlignment="1">
      <alignment horizontal="center"/>
    </xf>
    <xf numFmtId="0" fontId="41" fillId="0" borderId="0" xfId="0" applyFont="1" applyFill="1" applyBorder="1" applyAlignment="1">
      <alignment horizontal="left"/>
    </xf>
    <xf numFmtId="3" fontId="26" fillId="7" borderId="0" xfId="9" applyNumberFormat="1" applyFont="1" applyFill="1" applyBorder="1"/>
    <xf numFmtId="0" fontId="61" fillId="7" borderId="37" xfId="0" applyFont="1" applyFill="1" applyBorder="1"/>
    <xf numFmtId="0" fontId="62" fillId="7" borderId="0" xfId="0" applyFont="1" applyFill="1" applyBorder="1"/>
    <xf numFmtId="3" fontId="24" fillId="7" borderId="0" xfId="8" applyNumberFormat="1" applyFont="1" applyFill="1" applyBorder="1" applyAlignment="1">
      <alignment horizontal="right"/>
    </xf>
    <xf numFmtId="3" fontId="9" fillId="7" borderId="0" xfId="8" applyNumberFormat="1" applyFont="1" applyFill="1" applyBorder="1" applyAlignment="1">
      <alignment horizontal="right"/>
    </xf>
    <xf numFmtId="0" fontId="22" fillId="2" borderId="0" xfId="0" applyFont="1" applyFill="1" applyBorder="1"/>
    <xf numFmtId="0" fontId="41" fillId="2" borderId="0" xfId="0" applyFont="1" applyFill="1" applyBorder="1" applyAlignment="1">
      <alignment horizontal="left"/>
    </xf>
    <xf numFmtId="3" fontId="26" fillId="7" borderId="0" xfId="86" applyNumberFormat="1" applyFont="1" applyFill="1" applyBorder="1"/>
    <xf numFmtId="3" fontId="26" fillId="7" borderId="0" xfId="0" applyNumberFormat="1" applyFont="1" applyFill="1" applyBorder="1" applyAlignment="1">
      <alignment horizontal="right"/>
    </xf>
    <xf numFmtId="3" fontId="26" fillId="7" borderId="0" xfId="9" applyNumberFormat="1" applyFont="1" applyFill="1" applyBorder="1" applyAlignment="1">
      <alignment horizontal="right"/>
    </xf>
    <xf numFmtId="3" fontId="61" fillId="7" borderId="2" xfId="8" applyNumberFormat="1" applyFont="1" applyFill="1" applyBorder="1" applyAlignment="1">
      <alignment horizontal="right"/>
    </xf>
    <xf numFmtId="9" fontId="61" fillId="7" borderId="0" xfId="9" applyFont="1" applyFill="1" applyBorder="1" applyAlignment="1"/>
    <xf numFmtId="3" fontId="61" fillId="7" borderId="0" xfId="9" applyNumberFormat="1" applyFont="1" applyFill="1" applyBorder="1" applyAlignment="1">
      <alignment horizontal="right"/>
    </xf>
    <xf numFmtId="3" fontId="61" fillId="7" borderId="0" xfId="0" applyNumberFormat="1" applyFont="1" applyFill="1" applyBorder="1" applyAlignment="1">
      <alignment horizontal="right"/>
    </xf>
    <xf numFmtId="0" fontId="41" fillId="5" borderId="0" xfId="0" applyFont="1" applyFill="1" applyAlignment="1">
      <alignment horizontal="left" vertical="center"/>
    </xf>
    <xf numFmtId="0" fontId="11" fillId="0" borderId="0" xfId="0" applyFont="1"/>
    <xf numFmtId="0" fontId="35" fillId="2" borderId="0" xfId="0" applyFont="1" applyFill="1" applyAlignment="1">
      <alignment horizontal="left"/>
    </xf>
    <xf numFmtId="0" fontId="23" fillId="7" borderId="0" xfId="0" applyFont="1" applyFill="1" applyAlignment="1">
      <alignment horizontal="center"/>
    </xf>
    <xf numFmtId="0" fontId="11" fillId="7" borderId="0" xfId="0" applyFont="1" applyFill="1" applyAlignment="1">
      <alignment horizontal="left"/>
    </xf>
    <xf numFmtId="3" fontId="11" fillId="2" borderId="0" xfId="0" applyNumberFormat="1" applyFont="1" applyFill="1"/>
    <xf numFmtId="0" fontId="23" fillId="0" borderId="23" xfId="0" applyFont="1" applyFill="1" applyBorder="1" applyAlignment="1">
      <alignment vertical="center" wrapText="1"/>
    </xf>
    <xf numFmtId="3" fontId="11" fillId="0" borderId="0" xfId="8" applyNumberFormat="1" applyFont="1" applyFill="1" applyAlignment="1">
      <alignment horizontal="right"/>
    </xf>
    <xf numFmtId="3" fontId="55" fillId="0" borderId="0" xfId="1" applyNumberFormat="1" applyFont="1" applyFill="1" applyAlignment="1">
      <alignment horizontal="right"/>
    </xf>
    <xf numFmtId="3" fontId="11" fillId="0" borderId="0" xfId="1" applyNumberFormat="1" applyFont="1" applyFill="1" applyAlignment="1">
      <alignment horizontal="right"/>
    </xf>
    <xf numFmtId="3" fontId="11" fillId="0" borderId="0" xfId="0" applyNumberFormat="1" applyFont="1" applyFill="1" applyAlignment="1">
      <alignment horizontal="right"/>
    </xf>
    <xf numFmtId="3" fontId="10" fillId="0" borderId="0" xfId="1" applyNumberFormat="1" applyFont="1" applyFill="1" applyBorder="1" applyAlignment="1">
      <alignment horizontal="right"/>
    </xf>
    <xf numFmtId="164" fontId="26" fillId="7" borderId="0" xfId="8" applyFont="1" applyFill="1" applyBorder="1" applyAlignment="1">
      <alignment horizontal="center"/>
    </xf>
    <xf numFmtId="0" fontId="47" fillId="0" borderId="0" xfId="0" applyFont="1" applyAlignment="1">
      <alignment horizontal="justify" vertical="center"/>
    </xf>
    <xf numFmtId="0" fontId="55" fillId="0" borderId="0" xfId="0" applyFont="1" applyAlignment="1">
      <alignment horizontal="justify" vertical="center"/>
    </xf>
    <xf numFmtId="3" fontId="0" fillId="2" borderId="0" xfId="0" applyNumberFormat="1" applyFill="1"/>
    <xf numFmtId="0" fontId="11" fillId="2" borderId="0" xfId="0" applyFont="1" applyFill="1"/>
    <xf numFmtId="0" fontId="0" fillId="2" borderId="0" xfId="0" applyFill="1"/>
    <xf numFmtId="0" fontId="22" fillId="2" borderId="0" xfId="0" applyFont="1" applyFill="1"/>
    <xf numFmtId="0" fontId="0" fillId="2" borderId="0" xfId="0" quotePrefix="1" applyFill="1"/>
    <xf numFmtId="0" fontId="59" fillId="0" borderId="0" xfId="0" applyFont="1" applyAlignment="1">
      <alignment horizontal="justify" vertical="center"/>
    </xf>
    <xf numFmtId="0" fontId="0" fillId="0" borderId="0" xfId="0"/>
    <xf numFmtId="0" fontId="6" fillId="2" borderId="0" xfId="0" applyFont="1" applyFill="1"/>
    <xf numFmtId="0" fontId="5" fillId="2" borderId="0" xfId="0" applyFont="1" applyFill="1"/>
    <xf numFmtId="0" fontId="6" fillId="2" borderId="0" xfId="0" applyFont="1" applyFill="1" applyBorder="1"/>
    <xf numFmtId="0" fontId="0" fillId="2" borderId="0" xfId="0" applyFill="1"/>
    <xf numFmtId="0" fontId="11" fillId="0" borderId="0" xfId="0" applyFont="1" applyFill="1"/>
    <xf numFmtId="0" fontId="10" fillId="0" borderId="0" xfId="0" applyFont="1" applyFill="1"/>
    <xf numFmtId="164" fontId="5" fillId="2" borderId="0" xfId="0" applyNumberFormat="1" applyFont="1" applyFill="1" applyBorder="1"/>
    <xf numFmtId="167" fontId="12" fillId="2" borderId="0" xfId="12" applyNumberFormat="1" applyFont="1" applyFill="1" applyBorder="1"/>
    <xf numFmtId="0" fontId="0" fillId="7" borderId="0" xfId="0" applyFill="1"/>
    <xf numFmtId="0" fontId="21" fillId="2" borderId="0" xfId="0" applyFont="1" applyFill="1" applyAlignment="1">
      <alignment horizontal="left" vertical="center"/>
    </xf>
    <xf numFmtId="0" fontId="22" fillId="2" borderId="0" xfId="0" applyFont="1" applyFill="1"/>
    <xf numFmtId="169" fontId="7" fillId="2" borderId="0" xfId="1" applyNumberFormat="1" applyFont="1" applyFill="1" applyBorder="1"/>
    <xf numFmtId="0" fontId="6" fillId="0" borderId="0" xfId="0" applyFont="1" applyAlignment="1"/>
    <xf numFmtId="9" fontId="40" fillId="7" borderId="0" xfId="9" applyFont="1" applyFill="1" applyBorder="1" applyAlignment="1"/>
    <xf numFmtId="3" fontId="0" fillId="7" borderId="0" xfId="0" applyNumberFormat="1" applyFill="1" applyBorder="1"/>
    <xf numFmtId="0" fontId="11" fillId="0" borderId="6" xfId="0" applyFont="1" applyFill="1" applyBorder="1"/>
    <xf numFmtId="167" fontId="11" fillId="0" borderId="0" xfId="1" applyNumberFormat="1" applyFont="1"/>
    <xf numFmtId="167" fontId="11" fillId="0" borderId="0" xfId="0" applyNumberFormat="1" applyFont="1"/>
    <xf numFmtId="169" fontId="11" fillId="0" borderId="0" xfId="0" applyNumberFormat="1" applyFont="1"/>
    <xf numFmtId="167" fontId="19" fillId="0" borderId="0" xfId="1" applyNumberFormat="1" applyFont="1"/>
    <xf numFmtId="0" fontId="41" fillId="10" borderId="0" xfId="0" applyFont="1" applyFill="1" applyAlignment="1"/>
    <xf numFmtId="0" fontId="41" fillId="10" borderId="0" xfId="0" applyFont="1" applyFill="1"/>
    <xf numFmtId="0" fontId="53" fillId="10" borderId="0" xfId="0" applyFont="1" applyFill="1"/>
    <xf numFmtId="0" fontId="67" fillId="0" borderId="0" xfId="13" applyFont="1" applyFill="1"/>
    <xf numFmtId="174" fontId="41" fillId="10" borderId="0" xfId="0" applyNumberFormat="1" applyFont="1" applyFill="1" applyBorder="1" applyAlignment="1">
      <alignment horizontal="right" vertical="center"/>
    </xf>
    <xf numFmtId="0" fontId="41" fillId="10" borderId="0" xfId="0" applyFont="1" applyFill="1" applyBorder="1" applyAlignment="1">
      <alignment vertical="center"/>
    </xf>
    <xf numFmtId="0" fontId="41" fillId="10" borderId="0" xfId="0" applyFont="1" applyFill="1" applyAlignment="1">
      <alignment vertical="center"/>
    </xf>
    <xf numFmtId="0" fontId="66" fillId="0" borderId="0" xfId="13" applyFont="1"/>
    <xf numFmtId="0" fontId="55" fillId="2" borderId="0" xfId="0" applyFont="1" applyFill="1" applyAlignment="1">
      <alignment horizontal="left"/>
    </xf>
    <xf numFmtId="0" fontId="66" fillId="0" borderId="0" xfId="13" applyFont="1" applyFill="1" applyAlignment="1"/>
    <xf numFmtId="0" fontId="41" fillId="10" borderId="0" xfId="0" applyFont="1" applyFill="1" applyAlignment="1">
      <alignment horizontal="left" vertical="center"/>
    </xf>
    <xf numFmtId="0" fontId="68" fillId="0" borderId="0" xfId="13" applyFont="1"/>
    <xf numFmtId="0" fontId="67" fillId="7" borderId="0" xfId="13" applyFont="1" applyFill="1"/>
    <xf numFmtId="0" fontId="11" fillId="0" borderId="0" xfId="0" applyFont="1" applyAlignment="1">
      <alignment horizontal="left" vertical="top"/>
    </xf>
    <xf numFmtId="0" fontId="67" fillId="0" borderId="0" xfId="13" applyFont="1"/>
    <xf numFmtId="14" fontId="41" fillId="10" borderId="0" xfId="0" applyNumberFormat="1" applyFont="1" applyFill="1" applyAlignment="1">
      <alignment vertical="center"/>
    </xf>
    <xf numFmtId="0" fontId="41" fillId="10" borderId="0" xfId="0" applyFont="1" applyFill="1" applyAlignment="1">
      <alignment horizontal="right"/>
    </xf>
    <xf numFmtId="14" fontId="41" fillId="10" borderId="0" xfId="0" applyNumberFormat="1" applyFont="1" applyFill="1" applyAlignment="1">
      <alignment horizontal="right" vertical="center"/>
    </xf>
    <xf numFmtId="0" fontId="67" fillId="0" borderId="0" xfId="13" applyFont="1" applyAlignment="1">
      <alignment horizontal="left"/>
    </xf>
    <xf numFmtId="0" fontId="68" fillId="7" borderId="0" xfId="13" applyFont="1" applyFill="1"/>
    <xf numFmtId="0" fontId="21" fillId="10" borderId="0" xfId="0" applyFont="1" applyFill="1" applyAlignment="1">
      <alignment vertical="center"/>
    </xf>
    <xf numFmtId="3" fontId="7" fillId="2" borderId="0" xfId="0" applyNumberFormat="1" applyFont="1" applyFill="1" applyBorder="1"/>
    <xf numFmtId="0" fontId="7" fillId="2" borderId="0" xfId="0" applyFont="1" applyFill="1" applyBorder="1"/>
    <xf numFmtId="3" fontId="7" fillId="2" borderId="0" xfId="1" applyNumberFormat="1" applyFont="1" applyFill="1" applyBorder="1"/>
    <xf numFmtId="164" fontId="6" fillId="2" borderId="0" xfId="8" applyFont="1" applyFill="1" applyBorder="1"/>
    <xf numFmtId="0" fontId="39" fillId="2" borderId="0" xfId="0" applyFont="1" applyFill="1" applyBorder="1"/>
    <xf numFmtId="0" fontId="12" fillId="2" borderId="0" xfId="12" applyFont="1" applyFill="1" applyBorder="1"/>
    <xf numFmtId="0" fontId="55" fillId="7" borderId="0" xfId="0" applyFont="1" applyFill="1" applyAlignment="1">
      <alignment horizontal="left"/>
    </xf>
    <xf numFmtId="0" fontId="41" fillId="10" borderId="35" xfId="0" applyFont="1" applyFill="1" applyBorder="1" applyAlignment="1">
      <alignment vertical="center" wrapText="1"/>
    </xf>
    <xf numFmtId="0" fontId="41" fillId="10" borderId="29" xfId="0" applyFont="1" applyFill="1" applyBorder="1" applyAlignment="1">
      <alignment horizontal="center" vertical="center" wrapText="1"/>
    </xf>
    <xf numFmtId="0" fontId="41" fillId="10" borderId="0" xfId="0" applyFont="1" applyFill="1" applyBorder="1" applyAlignment="1"/>
    <xf numFmtId="0" fontId="11" fillId="7" borderId="0" xfId="0" applyFont="1" applyFill="1" applyAlignment="1">
      <alignment horizontal="center"/>
    </xf>
    <xf numFmtId="0" fontId="41" fillId="10" borderId="0" xfId="0" applyFont="1" applyFill="1" applyBorder="1" applyAlignment="1">
      <alignment horizontal="left" vertical="center"/>
    </xf>
    <xf numFmtId="0" fontId="23" fillId="0" borderId="0" xfId="0" applyFont="1" applyFill="1" applyBorder="1"/>
    <xf numFmtId="167" fontId="60" fillId="10" borderId="0" xfId="0" applyNumberFormat="1" applyFont="1" applyFill="1" applyAlignment="1">
      <alignment horizontal="center" vertical="center"/>
    </xf>
    <xf numFmtId="0" fontId="66" fillId="2" borderId="0" xfId="13" applyFont="1" applyFill="1" applyAlignment="1">
      <alignment horizontal="center" vertical="center"/>
    </xf>
    <xf numFmtId="0" fontId="66" fillId="0" borderId="0" xfId="13" applyFont="1" applyAlignment="1">
      <alignment horizontal="center"/>
    </xf>
    <xf numFmtId="0" fontId="69" fillId="2" borderId="0" xfId="0" applyFont="1" applyFill="1" applyAlignment="1">
      <alignment horizontal="center" vertical="center"/>
    </xf>
    <xf numFmtId="0" fontId="65" fillId="2" borderId="0" xfId="0" applyFont="1" applyFill="1" applyAlignment="1">
      <alignment horizontal="center" vertical="center"/>
    </xf>
    <xf numFmtId="0" fontId="70" fillId="0" borderId="0" xfId="0" applyFont="1"/>
    <xf numFmtId="0" fontId="67" fillId="2" borderId="0" xfId="13" applyFont="1" applyFill="1" applyAlignment="1">
      <alignment horizontal="center" vertical="center"/>
    </xf>
    <xf numFmtId="0" fontId="67" fillId="0" borderId="0" xfId="13" applyFont="1" applyAlignment="1">
      <alignment horizontal="center"/>
    </xf>
    <xf numFmtId="0" fontId="67" fillId="0" borderId="0" xfId="13" applyFont="1" applyFill="1" applyAlignment="1">
      <alignment horizontal="center"/>
    </xf>
    <xf numFmtId="167" fontId="65" fillId="2" borderId="0" xfId="0" applyNumberFormat="1" applyFont="1" applyFill="1" applyAlignment="1">
      <alignment horizontal="center" vertical="center"/>
    </xf>
    <xf numFmtId="0" fontId="11" fillId="10" borderId="0" xfId="0" applyFont="1" applyFill="1"/>
    <xf numFmtId="0" fontId="41" fillId="10" borderId="0" xfId="1" applyNumberFormat="1" applyFont="1" applyFill="1" applyAlignment="1">
      <alignment horizontal="center"/>
    </xf>
    <xf numFmtId="167" fontId="41" fillId="10" borderId="0" xfId="1" applyNumberFormat="1" applyFont="1" applyFill="1" applyBorder="1"/>
    <xf numFmtId="0" fontId="21" fillId="10" borderId="0" xfId="0" applyFont="1" applyFill="1"/>
    <xf numFmtId="0" fontId="5" fillId="0" borderId="0" xfId="0" applyFont="1" applyAlignment="1"/>
    <xf numFmtId="14" fontId="5" fillId="0" borderId="0" xfId="0" applyNumberFormat="1" applyFont="1" applyFill="1" applyAlignment="1"/>
    <xf numFmtId="0" fontId="61" fillId="0" borderId="0" xfId="0" applyFont="1" applyFill="1" applyBorder="1"/>
    <xf numFmtId="14" fontId="17" fillId="0" borderId="0" xfId="0" applyNumberFormat="1" applyFont="1" applyFill="1"/>
    <xf numFmtId="0" fontId="7" fillId="0" borderId="0" xfId="0" applyFont="1"/>
    <xf numFmtId="0" fontId="7" fillId="0" borderId="0" xfId="0" applyFont="1" applyAlignment="1">
      <alignment horizontal="center"/>
    </xf>
    <xf numFmtId="167" fontId="7" fillId="0" borderId="0" xfId="1" applyNumberFormat="1" applyFont="1"/>
    <xf numFmtId="167" fontId="6" fillId="0" borderId="0" xfId="1" applyNumberFormat="1" applyFont="1"/>
    <xf numFmtId="0" fontId="11" fillId="0" borderId="0" xfId="0" applyFont="1"/>
    <xf numFmtId="0" fontId="11" fillId="0" borderId="0" xfId="0" applyFont="1" applyAlignment="1">
      <alignment vertical="top" wrapText="1"/>
    </xf>
    <xf numFmtId="0" fontId="76" fillId="0" borderId="0" xfId="0" applyFont="1"/>
    <xf numFmtId="0" fontId="11" fillId="7" borderId="0" xfId="0" applyFont="1" applyFill="1" applyBorder="1" applyAlignment="1">
      <alignment horizontal="right"/>
    </xf>
    <xf numFmtId="0" fontId="11" fillId="7" borderId="0" xfId="0" applyFont="1" applyFill="1" applyBorder="1"/>
    <xf numFmtId="0" fontId="11" fillId="7" borderId="0" xfId="0" applyFont="1" applyFill="1" applyAlignment="1">
      <alignment horizontal="right"/>
    </xf>
    <xf numFmtId="164" fontId="34" fillId="7" borderId="2" xfId="8" applyFont="1" applyFill="1" applyBorder="1"/>
    <xf numFmtId="0" fontId="5" fillId="2" borderId="0" xfId="0" applyFont="1" applyFill="1" applyAlignment="1">
      <alignment horizontal="left" vertical="center"/>
    </xf>
    <xf numFmtId="0" fontId="55" fillId="7" borderId="0" xfId="0" applyFont="1" applyFill="1" applyBorder="1"/>
    <xf numFmtId="14" fontId="41" fillId="0" borderId="0" xfId="0" applyNumberFormat="1" applyFont="1" applyFill="1" applyAlignment="1">
      <alignment horizontal="right" vertical="center" wrapText="1"/>
    </xf>
    <xf numFmtId="3" fontId="11" fillId="7" borderId="0" xfId="0" applyNumberFormat="1" applyFont="1" applyFill="1" applyBorder="1" applyAlignment="1">
      <alignment horizontal="right"/>
    </xf>
    <xf numFmtId="0" fontId="55" fillId="7" borderId="0" xfId="0" applyFont="1" applyFill="1" applyAlignment="1">
      <alignment horizontal="center" vertical="center" wrapText="1"/>
    </xf>
    <xf numFmtId="3" fontId="55" fillId="0" borderId="0" xfId="0" applyNumberFormat="1" applyFont="1" applyFill="1" applyBorder="1" applyAlignment="1">
      <alignment horizontal="right" vertical="center" wrapText="1"/>
    </xf>
    <xf numFmtId="3" fontId="11" fillId="0" borderId="0" xfId="0" applyNumberFormat="1" applyFont="1" applyFill="1" applyBorder="1" applyAlignment="1">
      <alignment horizontal="right" vertical="center" wrapText="1"/>
    </xf>
    <xf numFmtId="164" fontId="11" fillId="7" borderId="2" xfId="8" applyFont="1" applyFill="1" applyBorder="1"/>
    <xf numFmtId="0" fontId="14" fillId="7" borderId="0" xfId="0" applyFont="1" applyFill="1"/>
    <xf numFmtId="0" fontId="55" fillId="0" borderId="0" xfId="0" applyFont="1" applyAlignment="1">
      <alignment vertical="top" wrapText="1"/>
    </xf>
    <xf numFmtId="0" fontId="28" fillId="10" borderId="0" xfId="0" applyFont="1" applyFill="1"/>
    <xf numFmtId="3" fontId="55" fillId="7" borderId="3" xfId="0" applyNumberFormat="1" applyFont="1" applyFill="1" applyBorder="1"/>
    <xf numFmtId="14" fontId="41" fillId="0" borderId="0" xfId="0" applyNumberFormat="1" applyFont="1" applyFill="1" applyBorder="1" applyAlignment="1">
      <alignment horizontal="right" vertical="center" wrapText="1"/>
    </xf>
    <xf numFmtId="0" fontId="55" fillId="0" borderId="0" xfId="0" applyFont="1" applyAlignment="1">
      <alignment horizontal="left" vertical="top" wrapText="1"/>
    </xf>
    <xf numFmtId="3" fontId="0" fillId="7" borderId="37" xfId="0" applyNumberFormat="1" applyFill="1" applyBorder="1"/>
    <xf numFmtId="0" fontId="6" fillId="0" borderId="0" xfId="0" applyFont="1" applyAlignment="1">
      <alignment vertical="top" wrapText="1"/>
    </xf>
    <xf numFmtId="0" fontId="0" fillId="0" borderId="0" xfId="0"/>
    <xf numFmtId="0" fontId="6" fillId="0" borderId="0" xfId="0" applyFont="1"/>
    <xf numFmtId="0" fontId="11" fillId="2" borderId="0" xfId="0" applyFont="1" applyFill="1"/>
    <xf numFmtId="0" fontId="6" fillId="0" borderId="0" xfId="0" applyFont="1" applyBorder="1"/>
    <xf numFmtId="167" fontId="6" fillId="0" borderId="0" xfId="0" applyNumberFormat="1" applyFont="1"/>
    <xf numFmtId="0" fontId="0" fillId="0" borderId="0" xfId="0" applyFill="1"/>
    <xf numFmtId="0" fontId="17" fillId="0" borderId="0" xfId="0" applyFont="1"/>
    <xf numFmtId="167" fontId="17" fillId="0" borderId="0" xfId="1" applyNumberFormat="1" applyFont="1"/>
    <xf numFmtId="167" fontId="18" fillId="0" borderId="0" xfId="1" applyNumberFormat="1" applyFont="1"/>
    <xf numFmtId="172" fontId="6" fillId="0" borderId="0" xfId="0" applyNumberFormat="1" applyFont="1" applyAlignment="1">
      <alignment horizontal="right"/>
    </xf>
    <xf numFmtId="0" fontId="73" fillId="0" borderId="0" xfId="0" applyFont="1"/>
    <xf numFmtId="167" fontId="6" fillId="0" borderId="0" xfId="1" applyNumberFormat="1" applyFont="1"/>
    <xf numFmtId="167" fontId="6" fillId="0" borderId="0" xfId="1" applyNumberFormat="1" applyFont="1" applyFill="1"/>
    <xf numFmtId="167" fontId="7" fillId="0" borderId="0" xfId="1" applyNumberFormat="1" applyFont="1" applyFill="1"/>
    <xf numFmtId="0" fontId="20" fillId="0" borderId="0" xfId="0" applyFont="1"/>
    <xf numFmtId="167" fontId="6" fillId="0" borderId="0" xfId="1" applyNumberFormat="1" applyFont="1" applyBorder="1"/>
    <xf numFmtId="167" fontId="6" fillId="0" borderId="0" xfId="1" applyNumberFormat="1" applyFont="1" applyBorder="1" applyAlignment="1">
      <alignment horizontal="center"/>
    </xf>
    <xf numFmtId="167" fontId="18" fillId="0" borderId="0" xfId="1" applyNumberFormat="1" applyFont="1" applyBorder="1"/>
    <xf numFmtId="0" fontId="0" fillId="7" borderId="0" xfId="0" applyFill="1"/>
    <xf numFmtId="0" fontId="15" fillId="7" borderId="0" xfId="13" applyFill="1"/>
    <xf numFmtId="0" fontId="0" fillId="2" borderId="0" xfId="0" applyFill="1" applyBorder="1"/>
    <xf numFmtId="0" fontId="0" fillId="7" borderId="0" xfId="0" applyFill="1" applyBorder="1"/>
    <xf numFmtId="0" fontId="14" fillId="0" borderId="0" xfId="0" applyFont="1" applyAlignment="1">
      <alignment horizontal="center"/>
    </xf>
    <xf numFmtId="0" fontId="21" fillId="0" borderId="0" xfId="0" applyFont="1" applyFill="1" applyAlignment="1"/>
    <xf numFmtId="0" fontId="12" fillId="2" borderId="0" xfId="0" applyFont="1" applyFill="1" applyBorder="1" applyAlignment="1">
      <alignment vertical="center"/>
    </xf>
    <xf numFmtId="0" fontId="6" fillId="0" borderId="0" xfId="0" applyFont="1" applyBorder="1" applyAlignment="1"/>
    <xf numFmtId="0" fontId="29" fillId="7" borderId="0" xfId="0" applyFont="1" applyFill="1" applyAlignment="1">
      <alignment wrapText="1"/>
    </xf>
    <xf numFmtId="3" fontId="22" fillId="7" borderId="3" xfId="0" applyNumberFormat="1" applyFont="1" applyFill="1" applyBorder="1"/>
    <xf numFmtId="0" fontId="55" fillId="0" borderId="0" xfId="0" applyFont="1" applyBorder="1"/>
    <xf numFmtId="3" fontId="55" fillId="0" borderId="3" xfId="0" applyNumberFormat="1" applyFont="1" applyBorder="1" applyAlignment="1">
      <alignment horizontal="right"/>
    </xf>
    <xf numFmtId="3" fontId="61" fillId="7" borderId="3" xfId="8" applyNumberFormat="1" applyFont="1" applyFill="1" applyBorder="1" applyAlignment="1">
      <alignment horizontal="right"/>
    </xf>
    <xf numFmtId="9" fontId="26" fillId="7" borderId="0" xfId="9" applyFont="1" applyFill="1" applyBorder="1" applyAlignment="1">
      <alignment horizontal="right"/>
    </xf>
    <xf numFmtId="169" fontId="26" fillId="7" borderId="0" xfId="86" applyNumberFormat="1" applyFont="1" applyFill="1" applyBorder="1" applyAlignment="1">
      <alignment horizontal="right"/>
    </xf>
    <xf numFmtId="167" fontId="6" fillId="0" borderId="0" xfId="1" applyNumberFormat="1" applyFont="1" applyFill="1" applyBorder="1"/>
    <xf numFmtId="167" fontId="21" fillId="0" borderId="0" xfId="1" applyNumberFormat="1" applyFont="1" applyFill="1" applyBorder="1"/>
    <xf numFmtId="167" fontId="21" fillId="0" borderId="0" xfId="1" applyNumberFormat="1" applyFont="1" applyFill="1" applyBorder="1" applyAlignment="1">
      <alignment vertical="center"/>
    </xf>
    <xf numFmtId="167" fontId="7" fillId="0" borderId="0" xfId="1" applyNumberFormat="1" applyFont="1" applyFill="1" applyBorder="1"/>
    <xf numFmtId="167" fontId="18" fillId="0" borderId="0" xfId="1" applyNumberFormat="1" applyFont="1" applyFill="1"/>
    <xf numFmtId="167" fontId="68" fillId="0" borderId="0" xfId="13" applyNumberFormat="1" applyFont="1" applyAlignment="1">
      <alignment horizontal="center" vertical="center"/>
    </xf>
    <xf numFmtId="167" fontId="11" fillId="0" borderId="0" xfId="1" applyNumberFormat="1" applyFont="1" applyBorder="1"/>
    <xf numFmtId="0" fontId="10" fillId="0" borderId="0" xfId="0" applyFont="1"/>
    <xf numFmtId="167" fontId="53" fillId="0" borderId="0" xfId="1" applyNumberFormat="1" applyFont="1"/>
    <xf numFmtId="167" fontId="11" fillId="0" borderId="0" xfId="1" applyNumberFormat="1" applyFont="1" applyAlignment="1">
      <alignment horizontal="center"/>
    </xf>
    <xf numFmtId="167" fontId="11" fillId="0" borderId="0" xfId="1" applyNumberFormat="1" applyFont="1" applyBorder="1" applyAlignment="1">
      <alignment horizontal="center"/>
    </xf>
    <xf numFmtId="167" fontId="41" fillId="0" borderId="0" xfId="1" applyNumberFormat="1" applyFont="1" applyFill="1" applyAlignment="1">
      <alignment horizontal="center" vertical="center" wrapText="1"/>
    </xf>
    <xf numFmtId="167" fontId="41" fillId="0" borderId="0" xfId="1" applyNumberFormat="1" applyFont="1" applyFill="1" applyBorder="1"/>
    <xf numFmtId="0" fontId="11" fillId="0" borderId="0" xfId="0" applyFont="1" applyAlignment="1">
      <alignment wrapText="1"/>
    </xf>
    <xf numFmtId="0" fontId="23" fillId="0" borderId="0" xfId="0" applyFont="1" applyAlignment="1">
      <alignment vertical="center"/>
    </xf>
    <xf numFmtId="167" fontId="23" fillId="0" borderId="0" xfId="1" applyNumberFormat="1" applyFont="1" applyFill="1" applyBorder="1"/>
    <xf numFmtId="167" fontId="10" fillId="0" borderId="3" xfId="1" applyNumberFormat="1" applyFont="1" applyBorder="1"/>
    <xf numFmtId="167" fontId="10" fillId="0" borderId="0" xfId="1" applyNumberFormat="1" applyFont="1" applyBorder="1"/>
    <xf numFmtId="167" fontId="41" fillId="0" borderId="0" xfId="1" applyNumberFormat="1" applyFont="1" applyFill="1" applyBorder="1" applyAlignment="1">
      <alignment vertical="center"/>
    </xf>
    <xf numFmtId="0" fontId="41" fillId="0" borderId="0" xfId="0" applyFont="1" applyAlignment="1">
      <alignment vertical="center"/>
    </xf>
    <xf numFmtId="0" fontId="23" fillId="0" borderId="0" xfId="75" applyFont="1"/>
    <xf numFmtId="169" fontId="23" fillId="0" borderId="0" xfId="1" applyNumberFormat="1" applyFont="1"/>
    <xf numFmtId="167" fontId="23" fillId="0" borderId="0" xfId="1" applyNumberFormat="1" applyFont="1" applyBorder="1"/>
    <xf numFmtId="167" fontId="10" fillId="0" borderId="0" xfId="1" applyNumberFormat="1" applyFont="1"/>
    <xf numFmtId="167" fontId="23" fillId="0" borderId="0" xfId="1" applyNumberFormat="1" applyFont="1"/>
    <xf numFmtId="167" fontId="19" fillId="0" borderId="0" xfId="1" applyNumberFormat="1" applyFont="1" applyBorder="1"/>
    <xf numFmtId="167" fontId="19" fillId="0" borderId="0" xfId="1" applyNumberFormat="1" applyFont="1" applyFill="1"/>
    <xf numFmtId="167" fontId="41" fillId="0" borderId="0" xfId="1" applyNumberFormat="1" applyFont="1" applyFill="1" applyBorder="1" applyAlignment="1">
      <alignment horizontal="center" vertical="center" wrapText="1"/>
    </xf>
    <xf numFmtId="167" fontId="17" fillId="0" borderId="0" xfId="1" applyNumberFormat="1" applyFont="1" applyBorder="1"/>
    <xf numFmtId="167" fontId="41" fillId="10" borderId="0" xfId="1" applyNumberFormat="1" applyFont="1" applyFill="1" applyBorder="1" applyAlignment="1">
      <alignment vertical="center"/>
    </xf>
    <xf numFmtId="3" fontId="10" fillId="7" borderId="0" xfId="0" applyNumberFormat="1" applyFont="1" applyFill="1" applyAlignment="1">
      <alignment horizontal="center"/>
    </xf>
    <xf numFmtId="3" fontId="10" fillId="0" borderId="0" xfId="0" applyNumberFormat="1" applyFont="1" applyAlignment="1">
      <alignment horizontal="center"/>
    </xf>
    <xf numFmtId="0" fontId="73" fillId="7" borderId="0" xfId="0" applyFont="1" applyFill="1"/>
    <xf numFmtId="0" fontId="73" fillId="7" borderId="0" xfId="0" applyFont="1" applyFill="1" applyAlignment="1">
      <alignment vertical="center" wrapText="1"/>
    </xf>
    <xf numFmtId="0" fontId="23" fillId="2" borderId="0" xfId="0" applyFont="1" applyFill="1" applyAlignment="1">
      <alignment vertical="center" wrapText="1"/>
    </xf>
    <xf numFmtId="0" fontId="78" fillId="7" borderId="0" xfId="13" applyFont="1" applyFill="1"/>
    <xf numFmtId="0" fontId="74" fillId="0" borderId="0" xfId="0" applyFont="1" applyAlignment="1">
      <alignment vertical="center"/>
    </xf>
    <xf numFmtId="0" fontId="74" fillId="0" borderId="6" xfId="0" applyFont="1" applyBorder="1" applyAlignment="1">
      <alignment horizontal="justify" vertical="center" wrapText="1"/>
    </xf>
    <xf numFmtId="0" fontId="74" fillId="0" borderId="6" xfId="0" applyFont="1" applyBorder="1" applyAlignment="1">
      <alignment horizontal="center" vertical="center" wrapText="1"/>
    </xf>
    <xf numFmtId="0" fontId="74" fillId="0" borderId="6" xfId="0" applyFont="1" applyBorder="1" applyAlignment="1">
      <alignment horizontal="right" vertical="center" wrapText="1"/>
    </xf>
    <xf numFmtId="0" fontId="75" fillId="10" borderId="6" xfId="0" applyFont="1" applyFill="1" applyBorder="1" applyAlignment="1">
      <alignment horizontal="right" vertical="center" wrapText="1"/>
    </xf>
    <xf numFmtId="0" fontId="75" fillId="10" borderId="6" xfId="0" applyFont="1" applyFill="1" applyBorder="1" applyAlignment="1">
      <alignment horizontal="center" vertical="center" wrapText="1"/>
    </xf>
    <xf numFmtId="0" fontId="11" fillId="0" borderId="6" xfId="0" applyFont="1" applyBorder="1" applyAlignment="1">
      <alignment horizontal="justify" vertical="center" wrapText="1"/>
    </xf>
    <xf numFmtId="0" fontId="41" fillId="10" borderId="6" xfId="0" applyFont="1" applyFill="1" applyBorder="1" applyAlignment="1">
      <alignment horizontal="justify"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23" fillId="7" borderId="11" xfId="0" applyFont="1" applyFill="1" applyBorder="1" applyAlignment="1"/>
    <xf numFmtId="0" fontId="61" fillId="7" borderId="0" xfId="0" applyFont="1" applyFill="1" applyBorder="1" applyAlignment="1">
      <alignment vertical="center" wrapText="1"/>
    </xf>
    <xf numFmtId="0" fontId="26" fillId="7" borderId="0" xfId="0" quotePrefix="1" applyFont="1" applyFill="1" applyBorder="1"/>
    <xf numFmtId="0" fontId="71" fillId="0" borderId="0" xfId="0" applyFont="1" applyBorder="1" applyAlignment="1">
      <alignment horizontal="center" vertical="center"/>
    </xf>
    <xf numFmtId="0" fontId="68" fillId="0" borderId="0" xfId="13" applyFont="1" applyBorder="1" applyAlignment="1">
      <alignment horizontal="center"/>
    </xf>
    <xf numFmtId="0" fontId="68" fillId="0" borderId="0" xfId="13" quotePrefix="1" applyFont="1" applyBorder="1" applyAlignment="1">
      <alignment horizontal="center"/>
    </xf>
    <xf numFmtId="0" fontId="72" fillId="0" borderId="0" xfId="13" quotePrefix="1" applyFont="1" applyBorder="1" applyAlignment="1">
      <alignment horizontal="center"/>
    </xf>
    <xf numFmtId="0" fontId="68" fillId="0" borderId="0" xfId="13" applyFont="1" applyBorder="1" applyAlignment="1">
      <alignment horizontal="center" vertical="center"/>
    </xf>
    <xf numFmtId="0" fontId="5" fillId="0" borderId="5" xfId="0" applyFont="1" applyBorder="1" applyAlignment="1">
      <alignment horizontal="center" vertical="center"/>
    </xf>
    <xf numFmtId="0" fontId="12" fillId="2" borderId="0" xfId="0" applyFont="1" applyFill="1" applyBorder="1" applyAlignment="1">
      <alignment horizontal="center" vertical="center"/>
    </xf>
    <xf numFmtId="0" fontId="5" fillId="0" borderId="0" xfId="0" applyFont="1" applyBorder="1" applyAlignment="1">
      <alignment horizontal="right"/>
    </xf>
    <xf numFmtId="169" fontId="23" fillId="2" borderId="0" xfId="11" applyNumberFormat="1" applyFont="1" applyFill="1" applyAlignment="1"/>
    <xf numFmtId="3" fontId="23" fillId="2" borderId="0" xfId="11" applyNumberFormat="1" applyFont="1" applyFill="1" applyAlignment="1"/>
    <xf numFmtId="169" fontId="10" fillId="2" borderId="0" xfId="1" applyNumberFormat="1" applyFont="1" applyFill="1" applyBorder="1" applyAlignment="1"/>
    <xf numFmtId="169" fontId="10" fillId="2" borderId="8" xfId="1" applyNumberFormat="1" applyFont="1" applyFill="1" applyBorder="1" applyAlignment="1"/>
    <xf numFmtId="167" fontId="23" fillId="2" borderId="0" xfId="10" applyNumberFormat="1" applyFont="1" applyFill="1" applyAlignment="1">
      <alignment horizontal="right"/>
    </xf>
    <xf numFmtId="173" fontId="23" fillId="2" borderId="0" xfId="10" applyNumberFormat="1" applyFont="1" applyFill="1" applyAlignment="1">
      <alignment horizontal="right"/>
    </xf>
    <xf numFmtId="167" fontId="10" fillId="2" borderId="8" xfId="10" applyNumberFormat="1" applyFont="1" applyFill="1" applyBorder="1" applyAlignment="1">
      <alignment horizontal="right"/>
    </xf>
    <xf numFmtId="164" fontId="10" fillId="2" borderId="8" xfId="8" applyFont="1" applyFill="1" applyBorder="1" applyAlignment="1">
      <alignment horizontal="right"/>
    </xf>
    <xf numFmtId="164" fontId="10" fillId="2" borderId="0" xfId="8" applyFont="1" applyFill="1" applyBorder="1" applyAlignment="1">
      <alignment horizontal="right"/>
    </xf>
    <xf numFmtId="3" fontId="55" fillId="7" borderId="3" xfId="8" applyNumberFormat="1" applyFont="1" applyFill="1" applyBorder="1" applyAlignment="1">
      <alignment horizontal="right"/>
    </xf>
    <xf numFmtId="3" fontId="55" fillId="7" borderId="8" xfId="0" applyNumberFormat="1" applyFont="1" applyFill="1" applyBorder="1" applyAlignment="1">
      <alignment horizontal="right"/>
    </xf>
    <xf numFmtId="3" fontId="55" fillId="2" borderId="3" xfId="8" applyNumberFormat="1" applyFont="1" applyFill="1" applyBorder="1" applyAlignment="1">
      <alignment horizontal="right"/>
    </xf>
    <xf numFmtId="3" fontId="55" fillId="0" borderId="8" xfId="0" applyNumberFormat="1" applyFont="1" applyBorder="1" applyAlignment="1">
      <alignment horizontal="right"/>
    </xf>
    <xf numFmtId="3" fontId="47" fillId="0" borderId="0" xfId="0" applyNumberFormat="1" applyFont="1" applyBorder="1" applyAlignment="1">
      <alignment horizontal="right" vertical="center" wrapText="1"/>
    </xf>
    <xf numFmtId="0" fontId="9" fillId="7" borderId="0" xfId="0" applyFont="1" applyFill="1" applyBorder="1" applyAlignment="1">
      <alignment horizontal="right"/>
    </xf>
    <xf numFmtId="9" fontId="9" fillId="7" borderId="0" xfId="9" applyFont="1" applyFill="1" applyBorder="1" applyAlignment="1">
      <alignment horizontal="right"/>
    </xf>
    <xf numFmtId="164" fontId="9" fillId="7" borderId="2" xfId="8" applyFont="1" applyFill="1" applyBorder="1" applyAlignment="1">
      <alignment horizontal="right"/>
    </xf>
    <xf numFmtId="0" fontId="10" fillId="7" borderId="0" xfId="0" applyFont="1" applyFill="1"/>
    <xf numFmtId="3" fontId="23" fillId="7" borderId="0" xfId="0" applyNumberFormat="1" applyFont="1" applyFill="1" applyAlignment="1">
      <alignment wrapText="1"/>
    </xf>
    <xf numFmtId="3" fontId="10" fillId="7" borderId="0" xfId="0" applyNumberFormat="1" applyFont="1" applyFill="1" applyAlignment="1">
      <alignment wrapText="1"/>
    </xf>
    <xf numFmtId="0" fontId="11" fillId="0" borderId="0" xfId="0" applyFont="1" applyBorder="1" applyAlignment="1">
      <alignment horizontal="center" vertical="center" wrapText="1"/>
    </xf>
    <xf numFmtId="0" fontId="55" fillId="0" borderId="0" xfId="0" applyFont="1" applyBorder="1" applyAlignment="1">
      <alignment vertical="center" wrapText="1"/>
    </xf>
    <xf numFmtId="3" fontId="11" fillId="0" borderId="0" xfId="0" applyNumberFormat="1" applyFont="1" applyBorder="1" applyAlignment="1">
      <alignment horizontal="center" vertical="center" wrapText="1"/>
    </xf>
    <xf numFmtId="3" fontId="52" fillId="0" borderId="0" xfId="0" applyNumberFormat="1" applyFont="1" applyBorder="1" applyAlignment="1">
      <alignment horizontal="center" vertical="center" wrapText="1"/>
    </xf>
    <xf numFmtId="3" fontId="59" fillId="0" borderId="0" xfId="0" applyNumberFormat="1" applyFont="1" applyBorder="1" applyAlignment="1">
      <alignment horizontal="center" vertical="center" wrapText="1"/>
    </xf>
    <xf numFmtId="0" fontId="59"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justify" vertical="center"/>
    </xf>
    <xf numFmtId="0" fontId="55" fillId="0" borderId="39" xfId="0" applyFont="1" applyBorder="1" applyAlignment="1">
      <alignment horizontal="center" vertical="center"/>
    </xf>
    <xf numFmtId="0" fontId="11" fillId="0" borderId="40" xfId="0" applyFont="1" applyBorder="1" applyAlignment="1">
      <alignment horizontal="center" vertical="center" wrapText="1"/>
    </xf>
    <xf numFmtId="0" fontId="11" fillId="0" borderId="40" xfId="0" applyFont="1" applyBorder="1" applyAlignment="1">
      <alignment vertical="center" wrapText="1"/>
    </xf>
    <xf numFmtId="0" fontId="79" fillId="0" borderId="40" xfId="0" applyFont="1" applyBorder="1" applyAlignment="1">
      <alignment vertical="center" wrapText="1"/>
    </xf>
    <xf numFmtId="0" fontId="14" fillId="0" borderId="40" xfId="0" applyFont="1" applyBorder="1" applyAlignment="1">
      <alignment horizontal="center" vertical="center" wrapText="1"/>
    </xf>
    <xf numFmtId="0" fontId="14" fillId="0" borderId="40" xfId="0" applyFont="1" applyBorder="1" applyAlignment="1">
      <alignment vertical="center" wrapText="1"/>
    </xf>
    <xf numFmtId="0" fontId="77" fillId="0" borderId="40" xfId="0" applyFont="1" applyBorder="1" applyAlignment="1">
      <alignment vertical="center" wrapText="1"/>
    </xf>
    <xf numFmtId="0" fontId="77" fillId="0" borderId="40" xfId="0" applyFont="1" applyBorder="1" applyAlignment="1">
      <alignment horizontal="center" vertical="center" wrapText="1"/>
    </xf>
    <xf numFmtId="0" fontId="14" fillId="0" borderId="41" xfId="0" applyFont="1" applyBorder="1" applyAlignment="1">
      <alignment vertical="center" wrapText="1"/>
    </xf>
    <xf numFmtId="0" fontId="11" fillId="0" borderId="0" xfId="0" applyFont="1"/>
    <xf numFmtId="0" fontId="11" fillId="0" borderId="0" xfId="0" applyFont="1" applyAlignment="1">
      <alignment horizontal="left"/>
    </xf>
    <xf numFmtId="0" fontId="11" fillId="0" borderId="0" xfId="0" applyFont="1" applyAlignment="1">
      <alignment horizontal="left" vertical="center"/>
    </xf>
    <xf numFmtId="3" fontId="10" fillId="0" borderId="26" xfId="0" applyNumberFormat="1" applyFont="1" applyBorder="1" applyAlignment="1">
      <alignment vertical="center" wrapText="1"/>
    </xf>
    <xf numFmtId="0" fontId="41" fillId="10" borderId="4" xfId="0" applyFont="1" applyFill="1" applyBorder="1" applyAlignment="1">
      <alignment vertical="center"/>
    </xf>
    <xf numFmtId="0" fontId="41" fillId="10" borderId="45" xfId="0" applyFont="1" applyFill="1" applyBorder="1" applyAlignment="1">
      <alignment vertical="center"/>
    </xf>
    <xf numFmtId="0" fontId="55" fillId="0" borderId="0" xfId="0" applyFont="1" applyAlignment="1">
      <alignment vertical="center" wrapText="1"/>
    </xf>
    <xf numFmtId="0" fontId="21" fillId="2" borderId="0" xfId="0" applyFont="1" applyFill="1" applyAlignment="1">
      <alignment vertical="center" wrapText="1"/>
    </xf>
    <xf numFmtId="0" fontId="41" fillId="0" borderId="0" xfId="0" applyFont="1" applyAlignment="1">
      <alignment vertical="center" wrapText="1"/>
    </xf>
    <xf numFmtId="0" fontId="41" fillId="10" borderId="46" xfId="0" applyFont="1" applyFill="1" applyBorder="1" applyAlignment="1">
      <alignment vertical="center"/>
    </xf>
    <xf numFmtId="0" fontId="55" fillId="0" borderId="0" xfId="0" applyFont="1" applyAlignment="1">
      <alignment horizontal="left" vertical="center"/>
    </xf>
    <xf numFmtId="0" fontId="61" fillId="0" borderId="0" xfId="0" applyFont="1"/>
    <xf numFmtId="0" fontId="41" fillId="10" borderId="0" xfId="0" applyFont="1" applyFill="1" applyAlignment="1">
      <alignment horizontal="center" vertical="center"/>
    </xf>
    <xf numFmtId="0" fontId="41" fillId="10" borderId="0" xfId="0" applyFont="1" applyFill="1" applyAlignment="1">
      <alignment horizontal="right" vertical="center"/>
    </xf>
    <xf numFmtId="0" fontId="34" fillId="7" borderId="0" xfId="0" applyFont="1" applyFill="1" applyAlignment="1">
      <alignment horizontal="left"/>
    </xf>
    <xf numFmtId="0" fontId="83" fillId="0" borderId="0" xfId="0" applyFont="1" applyAlignment="1">
      <alignment horizontal="center"/>
    </xf>
    <xf numFmtId="3" fontId="34" fillId="7" borderId="0" xfId="0" applyNumberFormat="1" applyFont="1" applyFill="1" applyAlignment="1">
      <alignment horizontal="right"/>
    </xf>
    <xf numFmtId="0" fontId="84" fillId="7" borderId="0" xfId="0" applyFont="1" applyFill="1"/>
    <xf numFmtId="0" fontId="11" fillId="0" borderId="0" xfId="0" applyFont="1" applyAlignment="1">
      <alignment horizontal="left" vertical="justify" wrapText="1"/>
    </xf>
    <xf numFmtId="0" fontId="11" fillId="0" borderId="0" xfId="0" applyFont="1" applyAlignment="1">
      <alignment horizontal="justify" vertical="justify" wrapText="1"/>
    </xf>
    <xf numFmtId="0" fontId="10" fillId="0" borderId="0" xfId="0" applyFont="1" applyAlignment="1">
      <alignment horizontal="left" vertical="justify" wrapText="1"/>
    </xf>
    <xf numFmtId="0" fontId="23" fillId="0" borderId="0" xfId="0" applyFont="1" applyAlignment="1">
      <alignment horizontal="left" vertical="justify" wrapText="1"/>
    </xf>
    <xf numFmtId="0" fontId="55" fillId="0" borderId="0" xfId="0" applyFont="1" applyAlignment="1">
      <alignment horizontal="left"/>
    </xf>
    <xf numFmtId="0" fontId="36" fillId="0" borderId="0" xfId="0" applyFont="1" applyAlignment="1">
      <alignment horizontal="justify" vertical="center"/>
    </xf>
    <xf numFmtId="0" fontId="11" fillId="0" borderId="0" xfId="0" applyFont="1"/>
    <xf numFmtId="0" fontId="11" fillId="0" borderId="0" xfId="101" applyFont="1" applyBorder="1"/>
    <xf numFmtId="0" fontId="23" fillId="0" borderId="0" xfId="0" applyFont="1" applyAlignment="1">
      <alignment horizontal="left"/>
    </xf>
    <xf numFmtId="0" fontId="53" fillId="10" borderId="0" xfId="0" applyFont="1" applyFill="1" applyAlignment="1">
      <alignment horizontal="center" vertical="center"/>
    </xf>
    <xf numFmtId="14" fontId="41" fillId="10" borderId="0" xfId="1" applyNumberFormat="1" applyFont="1" applyFill="1" applyAlignment="1">
      <alignment horizontal="right"/>
    </xf>
    <xf numFmtId="0" fontId="15" fillId="0" borderId="0" xfId="13" applyFill="1" applyBorder="1"/>
    <xf numFmtId="0" fontId="10" fillId="0" borderId="0" xfId="2" applyFont="1" applyFill="1" applyBorder="1" applyAlignment="1">
      <alignment horizontal="left"/>
    </xf>
    <xf numFmtId="0" fontId="11" fillId="0" borderId="0" xfId="0" applyFont="1"/>
    <xf numFmtId="0" fontId="11" fillId="0" borderId="0" xfId="0" applyFont="1"/>
    <xf numFmtId="3" fontId="23" fillId="0" borderId="0" xfId="0" applyNumberFormat="1" applyFont="1" applyAlignment="1">
      <alignment horizontal="right"/>
    </xf>
    <xf numFmtId="3" fontId="23" fillId="0" borderId="49" xfId="0" applyNumberFormat="1" applyFont="1" applyFill="1" applyBorder="1" applyAlignment="1">
      <alignment horizontal="right" vertical="center"/>
    </xf>
    <xf numFmtId="0" fontId="55" fillId="2" borderId="49" xfId="0" applyFont="1" applyFill="1" applyBorder="1"/>
    <xf numFmtId="0" fontId="41" fillId="0" borderId="0" xfId="0" applyFont="1" applyAlignment="1">
      <alignment horizontal="right" vertical="center"/>
    </xf>
    <xf numFmtId="0" fontId="11" fillId="2" borderId="0" xfId="0" applyFont="1" applyFill="1"/>
    <xf numFmtId="0" fontId="0" fillId="0" borderId="0" xfId="0" applyFill="1"/>
    <xf numFmtId="0" fontId="11" fillId="0" borderId="0" xfId="0" applyFont="1" applyFill="1"/>
    <xf numFmtId="0" fontId="11" fillId="0" borderId="0" xfId="0" applyFont="1"/>
    <xf numFmtId="0" fontId="11" fillId="0" borderId="0" xfId="0" applyFont="1" applyAlignment="1">
      <alignment horizontal="left"/>
    </xf>
    <xf numFmtId="0" fontId="41" fillId="10" borderId="0" xfId="0" applyFont="1" applyFill="1" applyAlignment="1">
      <alignment horizontal="left" vertical="center"/>
    </xf>
    <xf numFmtId="0" fontId="11" fillId="0" borderId="0" xfId="0" applyFont="1" applyAlignment="1">
      <alignment horizontal="center"/>
    </xf>
    <xf numFmtId="0" fontId="10" fillId="0" borderId="0" xfId="0" applyFont="1" applyAlignment="1">
      <alignment horizontal="left"/>
    </xf>
    <xf numFmtId="0" fontId="11" fillId="0" borderId="0" xfId="0" applyFont="1" applyAlignment="1">
      <alignment horizontal="left" vertical="top" wrapText="1"/>
    </xf>
    <xf numFmtId="0" fontId="11" fillId="2" borderId="0" xfId="0" applyFont="1" applyFill="1" applyAlignment="1">
      <alignment horizontal="center"/>
    </xf>
    <xf numFmtId="0" fontId="11" fillId="2" borderId="0" xfId="0" applyFont="1" applyFill="1" applyAlignment="1">
      <alignment horizontal="left"/>
    </xf>
    <xf numFmtId="3" fontId="11" fillId="0" borderId="49" xfId="0" applyNumberFormat="1" applyFont="1" applyFill="1" applyBorder="1" applyAlignment="1">
      <alignment horizontal="right" vertical="center" wrapText="1"/>
    </xf>
    <xf numFmtId="0" fontId="11" fillId="0" borderId="0" xfId="0" applyFont="1"/>
    <xf numFmtId="0" fontId="11" fillId="0" borderId="0" xfId="0" applyFont="1" applyAlignment="1">
      <alignment horizontal="left" vertical="justify" wrapText="1"/>
    </xf>
    <xf numFmtId="0" fontId="11" fillId="0" borderId="0" xfId="0" applyFont="1" applyAlignment="1">
      <alignment horizontal="justify" vertical="justify" wrapText="1"/>
    </xf>
    <xf numFmtId="0" fontId="5" fillId="0" borderId="0" xfId="0" applyFont="1"/>
    <xf numFmtId="0" fontId="41" fillId="2" borderId="0" xfId="0" applyFont="1" applyFill="1" applyAlignment="1">
      <alignment horizontal="center" vertical="center"/>
    </xf>
    <xf numFmtId="0" fontId="49" fillId="0" borderId="0" xfId="0" applyFont="1"/>
    <xf numFmtId="0" fontId="52" fillId="0" borderId="0" xfId="0" applyFont="1"/>
    <xf numFmtId="0" fontId="41" fillId="0" borderId="0" xfId="0" applyFont="1" applyAlignment="1">
      <alignment horizontal="left" vertical="center"/>
    </xf>
    <xf numFmtId="0" fontId="53" fillId="0" borderId="0" xfId="0" applyFont="1"/>
    <xf numFmtId="0" fontId="11" fillId="0" borderId="51" xfId="0" applyFont="1" applyBorder="1"/>
    <xf numFmtId="0" fontId="11" fillId="0" borderId="45" xfId="0" applyFont="1" applyBorder="1"/>
    <xf numFmtId="0" fontId="11" fillId="2" borderId="45" xfId="0" applyFont="1" applyFill="1" applyBorder="1" applyAlignment="1">
      <alignment horizontal="center" vertical="center"/>
    </xf>
    <xf numFmtId="0" fontId="3" fillId="2" borderId="0" xfId="0" applyFont="1" applyFill="1"/>
    <xf numFmtId="0" fontId="10" fillId="2" borderId="49" xfId="2" applyFont="1" applyFill="1" applyBorder="1" applyAlignment="1">
      <alignment horizontal="left"/>
    </xf>
    <xf numFmtId="0" fontId="49" fillId="2" borderId="49" xfId="2" applyFont="1" applyFill="1" applyBorder="1" applyAlignment="1">
      <alignment horizontal="center"/>
    </xf>
    <xf numFmtId="0" fontId="3" fillId="0" borderId="0" xfId="0" applyFont="1"/>
    <xf numFmtId="0" fontId="11" fillId="2" borderId="53" xfId="0" applyFont="1" applyFill="1" applyBorder="1"/>
    <xf numFmtId="0" fontId="11" fillId="2" borderId="49" xfId="0" applyFont="1" applyFill="1" applyBorder="1" applyAlignment="1">
      <alignment horizontal="center"/>
    </xf>
    <xf numFmtId="0" fontId="41" fillId="0" borderId="0" xfId="0" applyFont="1" applyAlignment="1">
      <alignment horizontal="center" vertical="center"/>
    </xf>
    <xf numFmtId="0" fontId="3" fillId="2" borderId="0" xfId="0" applyFont="1" applyFill="1" applyAlignment="1">
      <alignment horizontal="left"/>
    </xf>
    <xf numFmtId="0" fontId="10" fillId="2" borderId="49" xfId="3" applyFont="1" applyFill="1" applyBorder="1" applyAlignment="1">
      <alignment horizontal="left"/>
    </xf>
    <xf numFmtId="14" fontId="41" fillId="0" borderId="0" xfId="3" quotePrefix="1" applyNumberFormat="1" applyFont="1" applyAlignment="1">
      <alignment horizontal="right"/>
    </xf>
    <xf numFmtId="14" fontId="41" fillId="0" borderId="0" xfId="3" quotePrefix="1" applyNumberFormat="1" applyFont="1"/>
    <xf numFmtId="3" fontId="23" fillId="2" borderId="49" xfId="1" applyNumberFormat="1" applyFont="1" applyFill="1" applyBorder="1" applyAlignment="1">
      <alignment horizontal="right"/>
    </xf>
    <xf numFmtId="169" fontId="10" fillId="2" borderId="50" xfId="1" applyNumberFormat="1" applyFont="1" applyFill="1" applyBorder="1" applyAlignment="1">
      <alignment horizontal="right"/>
    </xf>
    <xf numFmtId="169" fontId="10" fillId="2" borderId="50" xfId="1" applyNumberFormat="1" applyFont="1" applyFill="1" applyBorder="1" applyAlignment="1"/>
    <xf numFmtId="3" fontId="10" fillId="2" borderId="49" xfId="1" applyNumberFormat="1" applyFont="1" applyFill="1" applyBorder="1" applyAlignment="1">
      <alignment horizontal="right"/>
    </xf>
    <xf numFmtId="169" fontId="10" fillId="2" borderId="49" xfId="1" applyNumberFormat="1" applyFont="1" applyFill="1" applyBorder="1" applyAlignment="1"/>
    <xf numFmtId="3" fontId="3" fillId="0" borderId="0" xfId="0" applyNumberFormat="1" applyFont="1"/>
    <xf numFmtId="0" fontId="3" fillId="0" borderId="0" xfId="0" applyFont="1" applyAlignment="1">
      <alignment horizontal="right"/>
    </xf>
    <xf numFmtId="3" fontId="10" fillId="2" borderId="50" xfId="1" applyNumberFormat="1" applyFont="1" applyFill="1" applyBorder="1" applyAlignment="1">
      <alignment horizontal="right"/>
    </xf>
    <xf numFmtId="0" fontId="23" fillId="2" borderId="0" xfId="3" applyFont="1" applyFill="1" applyAlignment="1">
      <alignment horizontal="left"/>
    </xf>
    <xf numFmtId="0" fontId="23" fillId="2" borderId="0" xfId="3" quotePrefix="1" applyFont="1" applyFill="1"/>
    <xf numFmtId="167" fontId="10" fillId="2" borderId="59" xfId="10" applyNumberFormat="1" applyFont="1" applyFill="1" applyBorder="1" applyAlignment="1">
      <alignment horizontal="right"/>
    </xf>
    <xf numFmtId="164" fontId="10" fillId="2" borderId="59" xfId="8" applyFont="1" applyFill="1" applyBorder="1" applyAlignment="1">
      <alignment horizontal="right"/>
    </xf>
    <xf numFmtId="3" fontId="11" fillId="0" borderId="49" xfId="0" applyNumberFormat="1" applyFont="1" applyBorder="1" applyAlignment="1">
      <alignment horizontal="right"/>
    </xf>
    <xf numFmtId="0" fontId="11" fillId="7" borderId="49" xfId="0" applyFont="1" applyFill="1" applyBorder="1"/>
    <xf numFmtId="0" fontId="41" fillId="0" borderId="49" xfId="3" quotePrefix="1" applyFont="1" applyBorder="1" applyAlignment="1">
      <alignment horizontal="right"/>
    </xf>
    <xf numFmtId="0" fontId="11" fillId="7" borderId="55" xfId="0" applyFont="1" applyFill="1" applyBorder="1" applyAlignment="1">
      <alignment vertical="center" wrapText="1"/>
    </xf>
    <xf numFmtId="0" fontId="11" fillId="7" borderId="55" xfId="0" applyFont="1" applyFill="1" applyBorder="1" applyAlignment="1">
      <alignment horizontal="center" vertical="center" wrapText="1"/>
    </xf>
    <xf numFmtId="0" fontId="11" fillId="7" borderId="54" xfId="0" applyFont="1" applyFill="1" applyBorder="1" applyAlignment="1">
      <alignment vertical="center" wrapText="1"/>
    </xf>
    <xf numFmtId="0" fontId="11" fillId="7" borderId="51" xfId="0" applyFont="1" applyFill="1" applyBorder="1" applyAlignment="1">
      <alignment wrapText="1"/>
    </xf>
    <xf numFmtId="0" fontId="11" fillId="7" borderId="54" xfId="0" applyFont="1" applyFill="1" applyBorder="1" applyAlignment="1">
      <alignment wrapText="1"/>
    </xf>
    <xf numFmtId="0" fontId="11" fillId="0" borderId="54" xfId="0" applyFont="1" applyBorder="1" applyAlignment="1">
      <alignment horizontal="left" vertical="center" wrapText="1"/>
    </xf>
    <xf numFmtId="3" fontId="11" fillId="0" borderId="51" xfId="0" applyNumberFormat="1" applyFont="1" applyBorder="1" applyAlignment="1">
      <alignment horizontal="right" wrapText="1"/>
    </xf>
    <xf numFmtId="3" fontId="11" fillId="0" borderId="54" xfId="0" applyNumberFormat="1" applyFont="1" applyBorder="1" applyAlignment="1">
      <alignment horizontal="right" wrapText="1"/>
    </xf>
    <xf numFmtId="0" fontId="11" fillId="7" borderId="54" xfId="0" applyFont="1" applyFill="1" applyBorder="1"/>
    <xf numFmtId="3" fontId="11" fillId="7" borderId="54" xfId="0" applyNumberFormat="1" applyFont="1" applyFill="1" applyBorder="1" applyAlignment="1">
      <alignment horizontal="right"/>
    </xf>
    <xf numFmtId="3" fontId="11" fillId="7" borderId="51" xfId="0" applyNumberFormat="1" applyFont="1" applyFill="1" applyBorder="1" applyAlignment="1">
      <alignment horizontal="right"/>
    </xf>
    <xf numFmtId="0" fontId="55" fillId="7" borderId="54" xfId="0" applyFont="1" applyFill="1" applyBorder="1"/>
    <xf numFmtId="3" fontId="55" fillId="7" borderId="54" xfId="0" applyNumberFormat="1" applyFont="1" applyFill="1" applyBorder="1"/>
    <xf numFmtId="0" fontId="3" fillId="7" borderId="0" xfId="0" applyFont="1" applyFill="1"/>
    <xf numFmtId="0" fontId="23" fillId="7" borderId="0" xfId="77" applyFont="1" applyFill="1"/>
    <xf numFmtId="0" fontId="25" fillId="0" borderId="0" xfId="77" applyFont="1" applyAlignment="1">
      <alignment horizontal="left" vertical="center"/>
    </xf>
    <xf numFmtId="0" fontId="23" fillId="8" borderId="0" xfId="77" applyFont="1" applyFill="1" applyAlignment="1">
      <alignment vertical="center"/>
    </xf>
    <xf numFmtId="0" fontId="25" fillId="11" borderId="51" xfId="77" applyFont="1" applyFill="1" applyBorder="1" applyAlignment="1">
      <alignment horizontal="center" vertical="center"/>
    </xf>
    <xf numFmtId="0" fontId="25" fillId="11" borderId="54" xfId="77" applyFont="1" applyFill="1" applyBorder="1" applyAlignment="1">
      <alignment horizontal="center" vertical="center" wrapText="1"/>
    </xf>
    <xf numFmtId="0" fontId="25" fillId="11" borderId="56" xfId="77" applyFont="1" applyFill="1" applyBorder="1" applyAlignment="1">
      <alignment horizontal="center" vertical="center" wrapText="1"/>
    </xf>
    <xf numFmtId="0" fontId="23" fillId="2" borderId="0" xfId="77" applyFont="1" applyFill="1"/>
    <xf numFmtId="0" fontId="3" fillId="4" borderId="0" xfId="0" applyFont="1" applyFill="1"/>
    <xf numFmtId="0" fontId="25" fillId="0" borderId="9" xfId="77" applyFont="1" applyBorder="1" applyAlignment="1">
      <alignment vertical="center" wrapText="1"/>
    </xf>
    <xf numFmtId="0" fontId="25" fillId="0" borderId="0" xfId="77" applyFont="1" applyAlignment="1">
      <alignment vertical="center" wrapText="1"/>
    </xf>
    <xf numFmtId="0" fontId="48" fillId="0" borderId="0" xfId="77" applyFont="1" applyAlignment="1">
      <alignment vertical="center"/>
    </xf>
    <xf numFmtId="0" fontId="41" fillId="0" borderId="9" xfId="3" quotePrefix="1" applyFont="1" applyBorder="1" applyAlignment="1">
      <alignment horizontal="center"/>
    </xf>
    <xf numFmtId="169" fontId="23" fillId="7" borderId="0" xfId="77" applyNumberFormat="1" applyFont="1" applyFill="1"/>
    <xf numFmtId="3" fontId="10" fillId="6" borderId="51" xfId="77" applyNumberFormat="1" applyFont="1" applyFill="1" applyBorder="1"/>
    <xf numFmtId="3" fontId="10" fillId="0" borderId="7" xfId="77" applyNumberFormat="1" applyFont="1" applyBorder="1"/>
    <xf numFmtId="3" fontId="49" fillId="0" borderId="7" xfId="77" applyNumberFormat="1" applyFont="1" applyBorder="1"/>
    <xf numFmtId="3" fontId="23" fillId="0" borderId="7" xfId="77" applyNumberFormat="1" applyFont="1" applyBorder="1"/>
    <xf numFmtId="3" fontId="3" fillId="0" borderId="9" xfId="0" applyNumberFormat="1" applyFont="1" applyBorder="1" applyAlignment="1">
      <alignment vertical="center"/>
    </xf>
    <xf numFmtId="0" fontId="23" fillId="0" borderId="7" xfId="77" applyFont="1" applyBorder="1"/>
    <xf numFmtId="0" fontId="49" fillId="0" borderId="7" xfId="77" applyFont="1" applyBorder="1"/>
    <xf numFmtId="0" fontId="10" fillId="6" borderId="51" xfId="77" applyFont="1" applyFill="1" applyBorder="1"/>
    <xf numFmtId="0" fontId="10" fillId="0" borderId="0" xfId="77" applyFont="1" applyAlignment="1">
      <alignment vertical="center"/>
    </xf>
    <xf numFmtId="0" fontId="23" fillId="0" borderId="0" xfId="77" applyFont="1" applyAlignment="1">
      <alignment vertical="center"/>
    </xf>
    <xf numFmtId="3" fontId="23" fillId="0" borderId="0" xfId="77" applyNumberFormat="1" applyFont="1"/>
    <xf numFmtId="164" fontId="6" fillId="0" borderId="59" xfId="8" applyFont="1" applyBorder="1" applyAlignment="1">
      <alignment vertical="top" wrapText="1"/>
    </xf>
    <xf numFmtId="0" fontId="11" fillId="0" borderId="0" xfId="0" applyFont="1" applyAlignment="1">
      <alignment vertical="justify" wrapText="1"/>
    </xf>
    <xf numFmtId="3" fontId="23" fillId="0" borderId="0" xfId="0" applyNumberFormat="1" applyFont="1" applyAlignment="1">
      <alignment horizontal="right" vertical="center"/>
    </xf>
    <xf numFmtId="0" fontId="23" fillId="0" borderId="0" xfId="0" applyFont="1" applyAlignment="1">
      <alignment horizontal="right" vertical="center"/>
    </xf>
    <xf numFmtId="3" fontId="23" fillId="0" borderId="49" xfId="0" applyNumberFormat="1" applyFont="1" applyBorder="1" applyAlignment="1">
      <alignment horizontal="right" vertical="center"/>
    </xf>
    <xf numFmtId="0" fontId="55" fillId="0" borderId="0" xfId="0" applyFont="1" applyAlignment="1">
      <alignment vertical="justify" wrapText="1"/>
    </xf>
    <xf numFmtId="3" fontId="10" fillId="0" borderId="0" xfId="0" applyNumberFormat="1" applyFont="1" applyAlignment="1">
      <alignment horizontal="right" vertical="center"/>
    </xf>
    <xf numFmtId="0" fontId="59" fillId="0" borderId="0" xfId="0" applyFont="1" applyAlignment="1">
      <alignment vertical="justify" wrapText="1"/>
    </xf>
    <xf numFmtId="1" fontId="23" fillId="0" borderId="0" xfId="0" applyNumberFormat="1" applyFont="1" applyAlignment="1">
      <alignment horizontal="right" vertical="center"/>
    </xf>
    <xf numFmtId="3" fontId="11" fillId="0" borderId="0" xfId="0" applyNumberFormat="1" applyFont="1" applyAlignment="1">
      <alignment horizontal="right" vertical="top" wrapText="1"/>
    </xf>
    <xf numFmtId="3" fontId="11" fillId="0" borderId="49" xfId="0" applyNumberFormat="1" applyFont="1" applyBorder="1" applyAlignment="1">
      <alignment horizontal="right" vertical="top" wrapText="1"/>
    </xf>
    <xf numFmtId="0" fontId="55" fillId="0" borderId="49" xfId="0" applyFont="1" applyBorder="1"/>
    <xf numFmtId="14" fontId="41" fillId="0" borderId="0" xfId="0" applyNumberFormat="1" applyFont="1" applyAlignment="1">
      <alignment horizontal="right" vertical="center"/>
    </xf>
    <xf numFmtId="3" fontId="23" fillId="2" borderId="49" xfId="3" applyNumberFormat="1" applyFont="1" applyFill="1" applyBorder="1" applyAlignment="1">
      <alignment horizontal="right"/>
    </xf>
    <xf numFmtId="3" fontId="53" fillId="0" borderId="0" xfId="0" applyNumberFormat="1" applyFont="1" applyAlignment="1">
      <alignment horizontal="right" vertical="center"/>
    </xf>
    <xf numFmtId="0" fontId="23" fillId="0" borderId="0" xfId="3" applyFont="1" applyAlignment="1">
      <alignment horizontal="center"/>
    </xf>
    <xf numFmtId="3" fontId="23" fillId="0" borderId="0" xfId="3" quotePrefix="1" applyNumberFormat="1" applyFont="1" applyAlignment="1">
      <alignment horizontal="center"/>
    </xf>
    <xf numFmtId="0" fontId="41" fillId="0" borderId="0" xfId="0" applyFont="1"/>
    <xf numFmtId="0" fontId="55" fillId="0" borderId="49" xfId="0" applyFont="1" applyBorder="1" applyAlignment="1">
      <alignment horizontal="left"/>
    </xf>
    <xf numFmtId="0" fontId="55" fillId="0" borderId="49" xfId="0" applyFont="1" applyBorder="1" applyAlignment="1">
      <alignment horizontal="right" vertical="center"/>
    </xf>
    <xf numFmtId="0" fontId="10" fillId="2" borderId="49" xfId="3" applyFont="1" applyFill="1" applyBorder="1" applyAlignment="1">
      <alignment horizontal="right"/>
    </xf>
    <xf numFmtId="0" fontId="55" fillId="0" borderId="49" xfId="0" applyFont="1" applyBorder="1" applyAlignment="1">
      <alignment horizontal="right"/>
    </xf>
    <xf numFmtId="0" fontId="55" fillId="0" borderId="0" xfId="0" applyFont="1" applyAlignment="1">
      <alignment horizontal="center" vertical="center"/>
    </xf>
    <xf numFmtId="0" fontId="55" fillId="0" borderId="49" xfId="0" applyFont="1" applyBorder="1" applyAlignment="1">
      <alignment vertical="center"/>
    </xf>
    <xf numFmtId="0" fontId="10" fillId="2" borderId="49" xfId="3" applyFont="1" applyFill="1" applyBorder="1" applyAlignment="1">
      <alignment horizontal="center"/>
    </xf>
    <xf numFmtId="0" fontId="55" fillId="0" borderId="49" xfId="0" applyFont="1" applyBorder="1" applyAlignment="1">
      <alignment horizontal="center"/>
    </xf>
    <xf numFmtId="0" fontId="55" fillId="0" borderId="49" xfId="0" applyFont="1" applyBorder="1" applyAlignment="1">
      <alignment horizontal="center" vertical="center"/>
    </xf>
    <xf numFmtId="0" fontId="11" fillId="0" borderId="49" xfId="0" applyFont="1" applyBorder="1" applyAlignment="1">
      <alignment horizontal="right"/>
    </xf>
    <xf numFmtId="0" fontId="11" fillId="0" borderId="49" xfId="0" applyFont="1" applyBorder="1"/>
    <xf numFmtId="3" fontId="11" fillId="0" borderId="49" xfId="0" applyNumberFormat="1" applyFont="1" applyBorder="1"/>
    <xf numFmtId="0" fontId="11" fillId="0" borderId="59" xfId="0" applyFont="1" applyBorder="1"/>
    <xf numFmtId="0" fontId="11" fillId="0" borderId="59" xfId="0" applyFont="1" applyBorder="1" applyAlignment="1">
      <alignment horizontal="center"/>
    </xf>
    <xf numFmtId="0" fontId="59" fillId="0" borderId="0" xfId="0" applyFont="1" applyAlignment="1">
      <alignment horizontal="left"/>
    </xf>
    <xf numFmtId="0" fontId="11" fillId="0" borderId="49" xfId="0" applyFont="1" applyBorder="1" applyAlignment="1">
      <alignment horizontal="center"/>
    </xf>
    <xf numFmtId="0" fontId="11" fillId="7" borderId="0" xfId="0" applyFont="1" applyFill="1" applyBorder="1" applyAlignment="1">
      <alignment horizontal="left" vertical="center"/>
    </xf>
    <xf numFmtId="3" fontId="23" fillId="0" borderId="0" xfId="0" applyNumberFormat="1" applyFont="1" applyFill="1" applyAlignment="1">
      <alignment horizontal="right" vertical="center" wrapText="1"/>
    </xf>
    <xf numFmtId="3" fontId="10" fillId="7" borderId="3" xfId="8" applyNumberFormat="1" applyFont="1" applyFill="1" applyBorder="1" applyAlignment="1">
      <alignment horizontal="right"/>
    </xf>
    <xf numFmtId="0" fontId="23" fillId="0" borderId="0" xfId="12" applyFont="1" applyFill="1" applyBorder="1" applyAlignment="1">
      <alignment horizontal="left"/>
    </xf>
    <xf numFmtId="0" fontId="10" fillId="0" borderId="0" xfId="12" applyFont="1" applyFill="1" applyBorder="1" applyAlignment="1">
      <alignment horizontal="left"/>
    </xf>
    <xf numFmtId="3" fontId="23" fillId="0" borderId="37" xfId="0" applyNumberFormat="1" applyFont="1" applyFill="1" applyBorder="1" applyAlignment="1">
      <alignment horizontal="right" vertical="center"/>
    </xf>
    <xf numFmtId="3" fontId="10" fillId="0" borderId="8" xfId="0" applyNumberFormat="1" applyFont="1" applyFill="1" applyBorder="1" applyAlignment="1">
      <alignment horizontal="right" vertical="center"/>
    </xf>
    <xf numFmtId="3" fontId="0" fillId="0" borderId="49" xfId="0" applyNumberFormat="1" applyBorder="1"/>
    <xf numFmtId="3" fontId="0" fillId="0" borderId="0" xfId="0" applyNumberFormat="1"/>
    <xf numFmtId="167" fontId="12" fillId="0" borderId="0" xfId="1" applyNumberFormat="1" applyFont="1" applyFill="1" applyBorder="1"/>
    <xf numFmtId="167" fontId="18" fillId="0" borderId="0" xfId="0" applyNumberFormat="1" applyFont="1"/>
    <xf numFmtId="0" fontId="23" fillId="0" borderId="0" xfId="75" applyFont="1" applyFill="1"/>
    <xf numFmtId="167" fontId="17" fillId="0" borderId="0" xfId="0" applyNumberFormat="1" applyFont="1"/>
    <xf numFmtId="0" fontId="90" fillId="0" borderId="0" xfId="0" applyFont="1" applyAlignment="1">
      <alignment horizontal="center"/>
    </xf>
    <xf numFmtId="167" fontId="11" fillId="0" borderId="0" xfId="1" applyNumberFormat="1" applyFont="1" applyAlignment="1"/>
    <xf numFmtId="3" fontId="41" fillId="10" borderId="0" xfId="1" applyNumberFormat="1" applyFont="1" applyFill="1" applyBorder="1" applyAlignment="1"/>
    <xf numFmtId="0" fontId="41" fillId="0" borderId="0" xfId="0" applyFont="1" applyFill="1"/>
    <xf numFmtId="167" fontId="89" fillId="0" borderId="0" xfId="1" applyNumberFormat="1" applyFont="1" applyAlignment="1">
      <alignment horizontal="right"/>
    </xf>
    <xf numFmtId="3" fontId="89" fillId="0" borderId="0" xfId="0" applyNumberFormat="1" applyFont="1" applyAlignment="1">
      <alignment vertical="center"/>
    </xf>
    <xf numFmtId="0" fontId="25" fillId="10" borderId="0" xfId="0" applyFont="1" applyFill="1" applyAlignment="1">
      <alignment vertical="center"/>
    </xf>
    <xf numFmtId="3" fontId="41" fillId="10" borderId="0" xfId="0" applyNumberFormat="1" applyFont="1" applyFill="1" applyAlignment="1">
      <alignment vertical="center"/>
    </xf>
    <xf numFmtId="0" fontId="25" fillId="10" borderId="0" xfId="0" applyFont="1" applyFill="1" applyAlignment="1">
      <alignment horizontal="left" vertical="center"/>
    </xf>
    <xf numFmtId="3" fontId="89" fillId="0" borderId="0" xfId="8" applyNumberFormat="1" applyFont="1" applyAlignment="1"/>
    <xf numFmtId="3" fontId="11" fillId="0" borderId="0" xfId="8" applyNumberFormat="1" applyFont="1" applyAlignment="1"/>
    <xf numFmtId="167" fontId="89" fillId="0" borderId="0" xfId="1" applyNumberFormat="1" applyFont="1" applyAlignment="1"/>
    <xf numFmtId="3" fontId="94" fillId="0" borderId="0" xfId="101" applyNumberFormat="1" applyFont="1" applyBorder="1" applyAlignment="1"/>
    <xf numFmtId="3" fontId="91" fillId="0" borderId="0" xfId="100" applyNumberFormat="1" applyFont="1" applyBorder="1" applyAlignment="1"/>
    <xf numFmtId="169" fontId="93" fillId="0" borderId="0" xfId="1" applyNumberFormat="1" applyFont="1" applyFill="1" applyBorder="1" applyAlignment="1"/>
    <xf numFmtId="169" fontId="41" fillId="0" borderId="0" xfId="1" applyNumberFormat="1" applyFont="1" applyFill="1" applyBorder="1" applyAlignment="1"/>
    <xf numFmtId="0" fontId="95" fillId="0" borderId="0" xfId="0" applyFont="1" applyAlignment="1"/>
    <xf numFmtId="0" fontId="92" fillId="0" borderId="0" xfId="0" applyFont="1" applyAlignment="1"/>
    <xf numFmtId="167" fontId="19" fillId="0" borderId="0" xfId="1" applyNumberFormat="1" applyFont="1" applyAlignment="1"/>
    <xf numFmtId="167" fontId="41" fillId="10" borderId="0" xfId="0" applyNumberFormat="1" applyFont="1" applyFill="1" applyAlignment="1">
      <alignment horizontal="right" vertical="center"/>
    </xf>
    <xf numFmtId="3" fontId="26" fillId="7" borderId="49" xfId="9" applyNumberFormat="1" applyFont="1" applyFill="1" applyBorder="1" applyAlignment="1">
      <alignment horizontal="right"/>
    </xf>
    <xf numFmtId="3" fontId="26" fillId="7" borderId="49" xfId="0" applyNumberFormat="1" applyFont="1" applyFill="1" applyBorder="1" applyAlignment="1">
      <alignment horizontal="right"/>
    </xf>
    <xf numFmtId="3" fontId="11" fillId="2" borderId="49" xfId="0" applyNumberFormat="1" applyFont="1" applyFill="1" applyBorder="1" applyAlignment="1">
      <alignment horizontal="right"/>
    </xf>
    <xf numFmtId="3" fontId="61" fillId="7" borderId="62" xfId="8" applyNumberFormat="1" applyFont="1" applyFill="1" applyBorder="1" applyAlignment="1">
      <alignment horizontal="right"/>
    </xf>
    <xf numFmtId="3" fontId="55" fillId="2" borderId="62" xfId="0" applyNumberFormat="1" applyFont="1" applyFill="1" applyBorder="1" applyAlignment="1">
      <alignment horizontal="right"/>
    </xf>
    <xf numFmtId="3" fontId="61" fillId="7" borderId="8" xfId="8" applyNumberFormat="1" applyFont="1" applyFill="1" applyBorder="1" applyAlignment="1">
      <alignment horizontal="right"/>
    </xf>
    <xf numFmtId="3" fontId="61" fillId="7" borderId="0" xfId="8" applyNumberFormat="1" applyFont="1" applyFill="1" applyBorder="1" applyAlignment="1">
      <alignment horizontal="right"/>
    </xf>
    <xf numFmtId="0" fontId="55" fillId="2" borderId="0" xfId="0" applyFont="1" applyFill="1" applyBorder="1"/>
    <xf numFmtId="0" fontId="55" fillId="2" borderId="37" xfId="0" applyFont="1" applyFill="1" applyBorder="1"/>
    <xf numFmtId="0" fontId="41" fillId="0" borderId="0" xfId="0" applyFont="1" applyFill="1" applyAlignment="1">
      <alignment horizontal="center" vertical="center"/>
    </xf>
    <xf numFmtId="3" fontId="11" fillId="0" borderId="49" xfId="0" applyNumberFormat="1" applyFont="1" applyFill="1" applyBorder="1"/>
    <xf numFmtId="3" fontId="10" fillId="2" borderId="62" xfId="0" applyNumberFormat="1" applyFont="1" applyFill="1" applyBorder="1"/>
    <xf numFmtId="3" fontId="10" fillId="2" borderId="62" xfId="0" applyNumberFormat="1" applyFont="1" applyFill="1" applyBorder="1" applyAlignment="1">
      <alignment horizontal="right"/>
    </xf>
    <xf numFmtId="177" fontId="11" fillId="0" borderId="0" xfId="1" applyNumberFormat="1" applyFont="1" applyFill="1" applyAlignment="1">
      <alignment horizontal="right"/>
    </xf>
    <xf numFmtId="167" fontId="41" fillId="10" borderId="48" xfId="1" applyNumberFormat="1" applyFont="1" applyFill="1" applyBorder="1" applyAlignment="1">
      <alignment horizontal="right"/>
    </xf>
    <xf numFmtId="167" fontId="11" fillId="0" borderId="49" xfId="1" applyNumberFormat="1" applyFont="1" applyFill="1" applyBorder="1" applyAlignment="1">
      <alignment horizontal="right"/>
    </xf>
    <xf numFmtId="0" fontId="11" fillId="0" borderId="52" xfId="0" applyFont="1" applyBorder="1" applyAlignment="1">
      <alignment horizontal="right"/>
    </xf>
    <xf numFmtId="167" fontId="11" fillId="0" borderId="0" xfId="1" applyNumberFormat="1" applyFont="1" applyFill="1" applyAlignment="1">
      <alignment horizontal="right"/>
    </xf>
    <xf numFmtId="3" fontId="26" fillId="0" borderId="0" xfId="0" applyNumberFormat="1" applyFont="1" applyAlignment="1">
      <alignment horizontal="right"/>
    </xf>
    <xf numFmtId="0" fontId="10" fillId="0" borderId="0" xfId="0" applyFont="1" applyAlignment="1">
      <alignment horizontal="right"/>
    </xf>
    <xf numFmtId="164" fontId="23" fillId="0" borderId="0" xfId="8" applyFont="1" applyFill="1" applyAlignment="1">
      <alignment horizontal="right"/>
    </xf>
    <xf numFmtId="166" fontId="23" fillId="6" borderId="56" xfId="78" applyFont="1" applyFill="1" applyBorder="1" applyAlignment="1"/>
    <xf numFmtId="0" fontId="10" fillId="0" borderId="0" xfId="0" applyFont="1" applyFill="1" applyBorder="1" applyAlignment="1">
      <alignment horizontal="center" wrapText="1"/>
    </xf>
    <xf numFmtId="164" fontId="55" fillId="0" borderId="0" xfId="8" applyFont="1" applyFill="1" applyAlignment="1">
      <alignment horizontal="right"/>
    </xf>
    <xf numFmtId="174" fontId="41" fillId="0" borderId="0" xfId="0" applyNumberFormat="1" applyFont="1" applyAlignment="1">
      <alignment horizontal="right" vertical="center"/>
    </xf>
    <xf numFmtId="167" fontId="11" fillId="0" borderId="0" xfId="0" applyNumberFormat="1" applyFont="1" applyAlignment="1">
      <alignment horizontal="right"/>
    </xf>
    <xf numFmtId="3" fontId="23" fillId="0" borderId="9" xfId="0" applyNumberFormat="1" applyFont="1" applyBorder="1" applyAlignment="1">
      <alignment horizontal="right"/>
    </xf>
    <xf numFmtId="169" fontId="23" fillId="7" borderId="9" xfId="78" applyNumberFormat="1" applyFont="1" applyFill="1" applyBorder="1" applyAlignment="1">
      <alignment horizontal="right"/>
    </xf>
    <xf numFmtId="169" fontId="23" fillId="7" borderId="0" xfId="78" applyNumberFormat="1" applyFont="1" applyFill="1" applyBorder="1" applyAlignment="1">
      <alignment horizontal="right"/>
    </xf>
    <xf numFmtId="3" fontId="23" fillId="7" borderId="0" xfId="78" applyNumberFormat="1" applyFont="1" applyFill="1" applyBorder="1" applyAlignment="1">
      <alignment horizontal="right"/>
    </xf>
    <xf numFmtId="3" fontId="23" fillId="7" borderId="9" xfId="78" quotePrefix="1" applyNumberFormat="1" applyFont="1" applyFill="1" applyBorder="1" applyAlignment="1">
      <alignment horizontal="right"/>
    </xf>
    <xf numFmtId="3" fontId="23" fillId="0" borderId="49" xfId="0" applyNumberFormat="1" applyFont="1" applyBorder="1" applyAlignment="1">
      <alignment horizontal="right"/>
    </xf>
    <xf numFmtId="170" fontId="58" fillId="2" borderId="0" xfId="1" applyNumberFormat="1" applyFont="1" applyFill="1" applyAlignment="1">
      <alignment horizontal="right"/>
    </xf>
    <xf numFmtId="0" fontId="55" fillId="7" borderId="0" xfId="0" applyFont="1" applyFill="1" applyAlignment="1">
      <alignment horizontal="center"/>
    </xf>
    <xf numFmtId="167" fontId="54" fillId="0" borderId="0" xfId="0" applyNumberFormat="1" applyFont="1" applyAlignment="1">
      <alignment horizontal="right"/>
    </xf>
    <xf numFmtId="164" fontId="11" fillId="0" borderId="0" xfId="8" applyFont="1" applyFill="1" applyAlignment="1">
      <alignment horizontal="right"/>
    </xf>
    <xf numFmtId="3" fontId="10" fillId="6" borderId="54" xfId="78" applyNumberFormat="1" applyFont="1" applyFill="1" applyBorder="1" applyAlignment="1"/>
    <xf numFmtId="3" fontId="23" fillId="6" borderId="56" xfId="78" applyNumberFormat="1" applyFont="1" applyFill="1" applyBorder="1" applyAlignment="1"/>
    <xf numFmtId="3" fontId="26" fillId="0" borderId="49" xfId="0" applyNumberFormat="1" applyFont="1" applyBorder="1" applyAlignment="1">
      <alignment horizontal="right"/>
    </xf>
    <xf numFmtId="3" fontId="23" fillId="0" borderId="0" xfId="78" applyNumberFormat="1" applyFont="1" applyFill="1" applyBorder="1" applyAlignment="1"/>
    <xf numFmtId="3" fontId="23" fillId="0" borderId="9" xfId="78" applyNumberFormat="1" applyFont="1" applyFill="1" applyBorder="1" applyAlignment="1"/>
    <xf numFmtId="3" fontId="23" fillId="0" borderId="56" xfId="78" applyNumberFormat="1" applyFont="1" applyFill="1" applyBorder="1" applyAlignment="1"/>
    <xf numFmtId="3" fontId="10" fillId="6" borderId="56" xfId="78" applyNumberFormat="1" applyFont="1" applyFill="1" applyBorder="1" applyAlignment="1"/>
    <xf numFmtId="3" fontId="10" fillId="0" borderId="55" xfId="78" applyNumberFormat="1" applyFont="1" applyFill="1" applyBorder="1" applyAlignment="1"/>
    <xf numFmtId="3" fontId="10" fillId="0" borderId="9" xfId="78" applyNumberFormat="1" applyFont="1" applyFill="1" applyBorder="1" applyAlignment="1"/>
    <xf numFmtId="169" fontId="10" fillId="6" borderId="54" xfId="78" applyNumberFormat="1" applyFont="1" applyFill="1" applyBorder="1" applyAlignment="1"/>
    <xf numFmtId="169" fontId="23" fillId="0" borderId="9" xfId="78" applyNumberFormat="1" applyFont="1" applyFill="1" applyBorder="1" applyAlignment="1"/>
    <xf numFmtId="0" fontId="23" fillId="0" borderId="0" xfId="0" applyFont="1" applyAlignment="1">
      <alignment horizontal="right"/>
    </xf>
    <xf numFmtId="0" fontId="53" fillId="0" borderId="0" xfId="0" applyFont="1" applyAlignment="1">
      <alignment horizontal="right"/>
    </xf>
    <xf numFmtId="164" fontId="11" fillId="0" borderId="0" xfId="8" applyFont="1" applyFill="1" applyBorder="1" applyAlignment="1">
      <alignment horizontal="right"/>
    </xf>
    <xf numFmtId="3" fontId="11" fillId="0" borderId="49" xfId="8" applyNumberFormat="1" applyFont="1" applyFill="1" applyBorder="1" applyAlignment="1">
      <alignment horizontal="right"/>
    </xf>
    <xf numFmtId="169" fontId="23" fillId="7" borderId="9" xfId="78" applyNumberFormat="1" applyFont="1" applyFill="1" applyBorder="1" applyAlignment="1"/>
    <xf numFmtId="171" fontId="19" fillId="0" borderId="0" xfId="8" applyNumberFormat="1" applyFont="1" applyFill="1" applyAlignment="1">
      <alignment horizontal="right"/>
    </xf>
    <xf numFmtId="167" fontId="10" fillId="0" borderId="0" xfId="1" applyNumberFormat="1" applyFont="1" applyFill="1" applyBorder="1" applyAlignment="1">
      <alignment horizontal="right"/>
    </xf>
    <xf numFmtId="3" fontId="23" fillId="7" borderId="9" xfId="78" applyNumberFormat="1" applyFont="1" applyFill="1" applyBorder="1" applyAlignment="1"/>
    <xf numFmtId="0" fontId="10" fillId="0" borderId="0" xfId="0" applyFont="1" applyAlignment="1">
      <alignment horizontal="right" wrapText="1"/>
    </xf>
    <xf numFmtId="170" fontId="58" fillId="2" borderId="0" xfId="1" applyNumberFormat="1" applyFont="1" applyFill="1" applyBorder="1" applyAlignment="1">
      <alignment horizontal="right"/>
    </xf>
    <xf numFmtId="0" fontId="6" fillId="0" borderId="0" xfId="0" applyFont="1" applyAlignment="1">
      <alignment horizontal="right"/>
    </xf>
    <xf numFmtId="169" fontId="23" fillId="0" borderId="54" xfId="78" applyNumberFormat="1" applyFont="1" applyFill="1" applyBorder="1" applyAlignment="1"/>
    <xf numFmtId="0" fontId="11" fillId="0" borderId="45" xfId="0" applyFont="1" applyBorder="1" applyAlignment="1">
      <alignment horizontal="right"/>
    </xf>
    <xf numFmtId="169" fontId="10" fillId="6" borderId="56" xfId="78" applyNumberFormat="1" applyFont="1" applyFill="1" applyBorder="1" applyAlignment="1"/>
    <xf numFmtId="167" fontId="41" fillId="10" borderId="0" xfId="1" applyNumberFormat="1" applyFont="1" applyFill="1" applyBorder="1" applyAlignment="1">
      <alignment horizontal="right"/>
    </xf>
    <xf numFmtId="3" fontId="11" fillId="0" borderId="49" xfId="1" applyNumberFormat="1" applyFont="1" applyFill="1" applyBorder="1" applyAlignment="1">
      <alignment horizontal="right"/>
    </xf>
    <xf numFmtId="3" fontId="23" fillId="0" borderId="54" xfId="78" applyNumberFormat="1" applyFont="1" applyFill="1" applyBorder="1" applyAlignment="1"/>
    <xf numFmtId="165" fontId="11" fillId="0" borderId="0" xfId="1" applyFont="1" applyFill="1" applyAlignment="1">
      <alignment horizontal="right"/>
    </xf>
    <xf numFmtId="3" fontId="10" fillId="0" borderId="0" xfId="78" applyNumberFormat="1" applyFont="1" applyFill="1" applyBorder="1" applyAlignment="1"/>
    <xf numFmtId="164" fontId="11" fillId="0" borderId="0" xfId="0" applyNumberFormat="1" applyFont="1" applyAlignment="1">
      <alignment horizontal="right"/>
    </xf>
    <xf numFmtId="0" fontId="11" fillId="0" borderId="0" xfId="0" applyFont="1"/>
    <xf numFmtId="3" fontId="11" fillId="0" borderId="54" xfId="0" applyNumberFormat="1" applyFont="1" applyFill="1" applyBorder="1" applyAlignment="1">
      <alignment horizontal="right"/>
    </xf>
    <xf numFmtId="3" fontId="55" fillId="0" borderId="51" xfId="0" applyNumberFormat="1" applyFont="1" applyFill="1" applyBorder="1"/>
    <xf numFmtId="164" fontId="55" fillId="7" borderId="0" xfId="8" applyFont="1" applyFill="1" applyBorder="1" applyAlignment="1">
      <alignment horizontal="right"/>
    </xf>
    <xf numFmtId="3" fontId="10" fillId="7" borderId="8" xfId="0" applyNumberFormat="1" applyFont="1" applyFill="1" applyBorder="1" applyAlignment="1">
      <alignment horizontal="right"/>
    </xf>
    <xf numFmtId="0" fontId="30" fillId="0" borderId="0" xfId="0" applyFont="1" applyFill="1" applyBorder="1"/>
    <xf numFmtId="0" fontId="30" fillId="0" borderId="0" xfId="0" applyFont="1" applyFill="1"/>
    <xf numFmtId="0" fontId="23" fillId="0" borderId="0" xfId="0" applyFont="1" applyFill="1" applyBorder="1" applyAlignment="1">
      <alignment vertical="center" wrapText="1"/>
    </xf>
    <xf numFmtId="3" fontId="10" fillId="0" borderId="63" xfId="0" applyNumberFormat="1" applyFont="1" applyBorder="1" applyAlignment="1">
      <alignment horizontal="right" vertical="top" wrapText="1"/>
    </xf>
    <xf numFmtId="3" fontId="55" fillId="7" borderId="63" xfId="0" applyNumberFormat="1" applyFont="1" applyFill="1" applyBorder="1" applyAlignment="1">
      <alignment horizontal="right"/>
    </xf>
    <xf numFmtId="3" fontId="10" fillId="0" borderId="63" xfId="0" applyNumberFormat="1" applyFont="1" applyFill="1" applyBorder="1" applyAlignment="1">
      <alignment horizontal="right" vertical="center"/>
    </xf>
    <xf numFmtId="164" fontId="11" fillId="0" borderId="49" xfId="8" applyFont="1" applyFill="1" applyBorder="1" applyAlignment="1">
      <alignment horizontal="right"/>
    </xf>
    <xf numFmtId="3" fontId="23" fillId="7" borderId="0" xfId="0" applyNumberFormat="1" applyFont="1" applyFill="1"/>
    <xf numFmtId="3" fontId="11" fillId="0" borderId="0" xfId="1" applyNumberFormat="1" applyFont="1" applyAlignment="1"/>
    <xf numFmtId="3" fontId="25" fillId="10" borderId="0" xfId="0" applyNumberFormat="1" applyFont="1" applyFill="1" applyAlignment="1">
      <alignment horizontal="right" vertical="center"/>
    </xf>
    <xf numFmtId="167" fontId="25" fillId="10" borderId="0" xfId="0" applyNumberFormat="1" applyFont="1" applyFill="1" applyAlignment="1">
      <alignment horizontal="right" vertical="center"/>
    </xf>
    <xf numFmtId="3" fontId="23" fillId="2" borderId="9" xfId="78" applyNumberFormat="1" applyFont="1" applyFill="1" applyBorder="1" applyAlignment="1">
      <alignment horizontal="right"/>
    </xf>
    <xf numFmtId="169" fontId="23" fillId="0" borderId="9" xfId="78" applyNumberFormat="1" applyFont="1" applyFill="1" applyBorder="1" applyAlignment="1">
      <alignment horizontal="right"/>
    </xf>
    <xf numFmtId="3" fontId="23" fillId="0" borderId="0" xfId="0" applyNumberFormat="1" applyFont="1" applyFill="1" applyAlignment="1">
      <alignment horizontal="right"/>
    </xf>
    <xf numFmtId="3" fontId="26" fillId="0" borderId="0" xfId="0" applyNumberFormat="1" applyFont="1" applyFill="1" applyBorder="1"/>
    <xf numFmtId="0" fontId="62" fillId="0" borderId="0" xfId="0" applyFont="1" applyFill="1" applyBorder="1"/>
    <xf numFmtId="0" fontId="26" fillId="0" borderId="0" xfId="0" applyFont="1" applyFill="1" applyBorder="1"/>
    <xf numFmtId="3" fontId="26" fillId="0" borderId="0" xfId="0" applyNumberFormat="1" applyFont="1" applyFill="1" applyBorder="1" applyAlignment="1">
      <alignment horizontal="right"/>
    </xf>
    <xf numFmtId="3" fontId="26" fillId="0" borderId="0" xfId="9" applyNumberFormat="1" applyFont="1" applyFill="1" applyBorder="1" applyAlignment="1">
      <alignment horizontal="right"/>
    </xf>
    <xf numFmtId="9" fontId="26" fillId="0" borderId="0" xfId="9" applyFont="1" applyFill="1" applyBorder="1"/>
    <xf numFmtId="14" fontId="41" fillId="0" borderId="0" xfId="0" applyNumberFormat="1" applyFont="1" applyFill="1" applyBorder="1" applyAlignment="1">
      <alignment horizontal="center" vertical="center"/>
    </xf>
    <xf numFmtId="3" fontId="41" fillId="0" borderId="0" xfId="0" applyNumberFormat="1" applyFont="1" applyFill="1" applyBorder="1" applyAlignment="1">
      <alignment horizontal="right" vertical="center"/>
    </xf>
    <xf numFmtId="3" fontId="41" fillId="0" borderId="0" xfId="0" applyNumberFormat="1" applyFont="1" applyFill="1" applyBorder="1" applyAlignment="1">
      <alignment horizontal="center" vertical="center"/>
    </xf>
    <xf numFmtId="3" fontId="61" fillId="0" borderId="0" xfId="9" applyNumberFormat="1" applyFont="1" applyFill="1" applyBorder="1" applyAlignment="1">
      <alignment horizontal="right"/>
    </xf>
    <xf numFmtId="3" fontId="61" fillId="0" borderId="0" xfId="0" applyNumberFormat="1" applyFont="1" applyFill="1" applyBorder="1"/>
    <xf numFmtId="0" fontId="11" fillId="0" borderId="0" xfId="0" applyFont="1"/>
    <xf numFmtId="167" fontId="11" fillId="2" borderId="0" xfId="0" applyNumberFormat="1" applyFont="1" applyFill="1" applyAlignment="1">
      <alignment horizontal="right"/>
    </xf>
    <xf numFmtId="3" fontId="11" fillId="2" borderId="0" xfId="0" applyNumberFormat="1" applyFont="1" applyFill="1" applyBorder="1" applyAlignment="1">
      <alignment horizontal="right"/>
    </xf>
    <xf numFmtId="0" fontId="11" fillId="0" borderId="0" xfId="0" applyFont="1"/>
    <xf numFmtId="0" fontId="0" fillId="2" borderId="49" xfId="0" applyFill="1" applyBorder="1"/>
    <xf numFmtId="164" fontId="0" fillId="2" borderId="0" xfId="0" applyNumberFormat="1" applyFont="1" applyFill="1" applyAlignment="1">
      <alignment horizontal="right"/>
    </xf>
    <xf numFmtId="164" fontId="0" fillId="2" borderId="0" xfId="0" applyNumberFormat="1" applyFill="1" applyAlignment="1">
      <alignment horizontal="right"/>
    </xf>
    <xf numFmtId="3" fontId="55" fillId="2" borderId="0" xfId="0" applyNumberFormat="1" applyFont="1" applyFill="1"/>
    <xf numFmtId="3" fontId="11" fillId="2" borderId="0" xfId="0" applyNumberFormat="1" applyFont="1" applyFill="1" applyBorder="1"/>
    <xf numFmtId="3" fontId="11" fillId="0" borderId="0" xfId="0" applyNumberFormat="1" applyFont="1" applyBorder="1" applyAlignment="1">
      <alignment horizontal="right"/>
    </xf>
    <xf numFmtId="3" fontId="11" fillId="0" borderId="0" xfId="0" applyNumberFormat="1" applyFont="1" applyBorder="1"/>
    <xf numFmtId="0" fontId="25" fillId="11" borderId="0" xfId="77" applyFont="1" applyFill="1" applyBorder="1" applyAlignment="1">
      <alignment horizontal="center" vertical="center"/>
    </xf>
    <xf numFmtId="0" fontId="25" fillId="11" borderId="9" xfId="77" applyFont="1" applyFill="1" applyBorder="1" applyAlignment="1">
      <alignment horizontal="center" vertical="center" wrapText="1"/>
    </xf>
    <xf numFmtId="0" fontId="25" fillId="11" borderId="0" xfId="77" applyFont="1" applyFill="1" applyBorder="1" applyAlignment="1">
      <alignment horizontal="center" vertical="center" wrapText="1"/>
    </xf>
    <xf numFmtId="14" fontId="25" fillId="11" borderId="9" xfId="77" applyNumberFormat="1" applyFont="1" applyFill="1" applyBorder="1" applyAlignment="1">
      <alignment horizontal="center" vertical="center" wrapText="1"/>
    </xf>
    <xf numFmtId="3" fontId="3" fillId="7" borderId="0" xfId="0" applyNumberFormat="1" applyFont="1" applyFill="1"/>
    <xf numFmtId="0" fontId="11" fillId="0" borderId="0" xfId="0" applyFont="1"/>
    <xf numFmtId="0" fontId="11" fillId="7" borderId="0" xfId="0" applyFont="1" applyFill="1" applyAlignment="1">
      <alignment horizontal="left" vertical="center"/>
    </xf>
    <xf numFmtId="3" fontId="11" fillId="7" borderId="49" xfId="0" applyNumberFormat="1" applyFont="1" applyFill="1" applyBorder="1"/>
    <xf numFmtId="3" fontId="10" fillId="0" borderId="62" xfId="0" applyNumberFormat="1" applyFont="1" applyFill="1" applyBorder="1"/>
    <xf numFmtId="169" fontId="3" fillId="7" borderId="0" xfId="0" applyNumberFormat="1" applyFont="1" applyFill="1"/>
    <xf numFmtId="164" fontId="11" fillId="0" borderId="0" xfId="0" applyNumberFormat="1" applyFont="1"/>
    <xf numFmtId="165" fontId="26" fillId="7" borderId="0" xfId="1" applyFont="1" applyFill="1" applyBorder="1"/>
    <xf numFmtId="165" fontId="11" fillId="7" borderId="0" xfId="1" applyFont="1" applyFill="1"/>
    <xf numFmtId="165" fontId="11" fillId="0" borderId="0" xfId="1" applyFont="1"/>
    <xf numFmtId="3" fontId="61" fillId="7" borderId="0" xfId="0" applyNumberFormat="1" applyFont="1" applyFill="1" applyBorder="1" applyAlignment="1">
      <alignment horizontal="center"/>
    </xf>
    <xf numFmtId="0" fontId="22" fillId="0" borderId="0" xfId="0" applyFont="1" applyBorder="1"/>
    <xf numFmtId="3" fontId="55" fillId="0" borderId="0" xfId="0" applyNumberFormat="1" applyFont="1" applyBorder="1"/>
    <xf numFmtId="3" fontId="23" fillId="0" borderId="24" xfId="0" applyNumberFormat="1" applyFont="1" applyFill="1" applyBorder="1" applyAlignment="1">
      <alignment vertical="center" wrapText="1"/>
    </xf>
    <xf numFmtId="0" fontId="11" fillId="0" borderId="0" xfId="0" applyFont="1"/>
    <xf numFmtId="14" fontId="21" fillId="10" borderId="0" xfId="1" applyNumberFormat="1" applyFont="1" applyFill="1" applyAlignment="1">
      <alignment horizontal="right"/>
    </xf>
    <xf numFmtId="170" fontId="21" fillId="10" borderId="0" xfId="1" applyNumberFormat="1" applyFont="1" applyFill="1" applyAlignment="1">
      <alignment horizontal="center" vertical="center"/>
    </xf>
    <xf numFmtId="14" fontId="21" fillId="10" borderId="0" xfId="0" applyNumberFormat="1" applyFont="1" applyFill="1" applyAlignment="1">
      <alignment horizontal="center" vertical="center"/>
    </xf>
    <xf numFmtId="14" fontId="21" fillId="10" borderId="0" xfId="0" applyNumberFormat="1" applyFont="1" applyFill="1" applyAlignment="1">
      <alignment vertical="center"/>
    </xf>
    <xf numFmtId="174" fontId="21" fillId="10" borderId="0" xfId="0" applyNumberFormat="1" applyFont="1" applyFill="1" applyAlignment="1">
      <alignment horizontal="right" vertical="center"/>
    </xf>
    <xf numFmtId="14" fontId="21" fillId="10" borderId="49" xfId="3" quotePrefix="1" applyNumberFormat="1" applyFont="1" applyFill="1" applyBorder="1" applyAlignment="1">
      <alignment horizontal="right"/>
    </xf>
    <xf numFmtId="14" fontId="21" fillId="10" borderId="49" xfId="3" quotePrefix="1" applyNumberFormat="1" applyFont="1" applyFill="1" applyBorder="1"/>
    <xf numFmtId="14" fontId="21" fillId="10" borderId="0" xfId="0" applyNumberFormat="1" applyFont="1" applyFill="1" applyAlignment="1">
      <alignment horizontal="center"/>
    </xf>
    <xf numFmtId="14" fontId="21" fillId="10" borderId="0" xfId="0" applyNumberFormat="1" applyFont="1" applyFill="1"/>
    <xf numFmtId="14" fontId="21" fillId="10" borderId="54" xfId="0" applyNumberFormat="1" applyFont="1" applyFill="1" applyBorder="1" applyAlignment="1">
      <alignment horizontal="right"/>
    </xf>
    <xf numFmtId="174" fontId="21" fillId="10" borderId="0" xfId="0" applyNumberFormat="1" applyFont="1" applyFill="1" applyBorder="1" applyAlignment="1">
      <alignment horizontal="center" vertical="center"/>
    </xf>
    <xf numFmtId="14" fontId="21" fillId="10" borderId="49" xfId="0" applyNumberFormat="1" applyFont="1" applyFill="1" applyBorder="1" applyAlignment="1">
      <alignment horizontal="right" vertical="center"/>
    </xf>
    <xf numFmtId="14" fontId="21" fillId="10" borderId="0" xfId="0" applyNumberFormat="1" applyFont="1" applyFill="1" applyAlignment="1">
      <alignment horizontal="right" vertical="center"/>
    </xf>
    <xf numFmtId="14" fontId="21" fillId="10" borderId="1" xfId="0" applyNumberFormat="1" applyFont="1" applyFill="1" applyBorder="1" applyAlignment="1">
      <alignment horizontal="right" vertical="center"/>
    </xf>
    <xf numFmtId="14" fontId="21" fillId="10" borderId="0" xfId="0" applyNumberFormat="1" applyFont="1" applyFill="1" applyAlignment="1">
      <alignment horizontal="right" vertical="center" wrapText="1"/>
    </xf>
    <xf numFmtId="14" fontId="21" fillId="10" borderId="0" xfId="0" applyNumberFormat="1" applyFont="1" applyFill="1" applyBorder="1" applyAlignment="1">
      <alignment horizontal="right" vertical="center"/>
    </xf>
    <xf numFmtId="14" fontId="21" fillId="10" borderId="0" xfId="0" applyNumberFormat="1" applyFont="1" applyFill="1" applyBorder="1" applyAlignment="1">
      <alignment horizontal="right" vertical="center" wrapText="1"/>
    </xf>
    <xf numFmtId="0" fontId="97" fillId="10" borderId="33" xfId="0" applyFont="1" applyFill="1" applyBorder="1"/>
    <xf numFmtId="14" fontId="21" fillId="10" borderId="34" xfId="0" applyNumberFormat="1" applyFont="1" applyFill="1" applyBorder="1" applyAlignment="1">
      <alignment horizontal="center" vertical="center" wrapText="1"/>
    </xf>
    <xf numFmtId="0" fontId="21" fillId="10" borderId="34" xfId="0" applyFont="1" applyFill="1" applyBorder="1" applyAlignment="1">
      <alignment vertical="center" wrapText="1"/>
    </xf>
    <xf numFmtId="0" fontId="97" fillId="10" borderId="36" xfId="0" applyFont="1" applyFill="1" applyBorder="1"/>
    <xf numFmtId="3" fontId="21" fillId="0" borderId="0" xfId="0" applyNumberFormat="1" applyFont="1" applyFill="1" applyAlignment="1">
      <alignment horizontal="right" vertical="center"/>
    </xf>
    <xf numFmtId="0" fontId="11" fillId="0" borderId="0" xfId="0" applyFont="1"/>
    <xf numFmtId="0" fontId="11" fillId="0" borderId="0" xfId="0" applyFont="1"/>
    <xf numFmtId="3" fontId="41" fillId="0" borderId="0" xfId="3" quotePrefix="1" applyNumberFormat="1" applyFont="1"/>
    <xf numFmtId="169" fontId="23" fillId="0" borderId="0" xfId="1" applyNumberFormat="1" applyFont="1" applyFill="1" applyAlignment="1">
      <alignment horizontal="right"/>
    </xf>
    <xf numFmtId="0" fontId="11" fillId="0" borderId="0" xfId="0" applyFont="1" applyBorder="1" applyAlignment="1">
      <alignment horizontal="center"/>
    </xf>
    <xf numFmtId="0" fontId="89" fillId="0" borderId="0" xfId="0" applyFont="1" applyBorder="1"/>
    <xf numFmtId="0" fontId="11" fillId="0" borderId="0" xfId="0" applyFont="1" applyBorder="1" applyAlignment="1">
      <alignment horizontal="right"/>
    </xf>
    <xf numFmtId="3" fontId="30" fillId="7" borderId="0" xfId="0" applyNumberFormat="1" applyFont="1" applyFill="1" applyBorder="1"/>
    <xf numFmtId="0" fontId="30" fillId="7" borderId="0" xfId="0" applyFont="1" applyFill="1" applyBorder="1"/>
    <xf numFmtId="3" fontId="23" fillId="0" borderId="0" xfId="0" applyNumberFormat="1" applyFont="1" applyBorder="1" applyAlignment="1">
      <alignment vertical="center" wrapText="1"/>
    </xf>
    <xf numFmtId="0" fontId="29" fillId="7" borderId="0" xfId="0" applyFont="1" applyFill="1" applyBorder="1"/>
    <xf numFmtId="3" fontId="55" fillId="0" borderId="0" xfId="0" applyNumberFormat="1" applyFont="1" applyFill="1" applyBorder="1"/>
    <xf numFmtId="3" fontId="11" fillId="0" borderId="0" xfId="101" applyNumberFormat="1" applyFont="1" applyBorder="1"/>
    <xf numFmtId="3" fontId="23" fillId="0" borderId="0" xfId="0" applyNumberFormat="1" applyFont="1"/>
    <xf numFmtId="169" fontId="55" fillId="2" borderId="0" xfId="0" applyNumberFormat="1" applyFont="1" applyFill="1"/>
    <xf numFmtId="3" fontId="23" fillId="2" borderId="0" xfId="10" applyNumberFormat="1" applyFont="1" applyFill="1" applyAlignment="1">
      <alignment horizontal="right"/>
    </xf>
    <xf numFmtId="3" fontId="10" fillId="2" borderId="59" xfId="8" applyNumberFormat="1" applyFont="1" applyFill="1" applyBorder="1" applyAlignment="1">
      <alignment horizontal="right"/>
    </xf>
    <xf numFmtId="3" fontId="23" fillId="7" borderId="0" xfId="77" applyNumberFormat="1" applyFont="1" applyFill="1"/>
    <xf numFmtId="3" fontId="23" fillId="2" borderId="0" xfId="77" applyNumberFormat="1" applyFont="1" applyFill="1"/>
    <xf numFmtId="0" fontId="23" fillId="0" borderId="7" xfId="77" applyFont="1" applyFill="1" applyBorder="1"/>
    <xf numFmtId="3" fontId="23" fillId="0" borderId="9" xfId="78" applyNumberFormat="1" applyFont="1" applyFill="1" applyBorder="1" applyAlignment="1">
      <alignment horizontal="right"/>
    </xf>
    <xf numFmtId="3" fontId="23" fillId="0" borderId="0" xfId="78" applyNumberFormat="1" applyFont="1" applyFill="1" applyBorder="1" applyAlignment="1">
      <alignment horizontal="right"/>
    </xf>
    <xf numFmtId="3" fontId="23" fillId="0" borderId="0" xfId="77" applyNumberFormat="1" applyFont="1" applyFill="1"/>
    <xf numFmtId="0" fontId="23" fillId="0" borderId="0" xfId="77" applyFont="1" applyFill="1"/>
    <xf numFmtId="0" fontId="3" fillId="0" borderId="0" xfId="0" applyFont="1" applyFill="1"/>
    <xf numFmtId="1" fontId="3" fillId="7" borderId="0" xfId="0" applyNumberFormat="1" applyFont="1" applyFill="1"/>
    <xf numFmtId="173" fontId="26" fillId="7" borderId="0" xfId="1" applyNumberFormat="1" applyFont="1" applyFill="1" applyBorder="1" applyAlignment="1">
      <alignment horizontal="right"/>
    </xf>
    <xf numFmtId="0" fontId="22" fillId="0" borderId="0" xfId="0" applyFont="1" applyFill="1" applyBorder="1"/>
    <xf numFmtId="14" fontId="28" fillId="0" borderId="0" xfId="0" applyNumberFormat="1" applyFont="1" applyFill="1" applyBorder="1" applyAlignment="1">
      <alignment horizontal="center" vertical="center"/>
    </xf>
    <xf numFmtId="0" fontId="0" fillId="0" borderId="0" xfId="0" applyFill="1" applyBorder="1"/>
    <xf numFmtId="3" fontId="0" fillId="0" borderId="0" xfId="0" applyNumberFormat="1" applyFill="1" applyBorder="1"/>
    <xf numFmtId="0" fontId="98" fillId="0" borderId="0" xfId="0" applyFont="1" applyFill="1" applyBorder="1"/>
    <xf numFmtId="1" fontId="22" fillId="0" borderId="0" xfId="0" applyNumberFormat="1" applyFont="1" applyFill="1" applyBorder="1" applyAlignment="1">
      <alignment horizontal="center"/>
    </xf>
    <xf numFmtId="0" fontId="99" fillId="0" borderId="0" xfId="0" applyFont="1" applyFill="1" applyBorder="1"/>
    <xf numFmtId="3" fontId="22" fillId="0" borderId="0" xfId="0" applyNumberFormat="1" applyFont="1" applyFill="1" applyBorder="1"/>
    <xf numFmtId="0" fontId="22" fillId="0" borderId="0" xfId="0" applyFont="1" applyFill="1" applyBorder="1" applyAlignment="1">
      <alignment horizontal="center"/>
    </xf>
    <xf numFmtId="0" fontId="0" fillId="0" borderId="0" xfId="0" applyFill="1" applyBorder="1" applyAlignment="1">
      <alignment horizontal="right"/>
    </xf>
    <xf numFmtId="3" fontId="0" fillId="0" borderId="0" xfId="0" quotePrefix="1" applyNumberFormat="1" applyFill="1" applyBorder="1"/>
    <xf numFmtId="0" fontId="0" fillId="0" borderId="0" xfId="0" quotePrefix="1" applyFill="1" applyBorder="1"/>
    <xf numFmtId="3" fontId="23" fillId="0" borderId="0" xfId="0" applyNumberFormat="1" applyFont="1" applyFill="1" applyBorder="1"/>
    <xf numFmtId="0" fontId="55" fillId="0" borderId="0" xfId="0" applyFont="1" applyAlignment="1">
      <alignment horizontal="right"/>
    </xf>
    <xf numFmtId="0" fontId="11" fillId="0" borderId="0" xfId="0" applyFont="1"/>
    <xf numFmtId="0" fontId="11" fillId="0" borderId="0" xfId="0" applyFont="1" applyFill="1"/>
    <xf numFmtId="3" fontId="10" fillId="2" borderId="0" xfId="1" applyNumberFormat="1" applyFont="1" applyFill="1" applyBorder="1"/>
    <xf numFmtId="169" fontId="23" fillId="2" borderId="49" xfId="1" applyNumberFormat="1" applyFont="1" applyFill="1" applyBorder="1"/>
    <xf numFmtId="3" fontId="23" fillId="2" borderId="49" xfId="1" applyNumberFormat="1" applyFont="1" applyFill="1" applyBorder="1"/>
    <xf numFmtId="0" fontId="11" fillId="0" borderId="0" xfId="0" applyFont="1" applyFill="1" applyAlignment="1">
      <alignment horizontal="left" vertical="justify" wrapText="1"/>
    </xf>
    <xf numFmtId="0" fontId="6" fillId="0" borderId="0" xfId="0" applyFont="1" applyFill="1"/>
    <xf numFmtId="0" fontId="12" fillId="2" borderId="0" xfId="0" applyFont="1" applyFill="1" applyBorder="1"/>
    <xf numFmtId="14" fontId="11" fillId="0" borderId="0" xfId="0" applyNumberFormat="1" applyFont="1" applyFill="1" applyBorder="1" applyAlignment="1">
      <alignment horizontal="right"/>
    </xf>
    <xf numFmtId="14" fontId="11" fillId="0" borderId="49" xfId="0" applyNumberFormat="1" applyFont="1" applyFill="1" applyBorder="1" applyAlignment="1">
      <alignment horizontal="right"/>
    </xf>
    <xf numFmtId="0" fontId="102" fillId="0" borderId="0" xfId="0" applyFont="1"/>
    <xf numFmtId="0" fontId="26" fillId="0" borderId="0" xfId="0" applyFont="1" applyAlignment="1">
      <alignment vertical="center"/>
    </xf>
    <xf numFmtId="3" fontId="11" fillId="0" borderId="54" xfId="0" applyNumberFormat="1" applyFont="1" applyBorder="1" applyAlignment="1">
      <alignment horizontal="center" vertical="center" wrapText="1"/>
    </xf>
    <xf numFmtId="0" fontId="103" fillId="0" borderId="0" xfId="0" applyFont="1"/>
    <xf numFmtId="0" fontId="11" fillId="0" borderId="54" xfId="0" applyFont="1" applyFill="1" applyBorder="1" applyAlignment="1">
      <alignment horizontal="left"/>
    </xf>
    <xf numFmtId="3" fontId="11" fillId="0" borderId="54" xfId="0" applyNumberFormat="1" applyFont="1" applyFill="1" applyBorder="1" applyAlignment="1">
      <alignment horizontal="center" vertical="center" wrapText="1"/>
    </xf>
    <xf numFmtId="3" fontId="11" fillId="0" borderId="51" xfId="0" applyNumberFormat="1" applyFont="1" applyFill="1" applyBorder="1" applyAlignment="1">
      <alignment horizontal="right" wrapText="1"/>
    </xf>
    <xf numFmtId="3" fontId="11" fillId="0" borderId="51" xfId="0" applyNumberFormat="1" applyFont="1" applyFill="1" applyBorder="1" applyAlignment="1">
      <alignment horizontal="right"/>
    </xf>
    <xf numFmtId="0" fontId="11" fillId="0" borderId="54" xfId="0" applyFont="1" applyFill="1" applyBorder="1"/>
    <xf numFmtId="0" fontId="11" fillId="0" borderId="0" xfId="0" applyFont="1"/>
    <xf numFmtId="0" fontId="11" fillId="0" borderId="0" xfId="0" applyFont="1" applyFill="1"/>
    <xf numFmtId="0" fontId="55" fillId="0" borderId="0" xfId="0" applyFont="1" applyAlignment="1">
      <alignment horizontal="left"/>
    </xf>
    <xf numFmtId="0" fontId="11" fillId="0" borderId="0" xfId="0" applyFont="1" applyAlignment="1">
      <alignment horizontal="left"/>
    </xf>
    <xf numFmtId="167" fontId="41" fillId="10" borderId="0" xfId="1" applyNumberFormat="1" applyFont="1" applyFill="1" applyBorder="1" applyAlignment="1">
      <alignment horizontal="center" vertical="center" wrapText="1"/>
    </xf>
    <xf numFmtId="167" fontId="41" fillId="10" borderId="0" xfId="1" applyNumberFormat="1" applyFont="1" applyFill="1" applyAlignment="1">
      <alignment horizontal="center" vertical="center" wrapText="1"/>
    </xf>
    <xf numFmtId="0" fontId="11" fillId="0" borderId="0" xfId="0" applyFont="1" applyAlignment="1">
      <alignment horizontal="center"/>
    </xf>
    <xf numFmtId="0" fontId="26" fillId="0" borderId="0" xfId="0" applyFont="1" applyAlignment="1">
      <alignment vertical="center"/>
    </xf>
    <xf numFmtId="3" fontId="19" fillId="0" borderId="0" xfId="0" applyNumberFormat="1" applyFont="1"/>
    <xf numFmtId="3" fontId="23" fillId="0" borderId="37" xfId="0" applyNumberFormat="1" applyFont="1" applyFill="1" applyBorder="1" applyAlignment="1"/>
    <xf numFmtId="3" fontId="11" fillId="0" borderId="37" xfId="0" applyNumberFormat="1" applyFont="1" applyFill="1" applyBorder="1" applyAlignment="1">
      <alignment horizontal="right"/>
    </xf>
    <xf numFmtId="3" fontId="55" fillId="7" borderId="64" xfId="0" applyNumberFormat="1" applyFont="1" applyFill="1" applyBorder="1"/>
    <xf numFmtId="0" fontId="11" fillId="0" borderId="0" xfId="0" applyFont="1"/>
    <xf numFmtId="164" fontId="11" fillId="7" borderId="0" xfId="0" applyNumberFormat="1" applyFont="1" applyFill="1"/>
    <xf numFmtId="10" fontId="11" fillId="0" borderId="54" xfId="9" applyNumberFormat="1" applyFont="1" applyBorder="1" applyAlignment="1">
      <alignment horizontal="center" vertical="center" wrapText="1"/>
    </xf>
    <xf numFmtId="164" fontId="55" fillId="7" borderId="64" xfId="0" applyNumberFormat="1" applyFont="1" applyFill="1" applyBorder="1"/>
    <xf numFmtId="3" fontId="34" fillId="0" borderId="0" xfId="0" applyNumberFormat="1" applyFont="1" applyFill="1"/>
    <xf numFmtId="0" fontId="11" fillId="0" borderId="0" xfId="0" applyFont="1"/>
    <xf numFmtId="0" fontId="11" fillId="0" borderId="0" xfId="0" applyFont="1" applyFill="1"/>
    <xf numFmtId="0" fontId="11" fillId="2" borderId="0" xfId="0" applyFont="1" applyFill="1" applyAlignment="1">
      <alignment horizontal="left"/>
    </xf>
    <xf numFmtId="0" fontId="11" fillId="0" borderId="0" xfId="0" applyFont="1"/>
    <xf numFmtId="0" fontId="11" fillId="0" borderId="0" xfId="0" applyFont="1" applyAlignment="1">
      <alignment horizontal="center"/>
    </xf>
    <xf numFmtId="0" fontId="11" fillId="2" borderId="0" xfId="0" applyFont="1" applyFill="1" applyAlignment="1">
      <alignment horizontal="center"/>
    </xf>
    <xf numFmtId="0" fontId="11" fillId="2" borderId="0" xfId="0" applyFont="1" applyFill="1" applyAlignment="1">
      <alignment horizontal="left"/>
    </xf>
    <xf numFmtId="14" fontId="21" fillId="10" borderId="0" xfId="3" quotePrefix="1" applyNumberFormat="1" applyFont="1" applyFill="1" applyBorder="1" applyAlignment="1">
      <alignment horizontal="right"/>
    </xf>
    <xf numFmtId="14" fontId="21" fillId="0" borderId="0" xfId="3" quotePrefix="1" applyNumberFormat="1" applyFont="1" applyFill="1" applyBorder="1" applyAlignment="1">
      <alignment horizontal="right"/>
    </xf>
    <xf numFmtId="14" fontId="21" fillId="10" borderId="0" xfId="3" quotePrefix="1" applyNumberFormat="1" applyFont="1" applyFill="1" applyBorder="1"/>
    <xf numFmtId="14" fontId="21" fillId="0" borderId="0" xfId="3" quotePrefix="1" applyNumberFormat="1" applyFont="1" applyFill="1" applyBorder="1"/>
    <xf numFmtId="3" fontId="10" fillId="2" borderId="65" xfId="1" applyNumberFormat="1" applyFont="1" applyFill="1" applyBorder="1" applyAlignment="1">
      <alignment horizontal="right"/>
    </xf>
    <xf numFmtId="173" fontId="23" fillId="0" borderId="0" xfId="1" applyNumberFormat="1" applyFont="1" applyFill="1" applyAlignment="1">
      <alignment horizontal="right"/>
    </xf>
    <xf numFmtId="0" fontId="11" fillId="0" borderId="0" xfId="0" applyFont="1"/>
    <xf numFmtId="0" fontId="11" fillId="0" borderId="0" xfId="0" applyFont="1" applyAlignment="1">
      <alignment horizontal="left" vertical="center"/>
    </xf>
    <xf numFmtId="0" fontId="41" fillId="10" borderId="0" xfId="0" applyFont="1" applyFill="1" applyAlignment="1">
      <alignment horizontal="center"/>
    </xf>
    <xf numFmtId="0" fontId="12" fillId="2" borderId="0" xfId="12" applyFont="1" applyFill="1" applyBorder="1" applyAlignment="1">
      <alignment horizontal="left"/>
    </xf>
    <xf numFmtId="14" fontId="21" fillId="0" borderId="0" xfId="0" applyNumberFormat="1" applyFont="1" applyFill="1" applyBorder="1" applyAlignment="1">
      <alignment horizontal="right" vertical="center"/>
    </xf>
    <xf numFmtId="0" fontId="68" fillId="0" borderId="0" xfId="13" applyFont="1" applyAlignment="1">
      <alignment horizontal="right"/>
    </xf>
    <xf numFmtId="0" fontId="68" fillId="7" borderId="0" xfId="13" applyFont="1" applyFill="1" applyAlignment="1">
      <alignment horizontal="right"/>
    </xf>
    <xf numFmtId="0" fontId="67" fillId="7" borderId="0" xfId="13" applyFont="1" applyFill="1" applyAlignment="1">
      <alignment horizontal="right"/>
    </xf>
    <xf numFmtId="0" fontId="67" fillId="0" borderId="0" xfId="13" applyFont="1" applyFill="1" applyAlignment="1">
      <alignment horizontal="right"/>
    </xf>
    <xf numFmtId="0" fontId="66" fillId="0" borderId="0" xfId="13" applyFont="1" applyFill="1" applyAlignment="1">
      <alignment horizontal="right"/>
    </xf>
    <xf numFmtId="0" fontId="104" fillId="0" borderId="0" xfId="0" applyFont="1" applyAlignment="1">
      <alignment horizontal="center"/>
    </xf>
    <xf numFmtId="0" fontId="67" fillId="0" borderId="0" xfId="13" applyFont="1" applyAlignment="1">
      <alignment horizontal="right"/>
    </xf>
    <xf numFmtId="14" fontId="11" fillId="0" borderId="0" xfId="0" applyNumberFormat="1" applyFont="1" applyFill="1" applyBorder="1" applyAlignment="1">
      <alignment horizontal="center"/>
    </xf>
    <xf numFmtId="14" fontId="11" fillId="0" borderId="49" xfId="0" applyNumberFormat="1" applyFont="1" applyFill="1" applyBorder="1" applyAlignment="1">
      <alignment horizontal="center"/>
    </xf>
    <xf numFmtId="14" fontId="21" fillId="0" borderId="0" xfId="0" applyNumberFormat="1" applyFont="1" applyFill="1" applyAlignment="1">
      <alignment horizontal="right" vertical="center"/>
    </xf>
    <xf numFmtId="0" fontId="66" fillId="0" borderId="0" xfId="13" applyFont="1" applyAlignment="1">
      <alignment horizontal="right"/>
    </xf>
    <xf numFmtId="3" fontId="55" fillId="2" borderId="0" xfId="0" applyNumberFormat="1" applyFont="1" applyFill="1" applyBorder="1"/>
    <xf numFmtId="3" fontId="0" fillId="2" borderId="0" xfId="0" applyNumberFormat="1" applyFill="1" applyBorder="1"/>
    <xf numFmtId="3" fontId="55" fillId="2" borderId="66" xfId="0" applyNumberFormat="1" applyFont="1" applyFill="1" applyBorder="1"/>
    <xf numFmtId="0" fontId="15" fillId="7" borderId="0" xfId="13" applyFill="1" applyAlignment="1">
      <alignment horizontal="right"/>
    </xf>
    <xf numFmtId="0" fontId="26" fillId="7" borderId="0" xfId="0" applyFont="1" applyFill="1" applyBorder="1" applyAlignment="1"/>
    <xf numFmtId="0" fontId="67" fillId="0" borderId="0" xfId="13" applyFont="1" applyFill="1" applyAlignment="1">
      <alignment horizontal="center" vertical="center"/>
    </xf>
    <xf numFmtId="0" fontId="25" fillId="11" borderId="0" xfId="0" applyFont="1" applyFill="1"/>
    <xf numFmtId="0" fontId="25" fillId="0" borderId="0" xfId="0" applyFont="1"/>
    <xf numFmtId="0" fontId="42" fillId="8" borderId="0" xfId="0" applyFont="1" applyFill="1"/>
    <xf numFmtId="0" fontId="55" fillId="9" borderId="0" xfId="0" applyFont="1" applyFill="1"/>
    <xf numFmtId="0" fontId="43" fillId="9" borderId="0" xfId="0" applyFont="1" applyFill="1"/>
    <xf numFmtId="0" fontId="59" fillId="9" borderId="67" xfId="0" applyFont="1" applyFill="1" applyBorder="1"/>
    <xf numFmtId="14" fontId="21" fillId="10" borderId="68" xfId="0" applyNumberFormat="1" applyFont="1" applyFill="1" applyBorder="1" applyAlignment="1">
      <alignment horizontal="center" vertical="center"/>
    </xf>
    <xf numFmtId="14" fontId="41" fillId="10" borderId="68" xfId="0" applyNumberFormat="1" applyFont="1" applyFill="1" applyBorder="1" applyAlignment="1">
      <alignment horizontal="center" vertical="center"/>
    </xf>
    <xf numFmtId="0" fontId="11" fillId="9" borderId="0" xfId="0" applyFont="1" applyFill="1"/>
    <xf numFmtId="0" fontId="52" fillId="9" borderId="0" xfId="0" applyFont="1" applyFill="1"/>
    <xf numFmtId="14" fontId="41" fillId="0" borderId="69" xfId="0" applyNumberFormat="1" applyFont="1" applyBorder="1" applyAlignment="1">
      <alignment horizontal="center" vertical="center"/>
    </xf>
    <xf numFmtId="3" fontId="41" fillId="0" borderId="9" xfId="0" applyNumberFormat="1" applyFont="1" applyBorder="1" applyAlignment="1">
      <alignment horizontal="center" vertical="center"/>
    </xf>
    <xf numFmtId="0" fontId="59" fillId="9" borderId="0" xfId="0" applyFont="1" applyFill="1"/>
    <xf numFmtId="3" fontId="53" fillId="0" borderId="9" xfId="0" applyNumberFormat="1" applyFont="1" applyBorder="1" applyAlignment="1">
      <alignment horizontal="center" vertical="center"/>
    </xf>
    <xf numFmtId="0" fontId="59" fillId="9" borderId="7" xfId="0" applyFont="1" applyFill="1" applyBorder="1"/>
    <xf numFmtId="0" fontId="11" fillId="0" borderId="7" xfId="0" applyFont="1" applyBorder="1" applyAlignment="1">
      <alignment horizontal="left" vertical="center"/>
    </xf>
    <xf numFmtId="0" fontId="55" fillId="0" borderId="7" xfId="0" applyFont="1" applyBorder="1"/>
    <xf numFmtId="0" fontId="52" fillId="0" borderId="7" xfId="0" applyFont="1" applyBorder="1" applyAlignment="1">
      <alignment horizontal="left" vertical="center"/>
    </xf>
    <xf numFmtId="0" fontId="52" fillId="0" borderId="7" xfId="0" applyFont="1" applyBorder="1"/>
    <xf numFmtId="0" fontId="11" fillId="0" borderId="7" xfId="0" applyFont="1" applyBorder="1"/>
    <xf numFmtId="0" fontId="55" fillId="0" borderId="7" xfId="0" applyFont="1" applyBorder="1" applyAlignment="1">
      <alignment horizontal="left"/>
    </xf>
    <xf numFmtId="0" fontId="55" fillId="0" borderId="7" xfId="0" applyFont="1" applyBorder="1" applyAlignment="1">
      <alignment horizontal="left" vertical="center"/>
    </xf>
    <xf numFmtId="3" fontId="43" fillId="9" borderId="0" xfId="0" applyNumberFormat="1" applyFont="1" applyFill="1"/>
    <xf numFmtId="0" fontId="52" fillId="0" borderId="0" xfId="0" applyFont="1" applyAlignment="1">
      <alignment horizontal="left" vertical="center"/>
    </xf>
    <xf numFmtId="0" fontId="59" fillId="0" borderId="0" xfId="0" applyFont="1" applyAlignment="1">
      <alignment horizontal="left" vertical="center"/>
    </xf>
    <xf numFmtId="0" fontId="61" fillId="0" borderId="70" xfId="0" applyFont="1" applyBorder="1" applyAlignment="1">
      <alignment horizontal="left" vertical="center"/>
    </xf>
    <xf numFmtId="0" fontId="44" fillId="9" borderId="0" xfId="0" applyFont="1" applyFill="1"/>
    <xf numFmtId="0" fontId="45" fillId="0" borderId="0" xfId="0" applyFont="1"/>
    <xf numFmtId="0" fontId="44" fillId="0" borderId="0" xfId="0" applyFont="1"/>
    <xf numFmtId="0" fontId="106" fillId="0" borderId="0" xfId="0" applyFont="1" applyAlignment="1">
      <alignment horizontal="left" vertical="center"/>
    </xf>
    <xf numFmtId="0" fontId="106" fillId="0" borderId="7" xfId="0" applyFont="1" applyBorder="1" applyAlignment="1">
      <alignment horizontal="left" vertical="center"/>
    </xf>
    <xf numFmtId="0" fontId="11" fillId="0" borderId="68" xfId="0" applyFont="1" applyBorder="1"/>
    <xf numFmtId="0" fontId="11" fillId="0" borderId="0" xfId="0" applyFont="1"/>
    <xf numFmtId="0" fontId="11" fillId="2" borderId="0" xfId="0" applyFont="1" applyFill="1" applyAlignment="1">
      <alignment horizontal="left"/>
    </xf>
    <xf numFmtId="0" fontId="55" fillId="2" borderId="0" xfId="0" applyFont="1" applyFill="1" applyAlignment="1">
      <alignment horizontal="left"/>
    </xf>
    <xf numFmtId="0" fontId="3" fillId="0" borderId="0" xfId="0" applyFont="1" applyFill="1" applyBorder="1"/>
    <xf numFmtId="4" fontId="3" fillId="0" borderId="0" xfId="0" applyNumberFormat="1" applyFont="1" applyFill="1" applyBorder="1" applyAlignment="1">
      <alignment horizontal="center"/>
    </xf>
    <xf numFmtId="168" fontId="11" fillId="0" borderId="0" xfId="1" applyNumberFormat="1" applyFont="1" applyFill="1" applyBorder="1"/>
    <xf numFmtId="9" fontId="11" fillId="0" borderId="0" xfId="9" applyFont="1" applyFill="1" applyBorder="1"/>
    <xf numFmtId="0" fontId="11" fillId="0" borderId="0" xfId="0" applyFont="1" applyFill="1" applyBorder="1" applyAlignment="1">
      <alignment horizontal="center"/>
    </xf>
    <xf numFmtId="0" fontId="18" fillId="2" borderId="0" xfId="0" applyFont="1" applyFill="1"/>
    <xf numFmtId="0" fontId="6" fillId="7" borderId="0" xfId="0" applyFont="1" applyFill="1"/>
    <xf numFmtId="0" fontId="6" fillId="2" borderId="68" xfId="0" applyFont="1" applyFill="1" applyBorder="1"/>
    <xf numFmtId="3" fontId="26" fillId="0" borderId="68" xfId="0" applyNumberFormat="1" applyFont="1" applyBorder="1" applyAlignment="1">
      <alignment horizontal="right"/>
    </xf>
    <xf numFmtId="0" fontId="5" fillId="2" borderId="60" xfId="15" applyFont="1" applyFill="1" applyBorder="1" applyAlignment="1">
      <alignment vertical="center"/>
    </xf>
    <xf numFmtId="0" fontId="5" fillId="2" borderId="68" xfId="15" applyFont="1" applyFill="1" applyBorder="1" applyAlignment="1">
      <alignment horizontal="center" vertical="center" wrapText="1"/>
    </xf>
    <xf numFmtId="0" fontId="6" fillId="2" borderId="70" xfId="15" applyFont="1" applyFill="1" applyBorder="1"/>
    <xf numFmtId="168" fontId="6" fillId="0" borderId="53" xfId="106" applyNumberFormat="1" applyFont="1" applyFill="1" applyBorder="1"/>
    <xf numFmtId="9" fontId="6" fillId="0" borderId="57" xfId="150" applyFont="1" applyFill="1" applyBorder="1" applyAlignment="1">
      <alignment horizontal="center"/>
    </xf>
    <xf numFmtId="0" fontId="6" fillId="2" borderId="69" xfId="15" applyFont="1" applyFill="1" applyBorder="1"/>
    <xf numFmtId="168" fontId="6" fillId="0" borderId="68" xfId="106" applyNumberFormat="1" applyFont="1" applyFill="1" applyBorder="1"/>
    <xf numFmtId="9" fontId="6" fillId="0" borderId="71" xfId="150" applyFont="1" applyFill="1" applyBorder="1" applyAlignment="1">
      <alignment horizontal="center"/>
    </xf>
    <xf numFmtId="0" fontId="39" fillId="2" borderId="70" xfId="15" applyFont="1" applyFill="1" applyBorder="1"/>
    <xf numFmtId="0" fontId="6" fillId="2" borderId="68" xfId="15" applyFont="1" applyFill="1" applyBorder="1"/>
    <xf numFmtId="168" fontId="6" fillId="2" borderId="63" xfId="106" applyNumberFormat="1" applyFont="1" applyFill="1" applyBorder="1"/>
    <xf numFmtId="168" fontId="6" fillId="2" borderId="71" xfId="106" applyNumberFormat="1" applyFont="1" applyFill="1" applyBorder="1"/>
    <xf numFmtId="0" fontId="6" fillId="2" borderId="68" xfId="15" applyFont="1" applyFill="1" applyBorder="1" applyAlignment="1">
      <alignment wrapText="1"/>
    </xf>
    <xf numFmtId="168" fontId="6" fillId="2" borderId="68" xfId="106" applyNumberFormat="1" applyFont="1" applyFill="1" applyBorder="1"/>
    <xf numFmtId="168" fontId="6" fillId="2" borderId="57" xfId="106" applyNumberFormat="1" applyFont="1" applyFill="1" applyBorder="1"/>
    <xf numFmtId="0" fontId="6" fillId="2" borderId="63" xfId="15" applyFont="1" applyFill="1" applyBorder="1"/>
    <xf numFmtId="0" fontId="6" fillId="2" borderId="71" xfId="15" applyFont="1" applyFill="1" applyBorder="1"/>
    <xf numFmtId="0" fontId="12" fillId="2" borderId="68" xfId="15" applyFont="1" applyFill="1" applyBorder="1" applyAlignment="1">
      <alignment wrapText="1"/>
    </xf>
    <xf numFmtId="168" fontId="5" fillId="2" borderId="70" xfId="106" applyNumberFormat="1" applyFont="1" applyFill="1" applyBorder="1" applyAlignment="1">
      <alignment vertical="center"/>
    </xf>
    <xf numFmtId="0" fontId="6" fillId="2" borderId="59" xfId="15" applyFont="1" applyFill="1" applyBorder="1"/>
    <xf numFmtId="0" fontId="6" fillId="2" borderId="0" xfId="15" applyFont="1" applyFill="1"/>
    <xf numFmtId="0" fontId="11" fillId="2" borderId="68" xfId="0" applyFont="1" applyFill="1" applyBorder="1"/>
    <xf numFmtId="0" fontId="5" fillId="2" borderId="68" xfId="15" applyFont="1" applyFill="1" applyBorder="1"/>
    <xf numFmtId="0" fontId="6" fillId="0" borderId="0" xfId="15" applyFont="1"/>
    <xf numFmtId="0" fontId="107" fillId="2" borderId="68" xfId="15" applyFont="1" applyFill="1" applyBorder="1"/>
    <xf numFmtId="0" fontId="6" fillId="0" borderId="68" xfId="15" applyFont="1" applyBorder="1" applyAlignment="1">
      <alignment horizontal="center"/>
    </xf>
    <xf numFmtId="0" fontId="2" fillId="0" borderId="58" xfId="0" applyFont="1" applyBorder="1"/>
    <xf numFmtId="0" fontId="6" fillId="2" borderId="68" xfId="15" applyFont="1" applyFill="1" applyBorder="1" applyAlignment="1">
      <alignment horizontal="center"/>
    </xf>
    <xf numFmtId="3" fontId="6" fillId="2" borderId="68" xfId="0" applyNumberFormat="1" applyFont="1" applyFill="1" applyBorder="1"/>
    <xf numFmtId="3" fontId="6" fillId="2" borderId="0" xfId="0" applyNumberFormat="1" applyFont="1" applyFill="1"/>
    <xf numFmtId="168" fontId="6" fillId="2" borderId="0" xfId="0" applyNumberFormat="1" applyFont="1" applyFill="1"/>
    <xf numFmtId="0" fontId="7" fillId="7" borderId="0" xfId="0" applyFont="1" applyFill="1"/>
    <xf numFmtId="3" fontId="7" fillId="7" borderId="0" xfId="0" applyNumberFormat="1" applyFont="1" applyFill="1"/>
    <xf numFmtId="0" fontId="11" fillId="0" borderId="0" xfId="0" applyFont="1"/>
    <xf numFmtId="0" fontId="11" fillId="0" borderId="0" xfId="0" applyFont="1" applyAlignment="1">
      <alignment horizontal="justify" vertical="justify" wrapText="1"/>
    </xf>
    <xf numFmtId="0" fontId="11" fillId="0" borderId="0" xfId="0" applyFont="1" applyAlignment="1">
      <alignment horizontal="justify" vertical="justify"/>
    </xf>
    <xf numFmtId="0" fontId="35" fillId="2" borderId="0" xfId="0" applyFont="1" applyFill="1" applyAlignment="1">
      <alignment horizontal="left"/>
    </xf>
    <xf numFmtId="0" fontId="6" fillId="7" borderId="0" xfId="0" applyFont="1" applyFill="1" applyBorder="1"/>
    <xf numFmtId="0" fontId="6" fillId="0" borderId="0" xfId="0" applyFont="1" applyFill="1" applyBorder="1"/>
    <xf numFmtId="14" fontId="21" fillId="0" borderId="0" xfId="0" applyNumberFormat="1" applyFont="1" applyFill="1" applyBorder="1" applyAlignment="1">
      <alignment horizontal="center" vertical="center"/>
    </xf>
    <xf numFmtId="3" fontId="6" fillId="0" borderId="0" xfId="0" applyNumberFormat="1" applyFont="1" applyFill="1" applyBorder="1"/>
    <xf numFmtId="14" fontId="21" fillId="10" borderId="53" xfId="0" applyNumberFormat="1" applyFont="1" applyFill="1" applyBorder="1" applyAlignment="1">
      <alignment horizontal="center" vertical="center"/>
    </xf>
    <xf numFmtId="3" fontId="5" fillId="2" borderId="68" xfId="0" applyNumberFormat="1" applyFont="1" applyFill="1" applyBorder="1"/>
    <xf numFmtId="3" fontId="61" fillId="0" borderId="0" xfId="0" applyNumberFormat="1" applyFont="1" applyFill="1" applyBorder="1" applyAlignment="1">
      <alignment horizontal="right"/>
    </xf>
    <xf numFmtId="3" fontId="5" fillId="0" borderId="0" xfId="0" applyNumberFormat="1" applyFont="1" applyFill="1" applyBorder="1"/>
    <xf numFmtId="0" fontId="2" fillId="0" borderId="70" xfId="0" applyFont="1" applyBorder="1" applyAlignment="1">
      <alignment horizontal="center"/>
    </xf>
    <xf numFmtId="0" fontId="2" fillId="0" borderId="63" xfId="0" applyFont="1" applyBorder="1" applyAlignment="1">
      <alignment horizontal="center"/>
    </xf>
    <xf numFmtId="0" fontId="1" fillId="0" borderId="0" xfId="0" applyFont="1"/>
    <xf numFmtId="0" fontId="1" fillId="2" borderId="0" xfId="0" applyFont="1" applyFill="1" applyAlignment="1">
      <alignment horizontal="left"/>
    </xf>
    <xf numFmtId="14" fontId="41" fillId="10" borderId="49" xfId="3" quotePrefix="1" applyNumberFormat="1" applyFont="1" applyFill="1" applyBorder="1" applyAlignment="1">
      <alignment horizontal="right"/>
    </xf>
    <xf numFmtId="14" fontId="41" fillId="10" borderId="49" xfId="3" quotePrefix="1" applyNumberFormat="1" applyFont="1" applyFill="1" applyBorder="1"/>
    <xf numFmtId="169" fontId="10" fillId="2" borderId="66" xfId="1" applyNumberFormat="1" applyFont="1" applyFill="1" applyBorder="1" applyAlignment="1">
      <alignment horizontal="right"/>
    </xf>
    <xf numFmtId="3" fontId="10" fillId="2" borderId="66" xfId="1" applyNumberFormat="1" applyFont="1" applyFill="1" applyBorder="1" applyAlignment="1">
      <alignment horizontal="right"/>
    </xf>
    <xf numFmtId="173" fontId="11" fillId="0" borderId="0" xfId="1" applyNumberFormat="1" applyFont="1" applyFill="1" applyAlignment="1">
      <alignment horizontal="right"/>
    </xf>
    <xf numFmtId="173" fontId="11" fillId="0" borderId="0" xfId="8" applyNumberFormat="1" applyFont="1" applyFill="1" applyAlignment="1">
      <alignment horizontal="right"/>
    </xf>
    <xf numFmtId="164" fontId="0" fillId="0" borderId="0" xfId="0" applyNumberFormat="1"/>
    <xf numFmtId="3" fontId="57" fillId="0" borderId="0" xfId="0" applyNumberFormat="1" applyFont="1" applyFill="1" applyAlignment="1">
      <alignment horizontal="right"/>
    </xf>
    <xf numFmtId="3" fontId="23" fillId="0" borderId="49" xfId="0" applyNumberFormat="1" applyFont="1" applyFill="1" applyBorder="1" applyAlignment="1">
      <alignment horizontal="right"/>
    </xf>
    <xf numFmtId="14" fontId="10" fillId="2" borderId="0" xfId="4" applyNumberFormat="1" applyFont="1" applyFill="1" applyAlignment="1">
      <alignment horizontal="right"/>
    </xf>
    <xf numFmtId="3" fontId="11" fillId="0" borderId="0" xfId="0" applyNumberFormat="1" applyFont="1" applyAlignment="1">
      <alignment horizontal="right" vertical="center" wrapText="1"/>
    </xf>
    <xf numFmtId="3" fontId="55" fillId="0" borderId="0" xfId="0" applyNumberFormat="1" applyFont="1" applyAlignment="1">
      <alignment horizontal="right" vertical="center" wrapText="1"/>
    </xf>
    <xf numFmtId="3" fontId="10" fillId="2" borderId="0" xfId="4" applyNumberFormat="1" applyFont="1" applyFill="1" applyAlignment="1">
      <alignment horizontal="right"/>
    </xf>
    <xf numFmtId="3" fontId="36" fillId="0" borderId="0" xfId="0" applyNumberFormat="1" applyFont="1" applyAlignment="1">
      <alignment horizontal="right" vertical="center" wrapText="1"/>
    </xf>
    <xf numFmtId="3" fontId="23" fillId="2" borderId="0" xfId="4" applyNumberFormat="1" applyFont="1" applyFill="1" applyAlignment="1">
      <alignment horizontal="right"/>
    </xf>
    <xf numFmtId="167" fontId="10" fillId="2" borderId="50" xfId="6" applyNumberFormat="1" applyFont="1" applyFill="1" applyBorder="1" applyAlignment="1">
      <alignment horizontal="right"/>
    </xf>
    <xf numFmtId="174" fontId="21" fillId="10" borderId="0" xfId="0" applyNumberFormat="1" applyFont="1" applyFill="1" applyAlignment="1">
      <alignment vertical="center"/>
    </xf>
    <xf numFmtId="3" fontId="11" fillId="7" borderId="0" xfId="0" applyNumberFormat="1" applyFont="1" applyFill="1" applyAlignment="1"/>
    <xf numFmtId="3" fontId="10" fillId="2" borderId="50" xfId="6" applyNumberFormat="1" applyFont="1" applyFill="1" applyBorder="1" applyAlignment="1"/>
    <xf numFmtId="0" fontId="108" fillId="0" borderId="0" xfId="0" applyFont="1"/>
    <xf numFmtId="0" fontId="108" fillId="0" borderId="0" xfId="0" applyFont="1" applyAlignment="1"/>
    <xf numFmtId="3" fontId="23" fillId="0" borderId="53" xfId="78" applyNumberFormat="1" applyFont="1" applyFill="1" applyBorder="1" applyAlignment="1"/>
    <xf numFmtId="164" fontId="55" fillId="0" borderId="64" xfId="8" applyFont="1" applyBorder="1" applyAlignment="1">
      <alignment horizontal="center" wrapText="1"/>
    </xf>
    <xf numFmtId="3" fontId="23" fillId="0" borderId="0" xfId="1" applyNumberFormat="1" applyFont="1" applyFill="1" applyBorder="1" applyAlignment="1">
      <alignment horizontal="right"/>
    </xf>
    <xf numFmtId="3" fontId="23" fillId="0" borderId="0" xfId="3" quotePrefix="1" applyNumberFormat="1" applyFont="1" applyFill="1" applyAlignment="1">
      <alignment horizontal="right"/>
    </xf>
    <xf numFmtId="3" fontId="55" fillId="7" borderId="2" xfId="8" applyNumberFormat="1" applyFont="1" applyFill="1" applyBorder="1"/>
    <xf numFmtId="3" fontId="55" fillId="7" borderId="0" xfId="0" applyNumberFormat="1" applyFont="1" applyFill="1" applyBorder="1"/>
    <xf numFmtId="0" fontId="26" fillId="0" borderId="0" xfId="0" applyFont="1" applyAlignment="1">
      <alignment horizontal="justify" vertical="justify" wrapText="1"/>
    </xf>
    <xf numFmtId="3" fontId="61" fillId="7" borderId="49" xfId="8" applyNumberFormat="1" applyFont="1" applyFill="1" applyBorder="1" applyAlignment="1">
      <alignment horizontal="right"/>
    </xf>
    <xf numFmtId="3" fontId="55" fillId="7" borderId="49" xfId="0" applyNumberFormat="1" applyFont="1" applyFill="1" applyBorder="1"/>
    <xf numFmtId="0" fontId="11" fillId="0" borderId="0" xfId="0" applyFont="1"/>
    <xf numFmtId="0" fontId="11" fillId="0" borderId="0" xfId="0" applyFont="1"/>
    <xf numFmtId="0" fontId="11" fillId="0" borderId="0" xfId="0" applyFont="1" applyAlignment="1">
      <alignment horizontal="left" vertical="center"/>
    </xf>
    <xf numFmtId="3" fontId="23" fillId="0" borderId="0" xfId="3" applyNumberFormat="1" applyFont="1" applyFill="1" applyBorder="1" applyAlignment="1">
      <alignment horizontal="right"/>
    </xf>
    <xf numFmtId="3" fontId="23" fillId="0" borderId="0" xfId="3" quotePrefix="1" applyNumberFormat="1" applyFont="1" applyFill="1" applyBorder="1" applyAlignment="1">
      <alignment horizontal="right"/>
    </xf>
    <xf numFmtId="3" fontId="23" fillId="0" borderId="0" xfId="0" applyNumberFormat="1" applyFont="1" applyFill="1" applyBorder="1" applyAlignment="1">
      <alignment horizontal="right" vertical="center"/>
    </xf>
    <xf numFmtId="3" fontId="61" fillId="7" borderId="66" xfId="9" applyNumberFormat="1" applyFont="1" applyFill="1" applyBorder="1" applyAlignment="1">
      <alignment horizontal="right"/>
    </xf>
    <xf numFmtId="3" fontId="61" fillId="7" borderId="66" xfId="0" applyNumberFormat="1" applyFont="1" applyFill="1" applyBorder="1" applyAlignment="1">
      <alignment horizontal="right"/>
    </xf>
    <xf numFmtId="3" fontId="6" fillId="0" borderId="68" xfId="0" applyNumberFormat="1" applyFont="1" applyFill="1" applyBorder="1"/>
    <xf numFmtId="3" fontId="26" fillId="0" borderId="0" xfId="0" applyNumberFormat="1" applyFont="1" applyFill="1" applyAlignment="1">
      <alignment horizontal="right"/>
    </xf>
    <xf numFmtId="0" fontId="65" fillId="0" borderId="0" xfId="0" applyFont="1" applyFill="1" applyAlignment="1">
      <alignment horizontal="center" vertical="center"/>
    </xf>
    <xf numFmtId="0" fontId="11" fillId="0" borderId="0" xfId="0" applyFont="1" applyFill="1" applyAlignment="1">
      <alignment horizontal="right"/>
    </xf>
    <xf numFmtId="0" fontId="11" fillId="0" borderId="0" xfId="0" applyFont="1" applyFill="1"/>
    <xf numFmtId="0" fontId="11" fillId="0" borderId="0" xfId="0" applyFont="1" applyFill="1" applyAlignment="1">
      <alignment wrapText="1"/>
    </xf>
    <xf numFmtId="167" fontId="11" fillId="0" borderId="0" xfId="1" applyNumberFormat="1" applyFont="1" applyFill="1" applyBorder="1"/>
    <xf numFmtId="167" fontId="18" fillId="0" borderId="0" xfId="0" applyNumberFormat="1" applyFont="1" applyFill="1"/>
    <xf numFmtId="167" fontId="6" fillId="0" borderId="0" xfId="0" applyNumberFormat="1" applyFont="1" applyFill="1"/>
    <xf numFmtId="167" fontId="11" fillId="0" borderId="0" xfId="0" applyNumberFormat="1" applyFont="1" applyFill="1"/>
    <xf numFmtId="0" fontId="17" fillId="0" borderId="0" xfId="0" applyFont="1" applyFill="1"/>
    <xf numFmtId="0" fontId="11" fillId="0" borderId="0" xfId="0" applyFont="1" applyFill="1" applyAlignment="1">
      <alignment horizontal="justify" vertical="center"/>
    </xf>
    <xf numFmtId="3" fontId="55" fillId="7" borderId="63" xfId="8" applyNumberFormat="1" applyFont="1" applyFill="1" applyBorder="1"/>
    <xf numFmtId="0" fontId="11" fillId="0" borderId="0" xfId="0" applyFont="1"/>
    <xf numFmtId="169" fontId="26" fillId="0" borderId="0" xfId="86" applyNumberFormat="1" applyFont="1" applyFill="1" applyBorder="1"/>
    <xf numFmtId="3" fontId="26" fillId="0" borderId="0" xfId="9" applyNumberFormat="1" applyFont="1" applyFill="1" applyBorder="1"/>
    <xf numFmtId="0" fontId="11" fillId="0" borderId="0" xfId="0" applyFont="1"/>
    <xf numFmtId="0" fontId="11" fillId="0" borderId="0" xfId="0" applyFont="1"/>
    <xf numFmtId="0" fontId="11" fillId="0" borderId="0" xfId="0" applyFont="1" applyFill="1"/>
    <xf numFmtId="3" fontId="11" fillId="0" borderId="0" xfId="0" applyNumberFormat="1" applyFont="1" applyFill="1" applyAlignment="1">
      <alignment horizontal="center"/>
    </xf>
    <xf numFmtId="0" fontId="11" fillId="0" borderId="0" xfId="0" applyFont="1" applyAlignment="1">
      <alignment horizontal="left" vertical="center"/>
    </xf>
    <xf numFmtId="14" fontId="41" fillId="10" borderId="0" xfId="0" applyNumberFormat="1" applyFont="1" applyFill="1" applyAlignment="1">
      <alignment horizontal="center" vertical="center"/>
    </xf>
    <xf numFmtId="0" fontId="11" fillId="0" borderId="68" xfId="0" applyFont="1" applyBorder="1" applyAlignment="1">
      <alignment horizontal="center" vertical="center" wrapText="1"/>
    </xf>
    <xf numFmtId="3" fontId="11" fillId="7" borderId="68" xfId="0" applyNumberFormat="1" applyFont="1" applyFill="1" applyBorder="1" applyAlignment="1">
      <alignment horizontal="right"/>
    </xf>
    <xf numFmtId="0" fontId="11" fillId="7" borderId="69" xfId="0" applyFont="1" applyFill="1" applyBorder="1"/>
    <xf numFmtId="3" fontId="11" fillId="7" borderId="69" xfId="0" applyNumberFormat="1" applyFont="1" applyFill="1" applyBorder="1" applyAlignment="1">
      <alignment horizontal="right"/>
    </xf>
    <xf numFmtId="3" fontId="55" fillId="7" borderId="53" xfId="0" applyNumberFormat="1" applyFont="1" applyFill="1" applyBorder="1"/>
    <xf numFmtId="0" fontId="11" fillId="7" borderId="68" xfId="0" applyFont="1" applyFill="1" applyBorder="1"/>
    <xf numFmtId="0" fontId="11" fillId="7" borderId="54" xfId="0" applyFont="1" applyFill="1" applyBorder="1" applyAlignment="1">
      <alignment horizontal="center"/>
    </xf>
    <xf numFmtId="0" fontId="11" fillId="7" borderId="68" xfId="0" applyFont="1" applyFill="1" applyBorder="1" applyAlignment="1">
      <alignment horizontal="center"/>
    </xf>
    <xf numFmtId="3" fontId="11" fillId="0" borderId="51" xfId="0" applyNumberFormat="1" applyFont="1" applyBorder="1" applyAlignment="1">
      <alignment wrapText="1"/>
    </xf>
    <xf numFmtId="3" fontId="11" fillId="0" borderId="51" xfId="0" applyNumberFormat="1" applyFont="1" applyFill="1" applyBorder="1" applyAlignment="1">
      <alignment wrapText="1"/>
    </xf>
    <xf numFmtId="3" fontId="11" fillId="0" borderId="54" xfId="0" applyNumberFormat="1" applyFont="1" applyBorder="1" applyAlignment="1">
      <alignment vertical="center" wrapText="1"/>
    </xf>
    <xf numFmtId="3" fontId="11" fillId="0" borderId="69" xfId="0" applyNumberFormat="1" applyFont="1" applyBorder="1" applyAlignment="1">
      <alignment vertical="center" wrapText="1"/>
    </xf>
    <xf numFmtId="3" fontId="11" fillId="0" borderId="68" xfId="0" applyNumberFormat="1" applyFont="1" applyBorder="1" applyAlignment="1">
      <alignment vertical="center" wrapText="1"/>
    </xf>
    <xf numFmtId="169" fontId="23" fillId="2" borderId="0" xfId="77" applyNumberFormat="1" applyFont="1" applyFill="1"/>
    <xf numFmtId="0" fontId="11" fillId="0" borderId="68" xfId="0" applyFont="1" applyFill="1" applyBorder="1" applyAlignment="1">
      <alignment horizontal="center" vertical="center" wrapText="1"/>
    </xf>
    <xf numFmtId="0" fontId="55" fillId="7" borderId="68" xfId="0" applyFont="1" applyFill="1" applyBorder="1" applyAlignment="1">
      <alignment horizontal="center"/>
    </xf>
    <xf numFmtId="3" fontId="11" fillId="7" borderId="49" xfId="0" applyNumberFormat="1" applyFont="1" applyFill="1" applyBorder="1" applyAlignment="1">
      <alignment horizontal="right"/>
    </xf>
    <xf numFmtId="3" fontId="26" fillId="0" borderId="68" xfId="0" applyNumberFormat="1" applyFont="1" applyFill="1" applyBorder="1" applyAlignment="1">
      <alignment horizontal="right"/>
    </xf>
    <xf numFmtId="3" fontId="7" fillId="0" borderId="68" xfId="106" applyNumberFormat="1" applyFont="1" applyFill="1" applyBorder="1"/>
    <xf numFmtId="3" fontId="5" fillId="0" borderId="68" xfId="0" applyNumberFormat="1" applyFont="1" applyFill="1" applyBorder="1"/>
    <xf numFmtId="169" fontId="11" fillId="7" borderId="0" xfId="0" applyNumberFormat="1" applyFont="1" applyFill="1"/>
    <xf numFmtId="3" fontId="11" fillId="0" borderId="9" xfId="0" applyNumberFormat="1" applyFont="1" applyFill="1" applyBorder="1" applyAlignment="1">
      <alignment horizontal="right"/>
    </xf>
    <xf numFmtId="3" fontId="105" fillId="0" borderId="9" xfId="0" applyNumberFormat="1" applyFont="1" applyFill="1" applyBorder="1" applyAlignment="1">
      <alignment horizontal="right"/>
    </xf>
    <xf numFmtId="0" fontId="11" fillId="0" borderId="9" xfId="0" applyFont="1" applyBorder="1" applyAlignment="1">
      <alignment horizontal="left" vertical="center"/>
    </xf>
    <xf numFmtId="3" fontId="41" fillId="0" borderId="9" xfId="0" applyNumberFormat="1" applyFont="1" applyFill="1" applyBorder="1" applyAlignment="1">
      <alignment horizontal="center" vertical="center"/>
    </xf>
    <xf numFmtId="14" fontId="41" fillId="0" borderId="9" xfId="0" applyNumberFormat="1" applyFont="1" applyFill="1" applyBorder="1" applyAlignment="1">
      <alignment horizontal="center" vertical="center"/>
    </xf>
    <xf numFmtId="3" fontId="11" fillId="0" borderId="9" xfId="0" applyNumberFormat="1" applyFont="1" applyFill="1" applyBorder="1" applyAlignment="1">
      <alignment horizontal="center" vertical="center"/>
    </xf>
    <xf numFmtId="3" fontId="11" fillId="0" borderId="9" xfId="0" applyNumberFormat="1" applyFont="1" applyFill="1" applyBorder="1" applyAlignment="1">
      <alignment horizontal="right" vertical="center"/>
    </xf>
    <xf numFmtId="3" fontId="11" fillId="0" borderId="9" xfId="0" applyNumberFormat="1" applyFont="1" applyFill="1" applyBorder="1" applyAlignment="1">
      <alignment horizontal="right" wrapText="1"/>
    </xf>
    <xf numFmtId="3" fontId="11" fillId="0" borderId="9" xfId="0" applyNumberFormat="1" applyFont="1" applyFill="1" applyBorder="1" applyAlignment="1">
      <alignment horizontal="right" vertical="center" wrapText="1"/>
    </xf>
    <xf numFmtId="3" fontId="11" fillId="0" borderId="9" xfId="0" applyNumberFormat="1" applyFont="1" applyFill="1" applyBorder="1"/>
    <xf numFmtId="3" fontId="53" fillId="0" borderId="9" xfId="0" applyNumberFormat="1" applyFont="1" applyFill="1" applyBorder="1" applyAlignment="1">
      <alignment horizontal="right" vertical="center"/>
    </xf>
    <xf numFmtId="3" fontId="11" fillId="0" borderId="53" xfId="0" applyNumberFormat="1" applyFont="1" applyFill="1" applyBorder="1" applyAlignment="1">
      <alignment horizontal="right"/>
    </xf>
    <xf numFmtId="0" fontId="11" fillId="0" borderId="0" xfId="0" applyFont="1" applyFill="1"/>
    <xf numFmtId="173" fontId="11" fillId="0" borderId="0" xfId="0" applyNumberFormat="1" applyFont="1" applyFill="1"/>
    <xf numFmtId="164" fontId="11" fillId="0" borderId="0" xfId="0" applyNumberFormat="1" applyFont="1" applyFill="1"/>
    <xf numFmtId="3" fontId="23" fillId="0" borderId="0" xfId="1" applyNumberFormat="1" applyFont="1" applyFill="1" applyAlignment="1">
      <alignment horizontal="right"/>
    </xf>
    <xf numFmtId="3" fontId="55" fillId="0" borderId="0" xfId="0" applyNumberFormat="1" applyFont="1" applyFill="1"/>
    <xf numFmtId="169" fontId="10" fillId="0" borderId="0" xfId="1" applyNumberFormat="1" applyFont="1" applyFill="1" applyBorder="1"/>
    <xf numFmtId="0" fontId="11" fillId="0" borderId="0" xfId="0" applyFont="1" applyFill="1" applyAlignment="1">
      <alignment horizontal="left" vertical="center"/>
    </xf>
    <xf numFmtId="0" fontId="11" fillId="0" borderId="0" xfId="0" quotePrefix="1" applyFont="1" applyFill="1"/>
    <xf numFmtId="0" fontId="63" fillId="0" borderId="0" xfId="0" applyFont="1" applyFill="1" applyBorder="1"/>
    <xf numFmtId="3" fontId="61" fillId="7" borderId="72" xfId="9" applyNumberFormat="1" applyFont="1" applyFill="1" applyBorder="1" applyAlignment="1">
      <alignment horizontal="right"/>
    </xf>
    <xf numFmtId="3" fontId="61" fillId="7" borderId="72" xfId="0" applyNumberFormat="1" applyFont="1" applyFill="1" applyBorder="1" applyAlignment="1">
      <alignment horizontal="right"/>
    </xf>
    <xf numFmtId="3" fontId="9" fillId="0" borderId="68" xfId="0" applyNumberFormat="1" applyFont="1" applyBorder="1"/>
    <xf numFmtId="0" fontId="11" fillId="0" borderId="0" xfId="0" applyFont="1" applyFill="1"/>
    <xf numFmtId="3" fontId="55" fillId="0" borderId="53" xfId="0" applyNumberFormat="1" applyFont="1" applyFill="1" applyBorder="1"/>
    <xf numFmtId="0" fontId="11" fillId="0" borderId="0" xfId="0" applyFont="1"/>
    <xf numFmtId="0" fontId="11" fillId="0" borderId="0" xfId="0" applyFont="1"/>
    <xf numFmtId="14" fontId="10" fillId="2" borderId="0" xfId="4" applyNumberFormat="1" applyFont="1" applyFill="1" applyAlignment="1"/>
    <xf numFmtId="3" fontId="11" fillId="0" borderId="0" xfId="0" applyNumberFormat="1" applyFont="1" applyAlignment="1">
      <alignment vertical="center"/>
    </xf>
    <xf numFmtId="3" fontId="11" fillId="0" borderId="0" xfId="0" applyNumberFormat="1" applyFont="1" applyAlignment="1"/>
    <xf numFmtId="3" fontId="11" fillId="0" borderId="0" xfId="0" applyNumberFormat="1" applyFont="1" applyAlignment="1">
      <alignment vertical="center" wrapText="1"/>
    </xf>
    <xf numFmtId="3" fontId="10" fillId="2" borderId="0" xfId="4" applyNumberFormat="1" applyFont="1" applyFill="1" applyAlignment="1"/>
    <xf numFmtId="3" fontId="23" fillId="2" borderId="0" xfId="4" applyNumberFormat="1" applyFont="1" applyFill="1" applyAlignment="1"/>
    <xf numFmtId="167" fontId="10" fillId="2" borderId="50" xfId="6" applyNumberFormat="1" applyFont="1" applyFill="1" applyBorder="1" applyAlignment="1"/>
    <xf numFmtId="3" fontId="26" fillId="7" borderId="0" xfId="0" applyNumberFormat="1" applyFont="1" applyFill="1" applyAlignment="1">
      <alignment horizontal="right"/>
    </xf>
    <xf numFmtId="3" fontId="23" fillId="0" borderId="49" xfId="0" applyNumberFormat="1" applyFont="1" applyBorder="1"/>
    <xf numFmtId="3" fontId="11" fillId="0" borderId="0" xfId="101" applyNumberFormat="1" applyFont="1"/>
    <xf numFmtId="3" fontId="11" fillId="0" borderId="9" xfId="0" applyNumberFormat="1" applyFont="1" applyBorder="1" applyAlignment="1">
      <alignment horizontal="right" vertical="center"/>
    </xf>
    <xf numFmtId="3" fontId="11" fillId="0" borderId="9" xfId="0" applyNumberFormat="1" applyFont="1" applyBorder="1"/>
    <xf numFmtId="1" fontId="23" fillId="0" borderId="9" xfId="0" applyNumberFormat="1" applyFont="1" applyBorder="1" applyAlignment="1">
      <alignment vertical="center"/>
    </xf>
    <xf numFmtId="3" fontId="11" fillId="0" borderId="9" xfId="0" applyNumberFormat="1" applyFont="1" applyBorder="1" applyAlignment="1">
      <alignment horizontal="right"/>
    </xf>
    <xf numFmtId="3" fontId="105" fillId="0" borderId="9" xfId="0" applyNumberFormat="1" applyFont="1" applyBorder="1" applyAlignment="1">
      <alignment horizontal="right"/>
    </xf>
    <xf numFmtId="3" fontId="11" fillId="0" borderId="7" xfId="0" applyNumberFormat="1" applyFont="1" applyFill="1" applyBorder="1" applyAlignment="1">
      <alignment horizontal="right"/>
    </xf>
    <xf numFmtId="3" fontId="0" fillId="0" borderId="7" xfId="0" applyNumberFormat="1" applyFont="1" applyFill="1" applyBorder="1" applyAlignment="1">
      <alignment horizontal="right"/>
    </xf>
    <xf numFmtId="3" fontId="11" fillId="0" borderId="73" xfId="0" applyNumberFormat="1" applyFont="1" applyFill="1" applyBorder="1" applyAlignment="1">
      <alignment horizontal="right"/>
    </xf>
    <xf numFmtId="3" fontId="55" fillId="0" borderId="71" xfId="0" applyNumberFormat="1" applyFont="1" applyFill="1" applyBorder="1" applyAlignment="1">
      <alignment horizontal="right"/>
    </xf>
    <xf numFmtId="3" fontId="55" fillId="0" borderId="68" xfId="0" applyNumberFormat="1" applyFont="1" applyFill="1" applyBorder="1" applyAlignment="1">
      <alignment horizontal="right"/>
    </xf>
    <xf numFmtId="0" fontId="6" fillId="12" borderId="68" xfId="0" applyFont="1" applyFill="1" applyBorder="1"/>
    <xf numFmtId="3" fontId="6" fillId="12" borderId="68" xfId="0" applyNumberFormat="1" applyFont="1" applyFill="1" applyBorder="1"/>
    <xf numFmtId="0" fontId="41" fillId="0" borderId="0" xfId="0" applyFont="1" applyFill="1" applyBorder="1" applyAlignment="1">
      <alignment vertical="center"/>
    </xf>
    <xf numFmtId="0" fontId="55" fillId="0" borderId="0" xfId="0" applyFont="1" applyFill="1" applyBorder="1"/>
    <xf numFmtId="3" fontId="10" fillId="0" borderId="0" xfId="1" applyNumberFormat="1" applyFont="1" applyFill="1" applyBorder="1"/>
    <xf numFmtId="0" fontId="10" fillId="0" borderId="0" xfId="3" applyFont="1" applyFill="1" applyBorder="1" applyAlignment="1">
      <alignment horizontal="left"/>
    </xf>
    <xf numFmtId="169" fontId="23" fillId="0" borderId="0" xfId="1" applyNumberFormat="1" applyFont="1" applyFill="1" applyBorder="1"/>
    <xf numFmtId="3" fontId="23" fillId="0" borderId="0" xfId="1" applyNumberFormat="1" applyFont="1" applyFill="1" applyBorder="1"/>
    <xf numFmtId="0" fontId="11" fillId="0" borderId="0" xfId="0" applyFont="1"/>
    <xf numFmtId="0" fontId="11" fillId="0" borderId="0" xfId="0" applyFont="1" applyFill="1"/>
    <xf numFmtId="3" fontId="55" fillId="2" borderId="74" xfId="0" applyNumberFormat="1" applyFont="1" applyFill="1" applyBorder="1"/>
    <xf numFmtId="0" fontId="11" fillId="0" borderId="0" xfId="0" applyFont="1"/>
    <xf numFmtId="3" fontId="11" fillId="0" borderId="0" xfId="1" applyNumberFormat="1" applyFont="1"/>
    <xf numFmtId="3" fontId="10" fillId="0" borderId="0" xfId="0" applyNumberFormat="1" applyFont="1"/>
    <xf numFmtId="3" fontId="14" fillId="0" borderId="0" xfId="0" applyNumberFormat="1" applyFont="1" applyAlignment="1">
      <alignment horizontal="center"/>
    </xf>
    <xf numFmtId="3" fontId="11" fillId="0" borderId="0" xfId="0" applyNumberFormat="1" applyFont="1" applyAlignment="1">
      <alignment horizontal="center"/>
    </xf>
    <xf numFmtId="3" fontId="41" fillId="10" borderId="0" xfId="1" applyNumberFormat="1" applyFont="1" applyFill="1" applyBorder="1"/>
    <xf numFmtId="3" fontId="11" fillId="0" borderId="0" xfId="1" applyNumberFormat="1" applyFont="1" applyFill="1"/>
    <xf numFmtId="3" fontId="41" fillId="10" borderId="0" xfId="1" applyNumberFormat="1" applyFont="1" applyFill="1" applyBorder="1" applyAlignment="1">
      <alignment vertical="center"/>
    </xf>
    <xf numFmtId="3" fontId="41" fillId="0" borderId="0" xfId="1" applyNumberFormat="1" applyFont="1" applyFill="1" applyBorder="1" applyAlignment="1">
      <alignment vertical="center"/>
    </xf>
    <xf numFmtId="3" fontId="10" fillId="0" borderId="0" xfId="1" applyNumberFormat="1" applyFont="1"/>
    <xf numFmtId="3" fontId="19" fillId="0" borderId="0" xfId="1" applyNumberFormat="1" applyFont="1"/>
    <xf numFmtId="3" fontId="18" fillId="0" borderId="0" xfId="1" applyNumberFormat="1" applyFont="1"/>
    <xf numFmtId="3" fontId="6" fillId="0" borderId="0" xfId="1" applyNumberFormat="1" applyFont="1"/>
    <xf numFmtId="0" fontId="109" fillId="0" borderId="0" xfId="0" applyFont="1" applyBorder="1"/>
    <xf numFmtId="3" fontId="11" fillId="0" borderId="0" xfId="0" applyNumberFormat="1" applyFont="1" applyFill="1" applyAlignment="1">
      <alignment horizontal="right" vertical="top" wrapText="1"/>
    </xf>
    <xf numFmtId="0" fontId="6" fillId="0" borderId="68" xfId="0" applyFont="1" applyFill="1" applyBorder="1"/>
    <xf numFmtId="0" fontId="18" fillId="0" borderId="0" xfId="0" applyFont="1" applyFill="1"/>
    <xf numFmtId="0" fontId="6" fillId="0" borderId="68" xfId="15" applyFont="1" applyFill="1" applyBorder="1"/>
    <xf numFmtId="0" fontId="11" fillId="0" borderId="68" xfId="0" applyFont="1" applyFill="1" applyBorder="1"/>
    <xf numFmtId="0" fontId="7" fillId="0" borderId="68" xfId="15" applyFont="1" applyFill="1" applyBorder="1"/>
    <xf numFmtId="9" fontId="6" fillId="0" borderId="57" xfId="150" applyFont="1" applyFill="1" applyBorder="1"/>
    <xf numFmtId="0" fontId="80" fillId="0" borderId="47"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3" fillId="0" borderId="42" xfId="0" applyFont="1" applyFill="1" applyBorder="1" applyAlignment="1">
      <alignment horizontal="center" wrapText="1"/>
    </xf>
    <xf numFmtId="0" fontId="81" fillId="0" borderId="42" xfId="0" applyFont="1" applyFill="1" applyBorder="1" applyAlignment="1">
      <alignment horizontal="center" wrapText="1"/>
    </xf>
    <xf numFmtId="0" fontId="82" fillId="0" borderId="42" xfId="0" applyFont="1" applyFill="1" applyBorder="1" applyAlignment="1">
      <alignment horizontal="center" vertical="center" wrapText="1"/>
    </xf>
    <xf numFmtId="0" fontId="81" fillId="0" borderId="42"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5" fillId="0" borderId="44" xfId="0" applyFont="1" applyFill="1" applyBorder="1" applyAlignment="1">
      <alignment vertical="center" wrapText="1"/>
    </xf>
    <xf numFmtId="0" fontId="13" fillId="0" borderId="0" xfId="0" applyFont="1" applyAlignment="1">
      <alignment horizontal="left" vertical="top" wrapText="1"/>
    </xf>
    <xf numFmtId="0" fontId="13" fillId="0" borderId="0" xfId="0" applyFont="1" applyAlignment="1">
      <alignment horizontal="left" vertical="top"/>
    </xf>
    <xf numFmtId="0" fontId="13" fillId="0" borderId="0" xfId="0" applyFont="1" applyFill="1" applyAlignment="1">
      <alignment horizontal="left" vertical="top" wrapText="1"/>
    </xf>
    <xf numFmtId="3" fontId="55" fillId="7" borderId="75" xfId="0" applyNumberFormat="1" applyFont="1" applyFill="1" applyBorder="1"/>
    <xf numFmtId="0" fontId="23" fillId="0" borderId="0" xfId="0" applyFont="1" applyAlignment="1"/>
    <xf numFmtId="167" fontId="55" fillId="0" borderId="0" xfId="1" applyNumberFormat="1" applyFont="1" applyFill="1" applyAlignment="1">
      <alignment horizontal="center"/>
    </xf>
    <xf numFmtId="0" fontId="10" fillId="0" borderId="0" xfId="0" applyFont="1" applyAlignment="1">
      <alignment horizontal="left" vertical="center"/>
    </xf>
    <xf numFmtId="0" fontId="41" fillId="10" borderId="0" xfId="0" applyFont="1" applyFill="1" applyAlignment="1">
      <alignment horizontal="left" vertical="center"/>
    </xf>
    <xf numFmtId="167" fontId="11" fillId="0" borderId="0" xfId="1" applyNumberFormat="1" applyFont="1" applyFill="1" applyAlignment="1">
      <alignment horizontal="center"/>
    </xf>
    <xf numFmtId="0" fontId="41" fillId="10" borderId="0" xfId="0" applyFont="1" applyFill="1" applyAlignment="1">
      <alignment horizontal="left"/>
    </xf>
    <xf numFmtId="0" fontId="11" fillId="0" borderId="0" xfId="0" applyFont="1"/>
    <xf numFmtId="0" fontId="10" fillId="0" borderId="0" xfId="0" applyFont="1" applyAlignment="1">
      <alignment horizontal="left"/>
    </xf>
    <xf numFmtId="0" fontId="11" fillId="0" borderId="0" xfId="0" applyFont="1" applyAlignment="1">
      <alignment horizontal="left"/>
    </xf>
    <xf numFmtId="0" fontId="55" fillId="0" borderId="0" xfId="0" applyFont="1" applyAlignment="1">
      <alignment horizontal="left"/>
    </xf>
    <xf numFmtId="0" fontId="11" fillId="0" borderId="0" xfId="0" applyFont="1" applyFill="1"/>
    <xf numFmtId="167" fontId="41" fillId="10" borderId="0" xfId="1" applyNumberFormat="1" applyFont="1" applyFill="1" applyBorder="1" applyAlignment="1">
      <alignment horizontal="center" vertical="center" wrapText="1"/>
    </xf>
    <xf numFmtId="3" fontId="41" fillId="10" borderId="0" xfId="1" applyNumberFormat="1" applyFont="1" applyFill="1" applyAlignment="1">
      <alignment horizontal="center" vertical="center" wrapText="1"/>
    </xf>
    <xf numFmtId="3" fontId="41" fillId="10" borderId="49" xfId="1" applyNumberFormat="1" applyFont="1" applyFill="1" applyBorder="1" applyAlignment="1">
      <alignment horizontal="center" vertical="center" wrapText="1"/>
    </xf>
    <xf numFmtId="0" fontId="41" fillId="0" borderId="0" xfId="0" applyFont="1" applyAlignment="1">
      <alignment horizontal="center" vertical="center" wrapText="1"/>
    </xf>
    <xf numFmtId="0" fontId="11" fillId="0" borderId="0" xfId="0" applyFont="1" applyAlignment="1">
      <alignment horizontal="center"/>
    </xf>
    <xf numFmtId="0" fontId="41" fillId="10" borderId="0" xfId="0" applyFont="1" applyFill="1" applyAlignment="1">
      <alignment horizontal="center" vertical="center" wrapText="1"/>
    </xf>
    <xf numFmtId="167" fontId="41" fillId="10" borderId="0" xfId="1" applyNumberFormat="1" applyFont="1" applyFill="1" applyAlignment="1">
      <alignment horizontal="center" vertical="center" wrapText="1"/>
    </xf>
    <xf numFmtId="167" fontId="41" fillId="10" borderId="49" xfId="1" applyNumberFormat="1" applyFont="1" applyFill="1" applyBorder="1" applyAlignment="1">
      <alignment horizontal="center" vertical="center" wrapText="1"/>
    </xf>
    <xf numFmtId="0" fontId="21" fillId="10" borderId="0" xfId="0" applyFont="1" applyFill="1" applyAlignment="1">
      <alignment horizontal="left"/>
    </xf>
    <xf numFmtId="167" fontId="21" fillId="0" borderId="0" xfId="1" applyNumberFormat="1" applyFont="1" applyFill="1" applyBorder="1" applyAlignment="1">
      <alignment horizontal="center" vertical="center" wrapText="1"/>
    </xf>
    <xf numFmtId="0" fontId="12" fillId="0" borderId="0" xfId="0" applyFont="1" applyFill="1" applyAlignment="1">
      <alignment horizontal="center"/>
    </xf>
    <xf numFmtId="0" fontId="20" fillId="0" borderId="0" xfId="0" applyFont="1" applyFill="1" applyAlignment="1">
      <alignment horizontal="center"/>
    </xf>
    <xf numFmtId="3" fontId="11" fillId="0" borderId="0" xfId="0" applyNumberFormat="1" applyFont="1" applyFill="1" applyAlignment="1">
      <alignment horizontal="center"/>
    </xf>
    <xf numFmtId="0" fontId="10" fillId="0" borderId="0" xfId="0" applyFont="1" applyFill="1" applyAlignment="1">
      <alignment horizontal="center"/>
    </xf>
    <xf numFmtId="0" fontId="6" fillId="3" borderId="0" xfId="0" applyFont="1" applyFill="1" applyAlignment="1">
      <alignment horizontal="center"/>
    </xf>
    <xf numFmtId="0" fontId="12" fillId="0" borderId="0" xfId="0" applyFont="1" applyAlignment="1">
      <alignment horizontal="center"/>
    </xf>
    <xf numFmtId="0" fontId="20" fillId="0" borderId="0" xfId="0" applyFont="1" applyAlignment="1">
      <alignment horizontal="center"/>
    </xf>
    <xf numFmtId="0" fontId="10" fillId="0" borderId="0" xfId="0" applyFont="1" applyAlignment="1">
      <alignment horizontal="center"/>
    </xf>
    <xf numFmtId="0" fontId="7" fillId="0" borderId="0" xfId="0" applyFont="1" applyAlignment="1">
      <alignment horizontal="center"/>
    </xf>
    <xf numFmtId="0" fontId="5" fillId="2" borderId="0" xfId="0" applyFont="1" applyFill="1" applyAlignment="1">
      <alignment horizontal="left" vertical="center"/>
    </xf>
    <xf numFmtId="0" fontId="11" fillId="0" borderId="0" xfId="0" applyFont="1" applyAlignment="1">
      <alignment horizontal="justify" vertical="justify" wrapText="1"/>
    </xf>
    <xf numFmtId="0" fontId="11" fillId="0" borderId="0" xfId="0" applyFont="1" applyAlignment="1">
      <alignment horizontal="left" vertical="justify" wrapText="1"/>
    </xf>
    <xf numFmtId="0" fontId="55" fillId="0" borderId="0" xfId="0" applyFont="1" applyAlignment="1">
      <alignment horizontal="left" vertical="justify" wrapText="1"/>
    </xf>
    <xf numFmtId="0" fontId="26" fillId="0" borderId="0" xfId="0" applyFont="1" applyAlignment="1">
      <alignment horizontal="justify" vertical="top" wrapText="1"/>
    </xf>
    <xf numFmtId="0" fontId="26" fillId="0" borderId="0" xfId="0" applyFont="1" applyFill="1" applyAlignment="1">
      <alignment horizontal="left" vertical="top" wrapText="1"/>
    </xf>
    <xf numFmtId="0" fontId="11" fillId="0" borderId="0" xfId="0" applyFont="1" applyAlignment="1">
      <alignment horizontal="left" wrapText="1"/>
    </xf>
    <xf numFmtId="0" fontId="10" fillId="0" borderId="0" xfId="0" applyFont="1" applyAlignment="1">
      <alignment horizontal="left" vertical="justify" wrapText="1"/>
    </xf>
    <xf numFmtId="0" fontId="26" fillId="0" borderId="0" xfId="0" applyFont="1" applyAlignment="1">
      <alignment horizontal="left" vertical="top" wrapText="1"/>
    </xf>
    <xf numFmtId="0" fontId="11" fillId="0" borderId="0" xfId="0" applyFont="1" applyAlignment="1">
      <alignment horizontal="justify" vertical="justify"/>
    </xf>
    <xf numFmtId="0" fontId="11" fillId="0" borderId="0" xfId="0" applyFont="1" applyAlignment="1">
      <alignment horizontal="left" vertical="top" wrapText="1"/>
    </xf>
    <xf numFmtId="0" fontId="11" fillId="0" borderId="0" xfId="0" applyFont="1" applyFill="1" applyAlignment="1">
      <alignment horizontal="justify" vertical="justify" wrapText="1"/>
    </xf>
    <xf numFmtId="0" fontId="26" fillId="0" borderId="0" xfId="0" applyFont="1" applyAlignment="1">
      <alignment horizontal="left" vertical="center" wrapText="1"/>
    </xf>
    <xf numFmtId="0" fontId="23" fillId="0" borderId="0" xfId="0" applyFont="1" applyAlignment="1">
      <alignment horizontal="left" vertical="justify" wrapText="1"/>
    </xf>
    <xf numFmtId="0" fontId="11" fillId="2" borderId="0" xfId="0" applyFont="1" applyFill="1" applyAlignment="1">
      <alignment horizontal="center"/>
    </xf>
    <xf numFmtId="0" fontId="11" fillId="2" borderId="0" xfId="0" applyFont="1" applyFill="1" applyAlignment="1">
      <alignment horizontal="left"/>
    </xf>
    <xf numFmtId="168" fontId="11" fillId="0" borderId="0" xfId="0" applyNumberFormat="1" applyFont="1" applyFill="1" applyBorder="1" applyAlignment="1">
      <alignment horizontal="center"/>
    </xf>
    <xf numFmtId="0" fontId="11" fillId="0" borderId="0" xfId="0" applyFont="1" applyFill="1" applyBorder="1" applyAlignment="1">
      <alignment horizontal="center"/>
    </xf>
    <xf numFmtId="0" fontId="11" fillId="2" borderId="0" xfId="0" applyFont="1" applyFill="1" applyBorder="1" applyAlignment="1">
      <alignment horizontal="center"/>
    </xf>
    <xf numFmtId="0" fontId="11" fillId="0" borderId="0" xfId="0" applyFont="1" applyAlignment="1">
      <alignment horizontal="left" vertical="center"/>
    </xf>
    <xf numFmtId="0" fontId="25" fillId="11" borderId="60" xfId="77" applyFont="1" applyFill="1" applyBorder="1" applyAlignment="1">
      <alignment horizontal="left" vertical="center"/>
    </xf>
    <xf numFmtId="0" fontId="25" fillId="11" borderId="59" xfId="77" applyFont="1" applyFill="1" applyBorder="1" applyAlignment="1">
      <alignment horizontal="left" vertical="center"/>
    </xf>
    <xf numFmtId="0" fontId="25" fillId="11" borderId="61" xfId="77" applyFont="1" applyFill="1" applyBorder="1" applyAlignment="1">
      <alignment horizontal="left" vertical="center"/>
    </xf>
    <xf numFmtId="3" fontId="10" fillId="0" borderId="0" xfId="0" applyNumberFormat="1" applyFont="1" applyAlignment="1">
      <alignment horizontal="center"/>
    </xf>
    <xf numFmtId="0" fontId="25" fillId="0" borderId="0" xfId="77" applyFont="1" applyAlignment="1">
      <alignment horizontal="left" vertical="center"/>
    </xf>
    <xf numFmtId="0" fontId="5" fillId="0" borderId="0" xfId="0" applyFont="1" applyAlignment="1">
      <alignment horizontal="left"/>
    </xf>
    <xf numFmtId="0" fontId="55" fillId="2" borderId="0" xfId="0" applyFont="1" applyFill="1" applyAlignment="1">
      <alignment horizontal="left"/>
    </xf>
    <xf numFmtId="0" fontId="35" fillId="2" borderId="0" xfId="0" applyFont="1" applyFill="1" applyAlignment="1">
      <alignment horizontal="center"/>
    </xf>
    <xf numFmtId="0" fontId="11" fillId="2" borderId="0" xfId="0" applyFont="1" applyFill="1" applyBorder="1" applyAlignment="1">
      <alignment horizontal="left"/>
    </xf>
    <xf numFmtId="0" fontId="35" fillId="2" borderId="0" xfId="0" applyFont="1" applyFill="1" applyAlignment="1">
      <alignment horizontal="left"/>
    </xf>
    <xf numFmtId="0" fontId="0" fillId="0" borderId="0" xfId="0" applyFill="1" applyBorder="1" applyAlignment="1">
      <alignment horizontal="center"/>
    </xf>
    <xf numFmtId="0" fontId="33" fillId="7" borderId="0" xfId="0" applyFont="1" applyFill="1" applyAlignment="1">
      <alignment horizontal="left" wrapText="1"/>
    </xf>
    <xf numFmtId="0" fontId="10" fillId="0" borderId="31" xfId="0" applyFont="1" applyBorder="1" applyAlignment="1">
      <alignment horizontal="center" vertical="center" wrapText="1"/>
    </xf>
    <xf numFmtId="0" fontId="23" fillId="0" borderId="30" xfId="0" applyFont="1" applyBorder="1" applyAlignment="1">
      <alignment horizontal="center" vertical="center" wrapText="1"/>
    </xf>
    <xf numFmtId="9" fontId="26" fillId="7" borderId="0" xfId="9" applyFont="1" applyFill="1" applyBorder="1" applyAlignment="1">
      <alignment horizontal="center"/>
    </xf>
    <xf numFmtId="0" fontId="21" fillId="10" borderId="0" xfId="0" applyFont="1" applyFill="1" applyBorder="1" applyAlignment="1">
      <alignment horizontal="left"/>
    </xf>
    <xf numFmtId="0" fontId="41" fillId="10" borderId="0" xfId="0" applyFont="1" applyFill="1" applyBorder="1" applyAlignment="1">
      <alignment horizontal="left"/>
    </xf>
    <xf numFmtId="9" fontId="26" fillId="7" borderId="0" xfId="9" applyFont="1" applyFill="1" applyBorder="1" applyAlignment="1">
      <alignment horizontal="left"/>
    </xf>
    <xf numFmtId="9" fontId="9" fillId="7" borderId="0" xfId="9" applyFont="1" applyFill="1" applyBorder="1" applyAlignment="1">
      <alignment horizontal="center"/>
    </xf>
    <xf numFmtId="9" fontId="26" fillId="7" borderId="0" xfId="9" applyFont="1" applyFill="1" applyBorder="1" applyAlignment="1">
      <alignment horizontal="right"/>
    </xf>
    <xf numFmtId="0" fontId="61" fillId="7" borderId="0" xfId="0" applyFont="1" applyFill="1" applyBorder="1" applyAlignment="1">
      <alignment horizontal="left"/>
    </xf>
    <xf numFmtId="0" fontId="23" fillId="7" borderId="0" xfId="0" applyFont="1" applyFill="1" applyAlignment="1">
      <alignment horizontal="left"/>
    </xf>
    <xf numFmtId="0" fontId="7" fillId="0" borderId="0" xfId="0" applyFont="1" applyAlignment="1">
      <alignment horizontal="justify" vertical="justify" wrapText="1"/>
    </xf>
    <xf numFmtId="0" fontId="7" fillId="0" borderId="0" xfId="0" applyFont="1" applyAlignment="1">
      <alignment horizontal="left" wrapText="1"/>
    </xf>
    <xf numFmtId="0" fontId="23" fillId="0" borderId="0" xfId="0" applyFont="1" applyFill="1" applyAlignment="1">
      <alignment horizontal="left" vertical="center" wrapText="1"/>
    </xf>
    <xf numFmtId="0" fontId="23" fillId="7" borderId="0" xfId="0" applyFont="1" applyFill="1" applyAlignment="1">
      <alignment horizontal="left" wrapText="1"/>
    </xf>
    <xf numFmtId="0" fontId="23" fillId="7" borderId="0" xfId="0" applyFont="1" applyFill="1" applyAlignment="1">
      <alignment horizontal="left" vertical="center" wrapText="1"/>
    </xf>
    <xf numFmtId="0" fontId="11" fillId="0" borderId="0" xfId="0" applyFont="1" applyAlignment="1">
      <alignment horizontal="left" vertical="center" wrapText="1"/>
    </xf>
    <xf numFmtId="0" fontId="11" fillId="7" borderId="0" xfId="0" applyFont="1" applyFill="1" applyAlignment="1">
      <alignment horizontal="left" vertical="center" wrapText="1"/>
    </xf>
    <xf numFmtId="0" fontId="30" fillId="7" borderId="0" xfId="0" applyFont="1" applyFill="1" applyAlignment="1">
      <alignment horizontal="left" wrapText="1"/>
    </xf>
    <xf numFmtId="0" fontId="64" fillId="0" borderId="0" xfId="0" applyFont="1" applyAlignment="1">
      <alignment horizontal="left" wrapText="1"/>
    </xf>
  </cellXfs>
  <cellStyles count="151">
    <cellStyle name="          _x000d__x000a_386grabber=VGA.3GR_x000d__x000a_ 3" xfId="139" xr:uid="{00000000-0005-0000-0000-000000000000}"/>
    <cellStyle name="Comma 4 2" xfId="74" xr:uid="{00000000-0005-0000-0000-000001000000}"/>
    <cellStyle name="Comma 4 2 2" xfId="92" xr:uid="{00000000-0005-0000-0000-000002000000}"/>
    <cellStyle name="Comma 4 2 2 2" xfId="123" xr:uid="{00000000-0005-0000-0000-000003000000}"/>
    <cellStyle name="Comma 4 2 3" xfId="111" xr:uid="{00000000-0005-0000-0000-000004000000}"/>
    <cellStyle name="Excel Built-in Normal" xfId="100" xr:uid="{00000000-0005-0000-0000-000005000000}"/>
    <cellStyle name="Hipervínculo" xfId="13" builtinId="8"/>
    <cellStyle name="Hipervínculo 2" xfId="140" xr:uid="{00000000-0005-0000-0000-000007000000}"/>
    <cellStyle name="Millares" xfId="1" builtinId="3"/>
    <cellStyle name="Millares [0]" xfId="8" builtinId="6"/>
    <cellStyle name="Millares [0] 2" xfId="119" xr:uid="{00000000-0005-0000-0000-00000A000000}"/>
    <cellStyle name="Millares [0] 3" xfId="81" xr:uid="{00000000-0005-0000-0000-00000B000000}"/>
    <cellStyle name="Millares [0] 3 2" xfId="95" xr:uid="{00000000-0005-0000-0000-00000C000000}"/>
    <cellStyle name="Millares [0] 3 3" xfId="103" xr:uid="{00000000-0005-0000-0000-00000D000000}"/>
    <cellStyle name="Millares [0] 3 4" xfId="105" xr:uid="{00000000-0005-0000-0000-00000E000000}"/>
    <cellStyle name="Millares [0] 3 5" xfId="149" xr:uid="{00000000-0005-0000-0000-00000F000000}"/>
    <cellStyle name="Millares [0] 4" xfId="141" xr:uid="{00000000-0005-0000-0000-000010000000}"/>
    <cellStyle name="Millares [0] 5" xfId="108" xr:uid="{00000000-0005-0000-0000-000011000000}"/>
    <cellStyle name="Millares [0] 5 2" xfId="138" xr:uid="{00000000-0005-0000-0000-000012000000}"/>
    <cellStyle name="Millares [0] 8" xfId="146" xr:uid="{00000000-0005-0000-0000-000013000000}"/>
    <cellStyle name="Millares 100 11" xfId="11" xr:uid="{00000000-0005-0000-0000-000014000000}"/>
    <cellStyle name="Millares 100 11 2" xfId="91" xr:uid="{00000000-0005-0000-0000-000015000000}"/>
    <cellStyle name="Millares 100 11 2 2" xfId="121" xr:uid="{00000000-0005-0000-0000-000016000000}"/>
    <cellStyle name="Millares 100 11 3" xfId="110" xr:uid="{00000000-0005-0000-0000-000017000000}"/>
    <cellStyle name="Millares 17" xfId="142" xr:uid="{00000000-0005-0000-0000-000018000000}"/>
    <cellStyle name="Millares 174 2" xfId="86" xr:uid="{00000000-0005-0000-0000-000019000000}"/>
    <cellStyle name="Millares 174 2 2" xfId="98" xr:uid="{00000000-0005-0000-0000-00001A000000}"/>
    <cellStyle name="Millares 174 2 2 2" xfId="127" xr:uid="{00000000-0005-0000-0000-00001B000000}"/>
    <cellStyle name="Millares 174 2 3" xfId="115" xr:uid="{00000000-0005-0000-0000-00001C000000}"/>
    <cellStyle name="Millares 18" xfId="147" xr:uid="{00000000-0005-0000-0000-00001D000000}"/>
    <cellStyle name="Millares 2" xfId="6" xr:uid="{00000000-0005-0000-0000-00001E000000}"/>
    <cellStyle name="Millares 2 2" xfId="85" xr:uid="{00000000-0005-0000-0000-00001F000000}"/>
    <cellStyle name="Millares 2 2 2" xfId="97" xr:uid="{00000000-0005-0000-0000-000020000000}"/>
    <cellStyle name="Millares 2 2 2 2" xfId="126" xr:uid="{00000000-0005-0000-0000-000021000000}"/>
    <cellStyle name="Millares 2 2 3" xfId="114" xr:uid="{00000000-0005-0000-0000-000022000000}"/>
    <cellStyle name="Millares 2 3" xfId="90" xr:uid="{00000000-0005-0000-0000-000023000000}"/>
    <cellStyle name="Millares 2 3 2" xfId="118" xr:uid="{00000000-0005-0000-0000-000024000000}"/>
    <cellStyle name="Millares 2 4" xfId="143" xr:uid="{00000000-0005-0000-0000-000025000000}"/>
    <cellStyle name="Millares 2 5" xfId="107" xr:uid="{00000000-0005-0000-0000-000026000000}"/>
    <cellStyle name="Millares 212" xfId="10" xr:uid="{00000000-0005-0000-0000-000027000000}"/>
    <cellStyle name="Millares 212 2" xfId="120" xr:uid="{00000000-0005-0000-0000-000028000000}"/>
    <cellStyle name="Millares 212 3" xfId="109" xr:uid="{00000000-0005-0000-0000-000029000000}"/>
    <cellStyle name="Millares 3" xfId="117" xr:uid="{00000000-0005-0000-0000-00002A000000}"/>
    <cellStyle name="Millares 3 11" xfId="78" xr:uid="{00000000-0005-0000-0000-00002B000000}"/>
    <cellStyle name="Millares 3 11 2" xfId="93" xr:uid="{00000000-0005-0000-0000-00002C000000}"/>
    <cellStyle name="Millares 3 11 2 2" xfId="124" xr:uid="{00000000-0005-0000-0000-00002D000000}"/>
    <cellStyle name="Millares 3 11 3" xfId="112" xr:uid="{00000000-0005-0000-0000-00002E000000}"/>
    <cellStyle name="Millares 4" xfId="122" xr:uid="{00000000-0005-0000-0000-00002F000000}"/>
    <cellStyle name="Millares 5" xfId="106" xr:uid="{00000000-0005-0000-0000-000030000000}"/>
    <cellStyle name="Millares 654 2 2" xfId="79" xr:uid="{00000000-0005-0000-0000-000031000000}"/>
    <cellStyle name="Millares 654 2 2 2" xfId="94" xr:uid="{00000000-0005-0000-0000-000032000000}"/>
    <cellStyle name="Millares 654 2 2 3" xfId="102" xr:uid="{00000000-0005-0000-0000-000033000000}"/>
    <cellStyle name="Millares 654 2 2 4" xfId="104" xr:uid="{00000000-0005-0000-0000-000034000000}"/>
    <cellStyle name="Millares 654 2 2 5" xfId="148" xr:uid="{00000000-0005-0000-0000-000035000000}"/>
    <cellStyle name="Millares 656" xfId="89" xr:uid="{00000000-0005-0000-0000-000036000000}"/>
    <cellStyle name="Millares 656 2" xfId="99" xr:uid="{00000000-0005-0000-0000-000037000000}"/>
    <cellStyle name="Millares 656 2 2" xfId="128" xr:uid="{00000000-0005-0000-0000-000038000000}"/>
    <cellStyle name="Millares 656 3" xfId="116" xr:uid="{00000000-0005-0000-0000-000039000000}"/>
    <cellStyle name="Millares 657" xfId="82" xr:uid="{00000000-0005-0000-0000-00003A000000}"/>
    <cellStyle name="Millares 657 2" xfId="96" xr:uid="{00000000-0005-0000-0000-00003B000000}"/>
    <cellStyle name="Millares 657 2 2" xfId="125" xr:uid="{00000000-0005-0000-0000-00003C000000}"/>
    <cellStyle name="Millares 657 3" xfId="113" xr:uid="{00000000-0005-0000-0000-00003D000000}"/>
    <cellStyle name="Normal" xfId="0" builtinId="0"/>
    <cellStyle name="Normal 10 10 2 2 2" xfId="77" xr:uid="{00000000-0005-0000-0000-00003F000000}"/>
    <cellStyle name="Normal 1016" xfId="15" xr:uid="{00000000-0005-0000-0000-000040000000}"/>
    <cellStyle name="Normal 1018" xfId="45" xr:uid="{00000000-0005-0000-0000-000041000000}"/>
    <cellStyle name="Normal 1022" xfId="69" xr:uid="{00000000-0005-0000-0000-000042000000}"/>
    <cellStyle name="Normal 1024" xfId="22" xr:uid="{00000000-0005-0000-0000-000043000000}"/>
    <cellStyle name="Normal 1025" xfId="72" xr:uid="{00000000-0005-0000-0000-000044000000}"/>
    <cellStyle name="Normal 1026" xfId="71" xr:uid="{00000000-0005-0000-0000-000045000000}"/>
    <cellStyle name="Normal 1027" xfId="73" xr:uid="{00000000-0005-0000-0000-000046000000}"/>
    <cellStyle name="Normal 105" xfId="83" xr:uid="{00000000-0005-0000-0000-000047000000}"/>
    <cellStyle name="Normal 107" xfId="87" xr:uid="{00000000-0005-0000-0000-000048000000}"/>
    <cellStyle name="Normal 109" xfId="88" xr:uid="{00000000-0005-0000-0000-000049000000}"/>
    <cellStyle name="Normal 11" xfId="144" xr:uid="{00000000-0005-0000-0000-00004A000000}"/>
    <cellStyle name="Normal 12 10" xfId="7" xr:uid="{00000000-0005-0000-0000-00004B000000}"/>
    <cellStyle name="Normal 12 2 10" xfId="3" xr:uid="{00000000-0005-0000-0000-00004C000000}"/>
    <cellStyle name="Normal 12 2 2 4" xfId="12" xr:uid="{00000000-0005-0000-0000-00004D000000}"/>
    <cellStyle name="Normal 125" xfId="5" xr:uid="{00000000-0005-0000-0000-00004E000000}"/>
    <cellStyle name="Normal 126" xfId="75" xr:uid="{00000000-0005-0000-0000-00004F000000}"/>
    <cellStyle name="Normal 13" xfId="136" xr:uid="{00000000-0005-0000-0000-000050000000}"/>
    <cellStyle name="Normal 199 2 2" xfId="80" xr:uid="{00000000-0005-0000-0000-000051000000}"/>
    <cellStyle name="Normal 2" xfId="2" xr:uid="{00000000-0005-0000-0000-000052000000}"/>
    <cellStyle name="Normal 2 10 2 2 2" xfId="84" xr:uid="{00000000-0005-0000-0000-000053000000}"/>
    <cellStyle name="Normal 2 2" xfId="135" xr:uid="{00000000-0005-0000-0000-000054000000}"/>
    <cellStyle name="Normal 2 2 2 3" xfId="4" xr:uid="{00000000-0005-0000-0000-000055000000}"/>
    <cellStyle name="Normal 25" xfId="130" xr:uid="{00000000-0005-0000-0000-000056000000}"/>
    <cellStyle name="Normal 3" xfId="129" xr:uid="{00000000-0005-0000-0000-000057000000}"/>
    <cellStyle name="Normal 6 4" xfId="137" xr:uid="{00000000-0005-0000-0000-000058000000}"/>
    <cellStyle name="Normal 601" xfId="64" xr:uid="{00000000-0005-0000-0000-000059000000}"/>
    <cellStyle name="Normal 605" xfId="20" xr:uid="{00000000-0005-0000-0000-00005A000000}"/>
    <cellStyle name="Normal 606" xfId="19" xr:uid="{00000000-0005-0000-0000-00005B000000}"/>
    <cellStyle name="Normal 636" xfId="17" xr:uid="{00000000-0005-0000-0000-00005C000000}"/>
    <cellStyle name="Normal 640" xfId="18" xr:uid="{00000000-0005-0000-0000-00005D000000}"/>
    <cellStyle name="Normal 643" xfId="21" xr:uid="{00000000-0005-0000-0000-00005E000000}"/>
    <cellStyle name="Normal 646" xfId="23" xr:uid="{00000000-0005-0000-0000-00005F000000}"/>
    <cellStyle name="Normal 647" xfId="24" xr:uid="{00000000-0005-0000-0000-000060000000}"/>
    <cellStyle name="Normal 649" xfId="25" xr:uid="{00000000-0005-0000-0000-000061000000}"/>
    <cellStyle name="Normal 650" xfId="26" xr:uid="{00000000-0005-0000-0000-000062000000}"/>
    <cellStyle name="Normal 651" xfId="27" xr:uid="{00000000-0005-0000-0000-000063000000}"/>
    <cellStyle name="Normal 652" xfId="28" xr:uid="{00000000-0005-0000-0000-000064000000}"/>
    <cellStyle name="Normal 653" xfId="29" xr:uid="{00000000-0005-0000-0000-000065000000}"/>
    <cellStyle name="Normal 654" xfId="30" xr:uid="{00000000-0005-0000-0000-000066000000}"/>
    <cellStyle name="Normal 655" xfId="31" xr:uid="{00000000-0005-0000-0000-000067000000}"/>
    <cellStyle name="Normal 656" xfId="32" xr:uid="{00000000-0005-0000-0000-000068000000}"/>
    <cellStyle name="Normal 657" xfId="33" xr:uid="{00000000-0005-0000-0000-000069000000}"/>
    <cellStyle name="Normal 658" xfId="35" xr:uid="{00000000-0005-0000-0000-00006A000000}"/>
    <cellStyle name="Normal 659" xfId="36" xr:uid="{00000000-0005-0000-0000-00006B000000}"/>
    <cellStyle name="Normal 660" xfId="38" xr:uid="{00000000-0005-0000-0000-00006C000000}"/>
    <cellStyle name="Normal 662" xfId="39" xr:uid="{00000000-0005-0000-0000-00006D000000}"/>
    <cellStyle name="Normal 663" xfId="40" xr:uid="{00000000-0005-0000-0000-00006E000000}"/>
    <cellStyle name="Normal 664" xfId="41" xr:uid="{00000000-0005-0000-0000-00006F000000}"/>
    <cellStyle name="Normal 665" xfId="42" xr:uid="{00000000-0005-0000-0000-000070000000}"/>
    <cellStyle name="Normal 667" xfId="43" xr:uid="{00000000-0005-0000-0000-000071000000}"/>
    <cellStyle name="Normal 673" xfId="46" xr:uid="{00000000-0005-0000-0000-000072000000}"/>
    <cellStyle name="Normal 674" xfId="47" xr:uid="{00000000-0005-0000-0000-000073000000}"/>
    <cellStyle name="Normal 675" xfId="48" xr:uid="{00000000-0005-0000-0000-000074000000}"/>
    <cellStyle name="Normal 676" xfId="49" xr:uid="{00000000-0005-0000-0000-000075000000}"/>
    <cellStyle name="Normal 677" xfId="53" xr:uid="{00000000-0005-0000-0000-000076000000}"/>
    <cellStyle name="Normal 678" xfId="54" xr:uid="{00000000-0005-0000-0000-000077000000}"/>
    <cellStyle name="Normal 679" xfId="55" xr:uid="{00000000-0005-0000-0000-000078000000}"/>
    <cellStyle name="Normal 684" xfId="60" xr:uid="{00000000-0005-0000-0000-000079000000}"/>
    <cellStyle name="Normal 713" xfId="50" xr:uid="{00000000-0005-0000-0000-00007A000000}"/>
    <cellStyle name="Normal 714" xfId="51" xr:uid="{00000000-0005-0000-0000-00007B000000}"/>
    <cellStyle name="Normal 715" xfId="52" xr:uid="{00000000-0005-0000-0000-00007C000000}"/>
    <cellStyle name="Normal 744" xfId="70" xr:uid="{00000000-0005-0000-0000-00007D000000}"/>
    <cellStyle name="Normal 76" xfId="133" xr:uid="{00000000-0005-0000-0000-00007E000000}"/>
    <cellStyle name="Normal 77" xfId="132" xr:uid="{00000000-0005-0000-0000-00007F000000}"/>
    <cellStyle name="Normal 80" xfId="134" xr:uid="{00000000-0005-0000-0000-000080000000}"/>
    <cellStyle name="Normal 802" xfId="76" xr:uid="{00000000-0005-0000-0000-000081000000}"/>
    <cellStyle name="Normal 82" xfId="131" xr:uid="{00000000-0005-0000-0000-000082000000}"/>
    <cellStyle name="Normal 944" xfId="14" xr:uid="{00000000-0005-0000-0000-000083000000}"/>
    <cellStyle name="Normal 947" xfId="16" xr:uid="{00000000-0005-0000-0000-000084000000}"/>
    <cellStyle name="Normal 952" xfId="44" xr:uid="{00000000-0005-0000-0000-000085000000}"/>
    <cellStyle name="Normal 957" xfId="56" xr:uid="{00000000-0005-0000-0000-000086000000}"/>
    <cellStyle name="Normal 958" xfId="57" xr:uid="{00000000-0005-0000-0000-000087000000}"/>
    <cellStyle name="Normal 959" xfId="58" xr:uid="{00000000-0005-0000-0000-000088000000}"/>
    <cellStyle name="Normal 960" xfId="59" xr:uid="{00000000-0005-0000-0000-000089000000}"/>
    <cellStyle name="Normal 961" xfId="61" xr:uid="{00000000-0005-0000-0000-00008A000000}"/>
    <cellStyle name="Normal 962" xfId="62" xr:uid="{00000000-0005-0000-0000-00008B000000}"/>
    <cellStyle name="Normal 963" xfId="63" xr:uid="{00000000-0005-0000-0000-00008C000000}"/>
    <cellStyle name="Normal 964" xfId="65" xr:uid="{00000000-0005-0000-0000-00008D000000}"/>
    <cellStyle name="Normal 965" xfId="66" xr:uid="{00000000-0005-0000-0000-00008E000000}"/>
    <cellStyle name="Normal 966" xfId="67" xr:uid="{00000000-0005-0000-0000-00008F000000}"/>
    <cellStyle name="Normal 967" xfId="68" xr:uid="{00000000-0005-0000-0000-000090000000}"/>
    <cellStyle name="Normal 971" xfId="37" xr:uid="{00000000-0005-0000-0000-000091000000}"/>
    <cellStyle name="Normal 986" xfId="34" xr:uid="{00000000-0005-0000-0000-000092000000}"/>
    <cellStyle name="Normal_ECONTABLES JUN2002" xfId="101" xr:uid="{00000000-0005-0000-0000-000093000000}"/>
    <cellStyle name="Porcentaje" xfId="9" builtinId="5"/>
    <cellStyle name="Porcentaje 2" xfId="150" xr:uid="{24EB793F-8346-464E-B270-C825F6F088AE}"/>
    <cellStyle name="Porcentual 3" xfId="145" xr:uid="{00000000-0005-0000-0000-000095000000}"/>
  </cellStyles>
  <dxfs count="0"/>
  <tableStyles count="0" defaultTableStyle="TableStyleMedium2" defaultPivotStyle="PivotStyleLight16"/>
  <colors>
    <mruColors>
      <color rgb="FF0000CC"/>
      <color rgb="FFFF0000"/>
      <color rgb="FFCC3300"/>
      <color rgb="FF000099"/>
      <color rgb="FF13213D"/>
      <color rgb="FF333399"/>
      <color rgb="FF000066"/>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2914650</xdr:colOff>
      <xdr:row>1</xdr:row>
      <xdr:rowOff>57149</xdr:rowOff>
    </xdr:from>
    <xdr:to>
      <xdr:col>1</xdr:col>
      <xdr:colOff>4972050</xdr:colOff>
      <xdr:row>3</xdr:row>
      <xdr:rowOff>809624</xdr:rowOff>
    </xdr:to>
    <xdr:pic>
      <xdr:nvPicPr>
        <xdr:cNvPr id="2" name="Imagen 1">
          <a:extLst>
            <a:ext uri="{FF2B5EF4-FFF2-40B4-BE49-F238E27FC236}">
              <a16:creationId xmlns:a16="http://schemas.microsoft.com/office/drawing/2014/main" id="{50159B23-4383-4414-8E67-62DC4C156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209549"/>
          <a:ext cx="2057400"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95250</xdr:colOff>
      <xdr:row>6</xdr:row>
      <xdr:rowOff>123825</xdr:rowOff>
    </xdr:from>
    <xdr:to>
      <xdr:col>2</xdr:col>
      <xdr:colOff>1066800</xdr:colOff>
      <xdr:row>10</xdr:row>
      <xdr:rowOff>95250</xdr:rowOff>
    </xdr:to>
    <xdr:cxnSp macro="">
      <xdr:nvCxnSpPr>
        <xdr:cNvPr id="2" name="Conector recto 1">
          <a:extLst>
            <a:ext uri="{FF2B5EF4-FFF2-40B4-BE49-F238E27FC236}">
              <a16:creationId xmlns:a16="http://schemas.microsoft.com/office/drawing/2014/main" id="{E6922256-0667-4BB8-87A2-E34D5520E79B}"/>
            </a:ext>
          </a:extLst>
        </xdr:cNvPr>
        <xdr:cNvCxnSpPr/>
      </xdr:nvCxnSpPr>
      <xdr:spPr>
        <a:xfrm>
          <a:off x="2647950" y="1371600"/>
          <a:ext cx="2200275" cy="66675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57150</xdr:colOff>
      <xdr:row>6</xdr:row>
      <xdr:rowOff>0</xdr:rowOff>
    </xdr:from>
    <xdr:to>
      <xdr:col>5</xdr:col>
      <xdr:colOff>19050</xdr:colOff>
      <xdr:row>8</xdr:row>
      <xdr:rowOff>123825</xdr:rowOff>
    </xdr:to>
    <xdr:cxnSp macro="">
      <xdr:nvCxnSpPr>
        <xdr:cNvPr id="2" name="Conector recto 1">
          <a:extLst>
            <a:ext uri="{FF2B5EF4-FFF2-40B4-BE49-F238E27FC236}">
              <a16:creationId xmlns:a16="http://schemas.microsoft.com/office/drawing/2014/main" id="{F426AA5F-D0C6-4023-8963-FE6833CFF40C}"/>
            </a:ext>
          </a:extLst>
        </xdr:cNvPr>
        <xdr:cNvCxnSpPr/>
      </xdr:nvCxnSpPr>
      <xdr:spPr>
        <a:xfrm>
          <a:off x="3476625" y="1409700"/>
          <a:ext cx="2324100" cy="6191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8</xdr:row>
      <xdr:rowOff>66675</xdr:rowOff>
    </xdr:from>
    <xdr:to>
      <xdr:col>4</xdr:col>
      <xdr:colOff>1514475</xdr:colOff>
      <xdr:row>11</xdr:row>
      <xdr:rowOff>95250</xdr:rowOff>
    </xdr:to>
    <xdr:cxnSp macro="">
      <xdr:nvCxnSpPr>
        <xdr:cNvPr id="2" name="Conector recto 1">
          <a:extLst>
            <a:ext uri="{FF2B5EF4-FFF2-40B4-BE49-F238E27FC236}">
              <a16:creationId xmlns:a16="http://schemas.microsoft.com/office/drawing/2014/main" id="{1F19B889-F3DC-416F-90E0-E3A8C4B03D03}"/>
            </a:ext>
          </a:extLst>
        </xdr:cNvPr>
        <xdr:cNvCxnSpPr/>
      </xdr:nvCxnSpPr>
      <xdr:spPr>
        <a:xfrm>
          <a:off x="95250" y="1714500"/>
          <a:ext cx="8115300" cy="600075"/>
        </a:xfrm>
        <a:prstGeom prst="line">
          <a:avLst/>
        </a:prstGeom>
        <a:noFill/>
        <a:ln w="6350" cap="flat" cmpd="sng" algn="ctr">
          <a:solidFill>
            <a:sysClr val="windowText" lastClr="000000"/>
          </a:solidFill>
          <a:prstDash val="solid"/>
          <a:miter lim="800000"/>
        </a:ln>
        <a:effectLst/>
      </xdr:spPr>
    </xdr:cxnSp>
    <xdr:clientData/>
  </xdr:twoCellAnchor>
  <xdr:twoCellAnchor>
    <xdr:from>
      <xdr:col>0</xdr:col>
      <xdr:colOff>95250</xdr:colOff>
      <xdr:row>15</xdr:row>
      <xdr:rowOff>76200</xdr:rowOff>
    </xdr:from>
    <xdr:to>
      <xdr:col>4</xdr:col>
      <xdr:colOff>1495425</xdr:colOff>
      <xdr:row>18</xdr:row>
      <xdr:rowOff>104775</xdr:rowOff>
    </xdr:to>
    <xdr:cxnSp macro="">
      <xdr:nvCxnSpPr>
        <xdr:cNvPr id="5" name="Conector recto 4">
          <a:extLst>
            <a:ext uri="{FF2B5EF4-FFF2-40B4-BE49-F238E27FC236}">
              <a16:creationId xmlns:a16="http://schemas.microsoft.com/office/drawing/2014/main" id="{EC7965E4-7132-41EE-B6B8-085B3B944386}"/>
            </a:ext>
          </a:extLst>
        </xdr:cNvPr>
        <xdr:cNvCxnSpPr/>
      </xdr:nvCxnSpPr>
      <xdr:spPr>
        <a:xfrm>
          <a:off x="95250" y="3248025"/>
          <a:ext cx="8096250" cy="60007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85725</xdr:colOff>
      <xdr:row>12</xdr:row>
      <xdr:rowOff>76200</xdr:rowOff>
    </xdr:from>
    <xdr:to>
      <xdr:col>2</xdr:col>
      <xdr:colOff>1685925</xdr:colOff>
      <xdr:row>24</xdr:row>
      <xdr:rowOff>85725</xdr:rowOff>
    </xdr:to>
    <xdr:cxnSp macro="">
      <xdr:nvCxnSpPr>
        <xdr:cNvPr id="2" name="Conector recto 1">
          <a:extLst>
            <a:ext uri="{FF2B5EF4-FFF2-40B4-BE49-F238E27FC236}">
              <a16:creationId xmlns:a16="http://schemas.microsoft.com/office/drawing/2014/main" id="{C09EE1A2-E76E-4F63-9A06-9D93D5749B36}"/>
            </a:ext>
          </a:extLst>
        </xdr:cNvPr>
        <xdr:cNvCxnSpPr/>
      </xdr:nvCxnSpPr>
      <xdr:spPr>
        <a:xfrm>
          <a:off x="3276600" y="3629025"/>
          <a:ext cx="3105150" cy="24098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333375</xdr:colOff>
      <xdr:row>5</xdr:row>
      <xdr:rowOff>19050</xdr:rowOff>
    </xdr:to>
    <xdr:cxnSp macro="">
      <xdr:nvCxnSpPr>
        <xdr:cNvPr id="2" name="Conector recto 1">
          <a:extLst>
            <a:ext uri="{FF2B5EF4-FFF2-40B4-BE49-F238E27FC236}">
              <a16:creationId xmlns:a16="http://schemas.microsoft.com/office/drawing/2014/main" id="{B1CF3CBE-F874-4BF3-97C7-9E339E56813E}"/>
            </a:ext>
          </a:extLst>
        </xdr:cNvPr>
        <xdr:cNvCxnSpPr/>
      </xdr:nvCxnSpPr>
      <xdr:spPr>
        <a:xfrm>
          <a:off x="0" y="762000"/>
          <a:ext cx="9286875" cy="5810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4</xdr:col>
      <xdr:colOff>638175</xdr:colOff>
      <xdr:row>6</xdr:row>
      <xdr:rowOff>180975</xdr:rowOff>
    </xdr:to>
    <xdr:pic>
      <xdr:nvPicPr>
        <xdr:cNvPr id="5" name="Imagen 4">
          <a:extLst>
            <a:ext uri="{FF2B5EF4-FFF2-40B4-BE49-F238E27FC236}">
              <a16:creationId xmlns:a16="http://schemas.microsoft.com/office/drawing/2014/main" id="{99E5C147-B691-48E2-916A-C1F008E6B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3175" y="0"/>
          <a:ext cx="160972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7</xdr:row>
      <xdr:rowOff>47625</xdr:rowOff>
    </xdr:from>
    <xdr:to>
      <xdr:col>3</xdr:col>
      <xdr:colOff>47625</xdr:colOff>
      <xdr:row>9</xdr:row>
      <xdr:rowOff>95250</xdr:rowOff>
    </xdr:to>
    <xdr:cxnSp macro="">
      <xdr:nvCxnSpPr>
        <xdr:cNvPr id="2" name="Conector recto 1">
          <a:extLst>
            <a:ext uri="{FF2B5EF4-FFF2-40B4-BE49-F238E27FC236}">
              <a16:creationId xmlns:a16="http://schemas.microsoft.com/office/drawing/2014/main" id="{F88BA419-8EB9-4D5B-B0EB-E2DD96833D88}"/>
            </a:ext>
          </a:extLst>
        </xdr:cNvPr>
        <xdr:cNvCxnSpPr/>
      </xdr:nvCxnSpPr>
      <xdr:spPr>
        <a:xfrm>
          <a:off x="1685925" y="1485900"/>
          <a:ext cx="2305050" cy="428625"/>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666750</xdr:colOff>
      <xdr:row>18</xdr:row>
      <xdr:rowOff>123825</xdr:rowOff>
    </xdr:from>
    <xdr:to>
      <xdr:col>11</xdr:col>
      <xdr:colOff>923925</xdr:colOff>
      <xdr:row>18</xdr:row>
      <xdr:rowOff>123825</xdr:rowOff>
    </xdr:to>
    <xdr:cxnSp macro="">
      <xdr:nvCxnSpPr>
        <xdr:cNvPr id="2" name="Conector recto 1">
          <a:extLst>
            <a:ext uri="{FF2B5EF4-FFF2-40B4-BE49-F238E27FC236}">
              <a16:creationId xmlns:a16="http://schemas.microsoft.com/office/drawing/2014/main" id="{5AFAE3D1-06E0-432D-B481-F5A346463018}"/>
            </a:ext>
          </a:extLst>
        </xdr:cNvPr>
        <xdr:cNvCxnSpPr/>
      </xdr:nvCxnSpPr>
      <xdr:spPr>
        <a:xfrm>
          <a:off x="8486775" y="3590925"/>
          <a:ext cx="4476750" cy="0"/>
        </a:xfrm>
        <a:prstGeom prst="line">
          <a:avLst/>
        </a:prstGeom>
        <a:noFill/>
        <a:ln w="6350" cap="flat" cmpd="sng" algn="ctr">
          <a:solidFill>
            <a:sysClr val="windowText" lastClr="000000"/>
          </a:solidFill>
          <a:prstDash val="solid"/>
          <a:miter lim="800000"/>
        </a:ln>
        <a:effectLst/>
      </xdr:spPr>
    </xdr:cxnSp>
    <xdr:clientData/>
  </xdr:twoCellAnchor>
  <xdr:twoCellAnchor>
    <xdr:from>
      <xdr:col>1</xdr:col>
      <xdr:colOff>295275</xdr:colOff>
      <xdr:row>19</xdr:row>
      <xdr:rowOff>123825</xdr:rowOff>
    </xdr:from>
    <xdr:to>
      <xdr:col>1</xdr:col>
      <xdr:colOff>933450</xdr:colOff>
      <xdr:row>19</xdr:row>
      <xdr:rowOff>123825</xdr:rowOff>
    </xdr:to>
    <xdr:cxnSp macro="">
      <xdr:nvCxnSpPr>
        <xdr:cNvPr id="10" name="Conector recto 9">
          <a:extLst>
            <a:ext uri="{FF2B5EF4-FFF2-40B4-BE49-F238E27FC236}">
              <a16:creationId xmlns:a16="http://schemas.microsoft.com/office/drawing/2014/main" id="{D5550725-CD6C-43D9-A713-A48640498F33}"/>
            </a:ext>
          </a:extLst>
        </xdr:cNvPr>
        <xdr:cNvCxnSpPr/>
      </xdr:nvCxnSpPr>
      <xdr:spPr>
        <a:xfrm>
          <a:off x="3181350" y="3781425"/>
          <a:ext cx="638175" cy="0"/>
        </a:xfrm>
        <a:prstGeom prst="line">
          <a:avLst/>
        </a:prstGeom>
        <a:noFill/>
        <a:ln w="6350" cap="flat" cmpd="sng" algn="ctr">
          <a:solidFill>
            <a:sysClr val="windowText" lastClr="000000"/>
          </a:solidFill>
          <a:prstDash val="solid"/>
          <a:miter lim="800000"/>
        </a:ln>
        <a:effectLst/>
      </xdr:spPr>
    </xdr:cxnSp>
    <xdr:clientData/>
  </xdr:twoCellAnchor>
  <xdr:twoCellAnchor>
    <xdr:from>
      <xdr:col>1</xdr:col>
      <xdr:colOff>285750</xdr:colOff>
      <xdr:row>20</xdr:row>
      <xdr:rowOff>114300</xdr:rowOff>
    </xdr:from>
    <xdr:to>
      <xdr:col>1</xdr:col>
      <xdr:colOff>942975</xdr:colOff>
      <xdr:row>20</xdr:row>
      <xdr:rowOff>114302</xdr:rowOff>
    </xdr:to>
    <xdr:cxnSp macro="">
      <xdr:nvCxnSpPr>
        <xdr:cNvPr id="14" name="Conector recto 13">
          <a:extLst>
            <a:ext uri="{FF2B5EF4-FFF2-40B4-BE49-F238E27FC236}">
              <a16:creationId xmlns:a16="http://schemas.microsoft.com/office/drawing/2014/main" id="{EC3FADCE-CD61-4274-955C-D316E8AB7203}"/>
            </a:ext>
          </a:extLst>
        </xdr:cNvPr>
        <xdr:cNvCxnSpPr/>
      </xdr:nvCxnSpPr>
      <xdr:spPr>
        <a:xfrm flipV="1">
          <a:off x="3171825" y="3962400"/>
          <a:ext cx="657225" cy="2"/>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6</xdr:row>
      <xdr:rowOff>114300</xdr:rowOff>
    </xdr:from>
    <xdr:to>
      <xdr:col>2</xdr:col>
      <xdr:colOff>800100</xdr:colOff>
      <xdr:row>11</xdr:row>
      <xdr:rowOff>0</xdr:rowOff>
    </xdr:to>
    <xdr:cxnSp macro="">
      <xdr:nvCxnSpPr>
        <xdr:cNvPr id="2" name="Conector recto 1">
          <a:extLst>
            <a:ext uri="{FF2B5EF4-FFF2-40B4-BE49-F238E27FC236}">
              <a16:creationId xmlns:a16="http://schemas.microsoft.com/office/drawing/2014/main" id="{6130ABAE-1713-40E8-8F85-E5F2B1D87D00}"/>
            </a:ext>
          </a:extLst>
        </xdr:cNvPr>
        <xdr:cNvCxnSpPr/>
      </xdr:nvCxnSpPr>
      <xdr:spPr>
        <a:xfrm>
          <a:off x="2990850" y="1362075"/>
          <a:ext cx="1724025" cy="91440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9</xdr:row>
      <xdr:rowOff>152400</xdr:rowOff>
    </xdr:from>
    <xdr:to>
      <xdr:col>9</xdr:col>
      <xdr:colOff>28575</xdr:colOff>
      <xdr:row>11</xdr:row>
      <xdr:rowOff>523875</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0" y="1943100"/>
          <a:ext cx="7077075" cy="828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900">
              <a:latin typeface="Arial" panose="020B0604020202020204" pitchFamily="34" charset="0"/>
              <a:cs typeface="Arial" panose="020B0604020202020204" pitchFamily="34" charset="0"/>
            </a:rPr>
            <a:t>Reserva de Revalúo fiscal: Al cierre del ejercicio aplicando el coeficiente  de  revalúo determinado  por  la  Administración Tributaria.</a:t>
          </a:r>
          <a:r>
            <a:rPr lang="es-PY" sz="900" baseline="0">
              <a:latin typeface="Arial" panose="020B0604020202020204" pitchFamily="34" charset="0"/>
              <a:cs typeface="Arial" panose="020B0604020202020204" pitchFamily="34" charset="0"/>
            </a:rPr>
            <a:t>  El Poder Ejecutivo podrá establecer el revalúo obligatorio de los bienes del activo fijo, cuando la variación del Indice de Precios al Consumo determinado por el Banco Central del Paraguay alcance al menos 20% (veinte por ciento) acumulado desde el ejercicio en el cual se haya dispuetso el último ajuste por revalúo.</a:t>
          </a:r>
        </a:p>
        <a:p>
          <a:r>
            <a:rPr lang="es-PY" sz="900">
              <a:latin typeface="Arial" panose="020B0604020202020204" pitchFamily="34" charset="0"/>
              <a:cs typeface="Arial" panose="020B0604020202020204" pitchFamily="34" charset="0"/>
            </a:rPr>
            <a:t>Reserva de Revaluo técnico:</a:t>
          </a:r>
          <a:r>
            <a:rPr lang="es-PY" sz="900" baseline="0">
              <a:latin typeface="Arial" panose="020B0604020202020204" pitchFamily="34" charset="0"/>
              <a:cs typeface="Arial" panose="020B0604020202020204" pitchFamily="34" charset="0"/>
            </a:rPr>
            <a:t> segun valor de tasación de bienes inmuebles de la actividad agropecuaria. </a:t>
          </a:r>
          <a:endParaRPr lang="es-PY" sz="900">
            <a:latin typeface="Arial" panose="020B0604020202020204" pitchFamily="34" charset="0"/>
            <a:cs typeface="Arial" panose="020B0604020202020204" pitchFamily="34" charset="0"/>
          </a:endParaRPr>
        </a:p>
      </xdr:txBody>
    </xdr:sp>
    <xdr:clientData/>
  </xdr:twoCellAnchor>
  <xdr:twoCellAnchor>
    <xdr:from>
      <xdr:col>0</xdr:col>
      <xdr:colOff>28574</xdr:colOff>
      <xdr:row>25</xdr:row>
      <xdr:rowOff>76201</xdr:rowOff>
    </xdr:from>
    <xdr:to>
      <xdr:col>4</xdr:col>
      <xdr:colOff>838199</xdr:colOff>
      <xdr:row>28</xdr:row>
      <xdr:rowOff>19049</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flipH="1">
          <a:off x="28574" y="5219701"/>
          <a:ext cx="7019925" cy="514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solidFill>
              <a:schemeClr val="dk1"/>
            </a:solidFill>
            <a:effectLst/>
            <a:latin typeface="+mn-lt"/>
            <a:ea typeface="+mn-ea"/>
            <a:cs typeface="+mn-cs"/>
          </a:endParaRPr>
        </a:p>
      </xdr:txBody>
    </xdr:sp>
    <xdr:clientData/>
  </xdr:twoCellAnchor>
  <xdr:twoCellAnchor>
    <xdr:from>
      <xdr:col>0</xdr:col>
      <xdr:colOff>47625</xdr:colOff>
      <xdr:row>18</xdr:row>
      <xdr:rowOff>28575</xdr:rowOff>
    </xdr:from>
    <xdr:to>
      <xdr:col>8</xdr:col>
      <xdr:colOff>85725</xdr:colOff>
      <xdr:row>20</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900">
              <a:solidFill>
                <a:schemeClr val="dk1"/>
              </a:solidFill>
              <a:effectLst/>
              <a:latin typeface="Arial" panose="020B0604020202020204" pitchFamily="34" charset="0"/>
              <a:ea typeface="+mn-ea"/>
              <a:cs typeface="Arial" panose="020B0604020202020204" pitchFamily="34" charset="0"/>
            </a:rPr>
            <a:t>Breve Descripción</a:t>
          </a:r>
          <a:endParaRPr lang="es-PY" sz="900">
            <a:effectLst/>
            <a:latin typeface="Arial" panose="020B0604020202020204" pitchFamily="34" charset="0"/>
            <a:cs typeface="Arial" panose="020B0604020202020204" pitchFamily="34" charset="0"/>
          </a:endParaRPr>
        </a:p>
        <a:p>
          <a:endParaRPr lang="es-PY" sz="1100"/>
        </a:p>
      </xdr:txBody>
    </xdr:sp>
    <xdr:clientData/>
  </xdr:twoCellAnchor>
  <xdr:twoCellAnchor>
    <xdr:from>
      <xdr:col>0</xdr:col>
      <xdr:colOff>47625</xdr:colOff>
      <xdr:row>25</xdr:row>
      <xdr:rowOff>85725</xdr:rowOff>
    </xdr:from>
    <xdr:to>
      <xdr:col>8</xdr:col>
      <xdr:colOff>85725</xdr:colOff>
      <xdr:row>28</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La legislación paraguaya establece una transferencia del 5% de las utilidades del ejercicio para la constitución de una Reserva Legal hasta completar el 20% del Capital Integrado.</a:t>
          </a:r>
          <a:endParaRPr lang="es-ES">
            <a:effectLst/>
          </a:endParaRPr>
        </a:p>
      </xdr:txBody>
    </xdr:sp>
    <xdr:clientData/>
  </xdr:twoCellAnchor>
  <xdr:twoCellAnchor>
    <xdr:from>
      <xdr:col>0</xdr:col>
      <xdr:colOff>76200</xdr:colOff>
      <xdr:row>31</xdr:row>
      <xdr:rowOff>28574</xdr:rowOff>
    </xdr:from>
    <xdr:to>
      <xdr:col>7</xdr:col>
      <xdr:colOff>0</xdr:colOff>
      <xdr:row>34</xdr:row>
      <xdr:rowOff>0</xdr:rowOff>
    </xdr:to>
    <xdr:sp macro="" textlink="">
      <xdr:nvSpPr>
        <xdr:cNvPr id="7" name="CuadroTexto 6">
          <a:extLst>
            <a:ext uri="{FF2B5EF4-FFF2-40B4-BE49-F238E27FC236}">
              <a16:creationId xmlns:a16="http://schemas.microsoft.com/office/drawing/2014/main" id="{2A5B51FD-914A-4335-B997-5CCE8ECE68BA}"/>
            </a:ext>
          </a:extLst>
        </xdr:cNvPr>
        <xdr:cNvSpPr txBox="1"/>
      </xdr:nvSpPr>
      <xdr:spPr>
        <a:xfrm>
          <a:off x="76200" y="4171949"/>
          <a:ext cx="7581900" cy="542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t>Se</a:t>
          </a:r>
          <a:r>
            <a:rPr lang="es-PY" sz="1100" baseline="0"/>
            <a:t> destina un porcentaje de la utilidad del ejercicio, según la propuesta de distribución presentada por el directorio. </a:t>
          </a:r>
          <a:r>
            <a:rPr lang="es-PY" sz="1100" baseline="0">
              <a:solidFill>
                <a:schemeClr val="dk1"/>
              </a:solidFill>
              <a:effectLst/>
              <a:latin typeface="+mn-lt"/>
              <a:ea typeface="+mn-ea"/>
              <a:cs typeface="+mn-cs"/>
            </a:rPr>
            <a:t>Este </a:t>
          </a:r>
          <a:r>
            <a:rPr lang="es-PY" sz="1100" baseline="0"/>
            <a:t>fondo es utilizado para realizar integraciones de capital. </a:t>
          </a:r>
          <a:endParaRPr lang="es-PY"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85725</xdr:colOff>
      <xdr:row>6</xdr:row>
      <xdr:rowOff>114300</xdr:rowOff>
    </xdr:from>
    <xdr:to>
      <xdr:col>2</xdr:col>
      <xdr:colOff>1190625</xdr:colOff>
      <xdr:row>7</xdr:row>
      <xdr:rowOff>114300</xdr:rowOff>
    </xdr:to>
    <xdr:cxnSp macro="">
      <xdr:nvCxnSpPr>
        <xdr:cNvPr id="2" name="Conector recto 1">
          <a:extLst>
            <a:ext uri="{FF2B5EF4-FFF2-40B4-BE49-F238E27FC236}">
              <a16:creationId xmlns:a16="http://schemas.microsoft.com/office/drawing/2014/main" id="{B914D9CA-CC2A-4F43-8410-B69A3042087D}"/>
            </a:ext>
          </a:extLst>
        </xdr:cNvPr>
        <xdr:cNvCxnSpPr/>
      </xdr:nvCxnSpPr>
      <xdr:spPr>
        <a:xfrm>
          <a:off x="2381250" y="1362075"/>
          <a:ext cx="2371725" cy="19050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123825</xdr:colOff>
      <xdr:row>6</xdr:row>
      <xdr:rowOff>76200</xdr:rowOff>
    </xdr:from>
    <xdr:to>
      <xdr:col>2</xdr:col>
      <xdr:colOff>1190625</xdr:colOff>
      <xdr:row>7</xdr:row>
      <xdr:rowOff>0</xdr:rowOff>
    </xdr:to>
    <xdr:cxnSp macro="">
      <xdr:nvCxnSpPr>
        <xdr:cNvPr id="3" name="Conector recto 2">
          <a:extLst>
            <a:ext uri="{FF2B5EF4-FFF2-40B4-BE49-F238E27FC236}">
              <a16:creationId xmlns:a16="http://schemas.microsoft.com/office/drawing/2014/main" id="{DDACBE7B-74AA-4B06-AA22-3313289CCBF7}"/>
            </a:ext>
          </a:extLst>
        </xdr:cNvPr>
        <xdr:cNvCxnSpPr/>
      </xdr:nvCxnSpPr>
      <xdr:spPr>
        <a:xfrm>
          <a:off x="2419350" y="4048125"/>
          <a:ext cx="2333625" cy="114300"/>
        </a:xfrm>
        <a:prstGeom prst="line">
          <a:avLst/>
        </a:prstGeom>
        <a:noFill/>
        <a:ln w="6350" cap="flat" cmpd="sng" algn="ctr">
          <a:solidFill>
            <a:sysClr val="windowText" lastClr="000000"/>
          </a:solidFill>
          <a:prstDash val="solid"/>
          <a:miter lim="800000"/>
        </a:ln>
        <a:effec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8</xdr:row>
      <xdr:rowOff>0</xdr:rowOff>
    </xdr:from>
    <xdr:to>
      <xdr:col>3</xdr:col>
      <xdr:colOff>0</xdr:colOff>
      <xdr:row>9</xdr:row>
      <xdr:rowOff>180975</xdr:rowOff>
    </xdr:to>
    <xdr:cxnSp macro="">
      <xdr:nvCxnSpPr>
        <xdr:cNvPr id="2" name="Conector recto 1">
          <a:extLst>
            <a:ext uri="{FF2B5EF4-FFF2-40B4-BE49-F238E27FC236}">
              <a16:creationId xmlns:a16="http://schemas.microsoft.com/office/drawing/2014/main" id="{573C3A48-E4F8-441B-A1F5-816C9BD9C75A}"/>
            </a:ext>
          </a:extLst>
        </xdr:cNvPr>
        <xdr:cNvCxnSpPr/>
      </xdr:nvCxnSpPr>
      <xdr:spPr>
        <a:xfrm>
          <a:off x="2533650" y="1628775"/>
          <a:ext cx="2409825" cy="942975"/>
        </a:xfrm>
        <a:prstGeom prst="line">
          <a:avLst/>
        </a:prstGeom>
        <a:noFill/>
        <a:ln w="6350" cap="flat" cmpd="sng" algn="ctr">
          <a:solidFill>
            <a:sysClr val="windowText" lastClr="000000"/>
          </a:solidFill>
          <a:prstDash val="solid"/>
          <a:miter lim="800000"/>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RA%20C.N.V/2020/JUNIO/Estados%20Financieros%20NGO%20SAECA%20al%2030%20de%20JUNIO%20de%20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nica_adorno\AppData\Local\Microsoft\Windows\Temporary%20Internet%20Files\Content.Outlook\4QML1D3Q\Copia%20de%20Notas%20a%20los%20Estados%20Financieros%20-%20excel%20(00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RA%20C.N.V/2020/DICIEMBRE/Estados%20Financieros%20NGO%20SAECA%20al%2031%20de%20diciembre%202020%20-%20cop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BG"/>
      <sheetName val="EVPN"/>
      <sheetName val="ER"/>
      <sheetName val="EFE"/>
      <sheetName val="Nota1"/>
      <sheetName val="Nota 2"/>
      <sheetName val="Nota 3"/>
      <sheetName val="Nota 4"/>
      <sheetName val="Nota 5"/>
      <sheetName val="Nota 6"/>
      <sheetName val="Nota 7"/>
      <sheetName val="Nota 8"/>
      <sheetName val="Nota 9"/>
      <sheetName val="Nota 10"/>
      <sheetName val="cred"/>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sheetData sheetId="1">
        <row r="1">
          <cell r="C1" t="str">
            <v>NICOLAS GONZALEZ ODDONE S.A.E.C.A</v>
          </cell>
        </row>
      </sheetData>
      <sheetData sheetId="2"/>
      <sheetData sheetId="3"/>
      <sheetData sheetId="4"/>
      <sheetData sheetId="5"/>
      <sheetData sheetId="6"/>
      <sheetData sheetId="7"/>
      <sheetData sheetId="8">
        <row r="20">
          <cell r="C20">
            <v>126641475517</v>
          </cell>
        </row>
      </sheetData>
      <sheetData sheetId="9">
        <row r="15">
          <cell r="B15">
            <v>84347513601</v>
          </cell>
        </row>
      </sheetData>
      <sheetData sheetId="10">
        <row r="18">
          <cell r="C18">
            <v>235763205002</v>
          </cell>
        </row>
      </sheetData>
      <sheetData sheetId="11">
        <row r="10">
          <cell r="F10">
            <v>172445862</v>
          </cell>
        </row>
      </sheetData>
      <sheetData sheetId="12">
        <row r="20">
          <cell r="B20">
            <v>275546845066</v>
          </cell>
        </row>
      </sheetData>
      <sheetData sheetId="13">
        <row r="10">
          <cell r="B10">
            <v>32213537431</v>
          </cell>
        </row>
      </sheetData>
      <sheetData sheetId="14">
        <row r="55">
          <cell r="M55">
            <v>329376781336</v>
          </cell>
        </row>
      </sheetData>
      <sheetData sheetId="15">
        <row r="29">
          <cell r="B29">
            <v>41699178265</v>
          </cell>
        </row>
      </sheetData>
      <sheetData sheetId="16"/>
      <sheetData sheetId="17">
        <row r="32">
          <cell r="B32">
            <v>3234422410</v>
          </cell>
        </row>
      </sheetData>
      <sheetData sheetId="18">
        <row r="11">
          <cell r="B11">
            <v>0</v>
          </cell>
          <cell r="C11">
            <v>0</v>
          </cell>
        </row>
      </sheetData>
      <sheetData sheetId="19">
        <row r="39">
          <cell r="B39">
            <v>7960397530</v>
          </cell>
        </row>
      </sheetData>
      <sheetData sheetId="20">
        <row r="26">
          <cell r="K26">
            <v>121455939859</v>
          </cell>
        </row>
      </sheetData>
      <sheetData sheetId="21"/>
      <sheetData sheetId="22">
        <row r="13">
          <cell r="C13">
            <v>2031121155</v>
          </cell>
        </row>
      </sheetData>
      <sheetData sheetId="23">
        <row r="12">
          <cell r="C12">
            <v>1507992706</v>
          </cell>
        </row>
      </sheetData>
      <sheetData sheetId="24">
        <row r="33">
          <cell r="B33">
            <v>13212356175</v>
          </cell>
        </row>
      </sheetData>
      <sheetData sheetId="25">
        <row r="23">
          <cell r="B23">
            <v>12298288803</v>
          </cell>
        </row>
      </sheetData>
      <sheetData sheetId="26">
        <row r="6">
          <cell r="B6">
            <v>643227002000</v>
          </cell>
          <cell r="C6">
            <v>643227002000</v>
          </cell>
        </row>
      </sheetData>
      <sheetData sheetId="27">
        <row r="9">
          <cell r="B9">
            <v>178972541980</v>
          </cell>
          <cell r="C9">
            <v>178972541980</v>
          </cell>
        </row>
      </sheetData>
      <sheetData sheetId="28"/>
      <sheetData sheetId="29">
        <row r="7">
          <cell r="B7">
            <v>74406096363</v>
          </cell>
        </row>
      </sheetData>
      <sheetData sheetId="30"/>
      <sheetData sheetId="31"/>
      <sheetData sheetId="32">
        <row r="9">
          <cell r="I9">
            <v>0</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
          <cell r="A1" t="str">
            <v>PYG</v>
          </cell>
          <cell r="B1" t="str">
            <v>Guaraní</v>
          </cell>
        </row>
        <row r="2">
          <cell r="A2" t="str">
            <v>USD</v>
          </cell>
          <cell r="B2" t="str">
            <v>Dólar estadounidense</v>
          </cell>
        </row>
        <row r="3">
          <cell r="A3" t="str">
            <v>EUR</v>
          </cell>
          <cell r="B3" t="str">
            <v>Euro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BG"/>
      <sheetName val="ER"/>
      <sheetName val="EVPN"/>
      <sheetName val="EFE"/>
      <sheetName val="Nota1"/>
      <sheetName val="Nota 2"/>
      <sheetName val="Nota 3"/>
      <sheetName val="Nota 4"/>
      <sheetName val="Nota 5"/>
      <sheetName val="Hoja1"/>
      <sheetName val="Nota 6"/>
      <sheetName val="Nota 7"/>
      <sheetName val="Nota 8"/>
      <sheetName val="Nota 10"/>
      <sheetName val="Nota 9"/>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row r="1">
          <cell r="C1" t="str">
            <v>NICOLAS GONZALEZ ODDONE S.A.E.C.A</v>
          </cell>
        </row>
        <row r="6">
          <cell r="B6">
            <v>43921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BG"/>
      <sheetName val="EVPN"/>
      <sheetName val="ER"/>
      <sheetName val="EFE"/>
      <sheetName val="Nota1"/>
      <sheetName val="Nota 2"/>
      <sheetName val="Nota 3"/>
      <sheetName val="Nota 4"/>
      <sheetName val="Nota 5"/>
      <sheetName val="Nota 6"/>
      <sheetName val="Nota 7"/>
      <sheetName val="Nota 8"/>
      <sheetName val="Nota 9"/>
      <sheetName val="Nota 10"/>
      <sheetName val="cred"/>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Hoja1"/>
      <sheetName val="Base de Moned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6">
          <cell r="L36">
            <v>378927617</v>
          </cell>
        </row>
        <row r="37">
          <cell r="L37">
            <v>19822425</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10"/>
  <sheetViews>
    <sheetView showGridLines="0" workbookViewId="0">
      <selection activeCell="D23" sqref="D23"/>
    </sheetView>
  </sheetViews>
  <sheetFormatPr baseColWidth="10" defaultColWidth="11.42578125" defaultRowHeight="12"/>
  <cols>
    <col min="1" max="1" width="4.140625" style="332" customWidth="1"/>
    <col min="2" max="2" width="116.28515625" style="332" customWidth="1"/>
    <col min="3" max="16384" width="11.42578125" style="332"/>
  </cols>
  <sheetData>
    <row r="1" spans="2:2">
      <c r="B1" s="473"/>
    </row>
    <row r="2" spans="2:2" ht="52.5" customHeight="1">
      <c r="B2" s="474"/>
    </row>
    <row r="3" spans="2:2">
      <c r="B3" s="475"/>
    </row>
    <row r="4" spans="2:2" ht="67.5" customHeight="1">
      <c r="B4" s="476"/>
    </row>
    <row r="5" spans="2:2" ht="15">
      <c r="B5" s="477" t="s">
        <v>692</v>
      </c>
    </row>
    <row r="6" spans="2:2" ht="2.25" customHeight="1">
      <c r="B6" s="478"/>
    </row>
    <row r="7" spans="2:2" ht="24.75" customHeight="1">
      <c r="B7" s="478"/>
    </row>
    <row r="8" spans="2:2" ht="15.75" customHeight="1">
      <c r="B8" s="479"/>
    </row>
    <row r="9" spans="2:2" ht="15">
      <c r="B9" s="480"/>
    </row>
    <row r="10" spans="2:2" ht="14.25" customHeight="1">
      <c r="B10" s="477" t="s">
        <v>554</v>
      </c>
    </row>
    <row r="11" spans="2:2" ht="15">
      <c r="B11" s="479"/>
    </row>
    <row r="12" spans="2:2" ht="15">
      <c r="B12" s="480"/>
    </row>
    <row r="13" spans="2:2" ht="26.25" customHeight="1">
      <c r="B13" s="477" t="s">
        <v>636</v>
      </c>
    </row>
    <row r="14" spans="2:2" ht="14.25">
      <c r="B14" s="477"/>
    </row>
    <row r="15" spans="2:2" ht="14.25">
      <c r="B15" s="477"/>
    </row>
    <row r="16" spans="2:2" ht="39" customHeight="1">
      <c r="B16" s="477" t="s">
        <v>555</v>
      </c>
    </row>
    <row r="17" spans="2:2" ht="14.25">
      <c r="B17" s="477"/>
    </row>
    <row r="18" spans="2:2" ht="30.75" customHeight="1">
      <c r="B18" s="477"/>
    </row>
    <row r="19" spans="2:2" ht="39.75" customHeight="1">
      <c r="B19" s="477" t="s">
        <v>637</v>
      </c>
    </row>
    <row r="20" spans="2:2" ht="14.25">
      <c r="B20" s="477"/>
    </row>
    <row r="21" spans="2:2" ht="40.5" customHeight="1">
      <c r="B21" s="477"/>
    </row>
    <row r="22" spans="2:2" ht="37.5" customHeight="1">
      <c r="B22" s="477" t="s">
        <v>638</v>
      </c>
    </row>
    <row r="23" spans="2:2" ht="14.25">
      <c r="B23" s="478"/>
    </row>
    <row r="24" spans="2:2" ht="14.25">
      <c r="B24" s="477"/>
    </row>
    <row r="25" spans="2:2" ht="27.75" customHeight="1">
      <c r="B25" s="477" t="s">
        <v>556</v>
      </c>
    </row>
    <row r="26" spans="2:2" ht="15" thickBot="1">
      <c r="B26" s="481"/>
    </row>
    <row r="27" spans="2:2" ht="29.25" customHeight="1">
      <c r="B27" s="465"/>
    </row>
    <row r="28" spans="2:2" ht="29.25" customHeight="1">
      <c r="B28" s="465"/>
    </row>
    <row r="29" spans="2:2" ht="30.75" customHeight="1">
      <c r="B29" s="465"/>
    </row>
    <row r="30" spans="2:2">
      <c r="B30" s="465"/>
    </row>
    <row r="31" spans="2:2" ht="18.75" customHeight="1">
      <c r="B31" s="467"/>
    </row>
    <row r="32" spans="2:2" ht="18" customHeight="1">
      <c r="B32" s="467"/>
    </row>
    <row r="33" spans="2:2" ht="17.25" customHeight="1">
      <c r="B33" s="468"/>
    </row>
    <row r="34" spans="2:2" ht="15" customHeight="1">
      <c r="B34" s="467"/>
    </row>
    <row r="35" spans="2:2" ht="15.75" customHeight="1">
      <c r="B35" s="469"/>
    </row>
    <row r="36" spans="2:2" ht="17.25" customHeight="1">
      <c r="B36" s="468"/>
    </row>
    <row r="37" spans="2:2" ht="15" customHeight="1">
      <c r="B37" s="467"/>
    </row>
    <row r="38" spans="2:2" ht="16.5" customHeight="1">
      <c r="B38" s="465"/>
    </row>
    <row r="39" spans="2:2">
      <c r="B39" s="465"/>
    </row>
    <row r="40" spans="2:2">
      <c r="B40" s="466"/>
    </row>
    <row r="41" spans="2:2">
      <c r="B41" s="170"/>
    </row>
    <row r="42" spans="2:2">
      <c r="B42" s="470"/>
    </row>
    <row r="43" spans="2:2">
      <c r="B43" s="471"/>
    </row>
    <row r="44" spans="2:2">
      <c r="B44" s="472"/>
    </row>
    <row r="45" spans="2:2">
      <c r="B45" s="472"/>
    </row>
    <row r="46" spans="2:2">
      <c r="B46" s="472"/>
    </row>
    <row r="47" spans="2:2">
      <c r="B47" s="472"/>
    </row>
    <row r="48" spans="2:2">
      <c r="B48" s="472"/>
    </row>
    <row r="49" spans="2:2">
      <c r="B49" s="472"/>
    </row>
    <row r="50" spans="2:2">
      <c r="B50" s="119"/>
    </row>
    <row r="51" spans="2:2">
      <c r="B51" s="119"/>
    </row>
    <row r="52" spans="2:2">
      <c r="B52" s="119"/>
    </row>
    <row r="53" spans="2:2">
      <c r="B53" s="119"/>
    </row>
    <row r="54" spans="2:2">
      <c r="B54" s="119"/>
    </row>
    <row r="55" spans="2:2">
      <c r="B55" s="119"/>
    </row>
    <row r="56" spans="2:2">
      <c r="B56" s="119"/>
    </row>
    <row r="57" spans="2:2">
      <c r="B57" s="119"/>
    </row>
    <row r="58" spans="2:2">
      <c r="B58" s="119"/>
    </row>
    <row r="59" spans="2:2">
      <c r="B59" s="119"/>
    </row>
    <row r="60" spans="2:2">
      <c r="B60" s="119"/>
    </row>
    <row r="61" spans="2:2">
      <c r="B61" s="119"/>
    </row>
    <row r="62" spans="2:2">
      <c r="B62" s="119"/>
    </row>
    <row r="63" spans="2:2">
      <c r="B63" s="254"/>
    </row>
    <row r="64" spans="2:2" ht="14.25" customHeight="1">
      <c r="B64" s="119"/>
    </row>
    <row r="65" spans="2:2">
      <c r="B65" s="119"/>
    </row>
    <row r="66" spans="2:2">
      <c r="B66" s="119"/>
    </row>
    <row r="67" spans="2:2">
      <c r="B67" s="254"/>
    </row>
    <row r="68" spans="2:2">
      <c r="B68" s="119"/>
    </row>
    <row r="69" spans="2:2">
      <c r="B69" s="119"/>
    </row>
    <row r="70" spans="2:2">
      <c r="B70" s="248"/>
    </row>
    <row r="71" spans="2:2">
      <c r="B71" s="248"/>
    </row>
    <row r="72" spans="2:2">
      <c r="B72" s="248"/>
    </row>
    <row r="73" spans="2:2">
      <c r="B73" s="119"/>
    </row>
    <row r="74" spans="2:2">
      <c r="B74" s="119"/>
    </row>
    <row r="75" spans="2:2">
      <c r="B75" s="248"/>
    </row>
    <row r="76" spans="2:2">
      <c r="B76" s="119"/>
    </row>
    <row r="77" spans="2:2">
      <c r="B77" s="119"/>
    </row>
    <row r="78" spans="2:2">
      <c r="B78" s="119"/>
    </row>
    <row r="79" spans="2:2">
      <c r="B79" s="119"/>
    </row>
    <row r="80" spans="2:2">
      <c r="B80" s="248"/>
    </row>
    <row r="81" spans="2:2">
      <c r="B81" s="119"/>
    </row>
    <row r="82" spans="2:2">
      <c r="B82" s="119"/>
    </row>
    <row r="83" spans="2:2">
      <c r="B83" s="119"/>
    </row>
    <row r="84" spans="2:2">
      <c r="B84" s="119"/>
    </row>
    <row r="85" spans="2:2">
      <c r="B85" s="248"/>
    </row>
    <row r="86" spans="2:2">
      <c r="B86" s="248"/>
    </row>
    <row r="87" spans="2:2">
      <c r="B87" s="119"/>
    </row>
    <row r="88" spans="2:2">
      <c r="B88" s="119"/>
    </row>
    <row r="90" spans="2:2">
      <c r="B90" s="119"/>
    </row>
    <row r="91" spans="2:2">
      <c r="B91" s="119"/>
    </row>
    <row r="92" spans="2:2">
      <c r="B92" s="119"/>
    </row>
    <row r="93" spans="2:2">
      <c r="B93" s="119"/>
    </row>
    <row r="94" spans="2:2">
      <c r="B94" s="248"/>
    </row>
    <row r="95" spans="2:2">
      <c r="B95" s="119"/>
    </row>
    <row r="96" spans="2:2">
      <c r="B96" s="119"/>
    </row>
    <row r="97" spans="2:2">
      <c r="B97" s="119"/>
    </row>
    <row r="98" spans="2:2">
      <c r="B98" s="248"/>
    </row>
    <row r="99" spans="2:2">
      <c r="B99" s="119"/>
    </row>
    <row r="100" spans="2:2">
      <c r="B100" s="119"/>
    </row>
    <row r="101" spans="2:2">
      <c r="B101" s="119"/>
    </row>
    <row r="102" spans="2:2">
      <c r="B102" s="119"/>
    </row>
    <row r="103" spans="2:2">
      <c r="B103" s="119"/>
    </row>
    <row r="104" spans="2:2">
      <c r="B104" s="248"/>
    </row>
    <row r="105" spans="2:2">
      <c r="B105" s="248"/>
    </row>
    <row r="106" spans="2:2">
      <c r="B106" s="119"/>
    </row>
    <row r="107" spans="2:2">
      <c r="B107" s="248"/>
    </row>
    <row r="108" spans="2:2">
      <c r="B108" s="248"/>
    </row>
    <row r="109" spans="2:2">
      <c r="B109" s="119"/>
    </row>
    <row r="110" spans="2:2">
      <c r="B110" s="119"/>
    </row>
  </sheetData>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AD72"/>
  <sheetViews>
    <sheetView showGridLines="0" workbookViewId="0">
      <selection activeCell="B19" sqref="B19"/>
    </sheetView>
  </sheetViews>
  <sheetFormatPr baseColWidth="10" defaultColWidth="11.42578125" defaultRowHeight="12"/>
  <cols>
    <col min="1" max="1" width="37.85546875" style="522" customWidth="1"/>
    <col min="2" max="2" width="15.7109375" style="116" customWidth="1"/>
    <col min="3" max="3" width="16.28515625" style="116" customWidth="1"/>
    <col min="4" max="5" width="11.42578125" style="522"/>
    <col min="6" max="6" width="11.42578125" style="522" customWidth="1"/>
    <col min="7" max="30" width="11.42578125" style="111"/>
    <col min="31" max="16384" width="11.42578125" style="522"/>
  </cols>
  <sheetData>
    <row r="1" spans="1:30" ht="14.25" customHeight="1">
      <c r="A1" s="277" t="str">
        <f>Indice!C1</f>
        <v>NICOLAS GONZALEZ ODDONE S.A.E.C.A</v>
      </c>
      <c r="B1" s="112"/>
      <c r="C1" s="279" t="s">
        <v>79</v>
      </c>
      <c r="D1" s="115"/>
      <c r="E1" s="111"/>
      <c r="F1" s="111"/>
    </row>
    <row r="2" spans="1:30">
      <c r="A2" s="111"/>
      <c r="B2" s="112"/>
      <c r="C2" s="112"/>
      <c r="D2" s="111"/>
      <c r="E2" s="111"/>
      <c r="F2" s="111"/>
    </row>
    <row r="3" spans="1:30" ht="15.75" customHeight="1">
      <c r="A3" s="1209" t="s">
        <v>338</v>
      </c>
      <c r="B3" s="1209"/>
      <c r="C3" s="1209"/>
      <c r="D3" s="111"/>
      <c r="E3" s="111"/>
      <c r="F3" s="111"/>
    </row>
    <row r="4" spans="1:30">
      <c r="A4" s="1249" t="s">
        <v>171</v>
      </c>
      <c r="B4" s="1249"/>
      <c r="C4" s="112"/>
      <c r="D4" s="111"/>
      <c r="E4" s="111"/>
      <c r="F4" s="111"/>
    </row>
    <row r="5" spans="1:30">
      <c r="A5" s="529"/>
      <c r="B5" s="529"/>
      <c r="C5" s="112"/>
      <c r="D5" s="111"/>
      <c r="E5" s="111"/>
      <c r="F5" s="111"/>
    </row>
    <row r="6" spans="1:30">
      <c r="A6" s="113" t="s">
        <v>2</v>
      </c>
      <c r="B6" s="112"/>
      <c r="C6" s="112"/>
      <c r="D6" s="111"/>
      <c r="E6" s="111"/>
      <c r="F6" s="111"/>
    </row>
    <row r="7" spans="1:30">
      <c r="A7" s="113"/>
      <c r="B7" s="1248"/>
      <c r="C7" s="1248"/>
      <c r="D7" s="111"/>
      <c r="E7" s="111"/>
      <c r="F7" s="111"/>
    </row>
    <row r="8" spans="1:30" ht="12.75">
      <c r="A8" s="544" t="s">
        <v>337</v>
      </c>
      <c r="B8" s="1044">
        <v>44561</v>
      </c>
      <c r="C8" s="1044">
        <v>44196</v>
      </c>
      <c r="D8" s="111"/>
      <c r="E8" s="111"/>
      <c r="F8" s="111"/>
    </row>
    <row r="9" spans="1:30">
      <c r="A9" s="111" t="s">
        <v>334</v>
      </c>
      <c r="B9" s="1045">
        <v>66992777</v>
      </c>
      <c r="C9" s="1045">
        <v>7867753315</v>
      </c>
      <c r="D9" s="111"/>
      <c r="E9" s="111"/>
      <c r="F9" s="111"/>
    </row>
    <row r="10" spans="1:30">
      <c r="A10" s="111" t="s">
        <v>744</v>
      </c>
      <c r="B10" s="1045">
        <v>0</v>
      </c>
      <c r="C10" s="1045">
        <v>20676000000</v>
      </c>
      <c r="D10" s="111"/>
      <c r="E10" s="111"/>
      <c r="F10" s="111"/>
    </row>
    <row r="11" spans="1:30">
      <c r="A11" s="111" t="s">
        <v>707</v>
      </c>
      <c r="B11" s="1045">
        <v>0</v>
      </c>
      <c r="C11" s="1045">
        <v>27948468587</v>
      </c>
      <c r="D11" s="111"/>
      <c r="E11" s="111"/>
      <c r="F11" s="111"/>
    </row>
    <row r="12" spans="1:30" hidden="1">
      <c r="A12" s="111" t="s">
        <v>876</v>
      </c>
      <c r="B12" s="1045">
        <v>0</v>
      </c>
      <c r="C12" s="1045">
        <v>0</v>
      </c>
      <c r="D12" s="111"/>
      <c r="E12" s="111"/>
      <c r="F12" s="111"/>
    </row>
    <row r="13" spans="1:30" s="900" customFormat="1" ht="11.25" customHeight="1">
      <c r="A13" s="111" t="s">
        <v>336</v>
      </c>
      <c r="B13" s="1045">
        <v>765072011</v>
      </c>
      <c r="C13" s="1045">
        <v>31284422782</v>
      </c>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row>
    <row r="14" spans="1:30">
      <c r="A14" s="111" t="s">
        <v>974</v>
      </c>
      <c r="B14" s="1045">
        <v>4259592480</v>
      </c>
      <c r="C14" s="1045">
        <v>11168968440</v>
      </c>
      <c r="D14" s="111"/>
      <c r="E14" s="111"/>
      <c r="F14" s="111"/>
    </row>
    <row r="15" spans="1:30" s="774" customFormat="1" ht="11.25" customHeight="1">
      <c r="A15" s="111" t="s">
        <v>745</v>
      </c>
      <c r="B15" s="1045">
        <v>27301162574</v>
      </c>
      <c r="C15" s="1045">
        <v>41352000000</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row>
    <row r="16" spans="1:30" s="1012" customFormat="1" ht="11.25" customHeight="1">
      <c r="A16" s="111" t="s">
        <v>746</v>
      </c>
      <c r="B16" s="1045">
        <v>7075243238</v>
      </c>
      <c r="C16" s="1045">
        <v>32079868476</v>
      </c>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row>
    <row r="17" spans="1:30" s="774" customFormat="1" ht="11.25" customHeight="1">
      <c r="A17" s="111" t="s">
        <v>877</v>
      </c>
      <c r="B17" s="1045">
        <v>3631517050</v>
      </c>
      <c r="C17" s="1045">
        <v>0</v>
      </c>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row>
    <row r="18" spans="1:30" s="900" customFormat="1" ht="11.25" hidden="1" customHeight="1">
      <c r="A18" s="111" t="s">
        <v>878</v>
      </c>
      <c r="B18" s="1045">
        <v>0</v>
      </c>
      <c r="C18" s="1045">
        <v>0</v>
      </c>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row>
    <row r="19" spans="1:30" s="900" customFormat="1" ht="11.25" customHeight="1">
      <c r="A19" s="111" t="s">
        <v>879</v>
      </c>
      <c r="B19" s="1045">
        <v>1765586335</v>
      </c>
      <c r="C19" s="1045">
        <v>0</v>
      </c>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row>
    <row r="20" spans="1:30" ht="12.75" thickBot="1">
      <c r="A20" s="110" t="s">
        <v>1</v>
      </c>
      <c r="B20" s="1046">
        <f>SUM(B9:B19)</f>
        <v>44865166465</v>
      </c>
      <c r="C20" s="1046">
        <f>SUM($C$9:C19)</f>
        <v>172377481600</v>
      </c>
      <c r="D20" s="111"/>
      <c r="E20" s="111"/>
      <c r="F20" s="111"/>
    </row>
    <row r="21" spans="1:30" ht="12.75" thickTop="1">
      <c r="A21" s="111"/>
      <c r="B21" s="112"/>
      <c r="C21" s="112"/>
      <c r="D21" s="111"/>
      <c r="E21" s="111"/>
      <c r="F21" s="111"/>
    </row>
    <row r="22" spans="1:30">
      <c r="A22" s="111"/>
      <c r="B22" s="112"/>
      <c r="C22" s="112"/>
      <c r="D22" s="111"/>
      <c r="E22" s="111"/>
      <c r="F22" s="111"/>
    </row>
    <row r="23" spans="1:30">
      <c r="A23" s="111"/>
      <c r="B23" s="112"/>
      <c r="C23" s="112"/>
      <c r="D23" s="111"/>
      <c r="E23" s="111"/>
      <c r="F23" s="111"/>
    </row>
    <row r="24" spans="1:30">
      <c r="A24" s="111"/>
      <c r="B24" s="112"/>
      <c r="C24" s="112"/>
      <c r="D24" s="111"/>
      <c r="E24" s="111"/>
      <c r="F24" s="111"/>
    </row>
    <row r="25" spans="1:30">
      <c r="A25" s="111"/>
      <c r="B25" s="112"/>
      <c r="C25" s="112"/>
      <c r="D25" s="111"/>
      <c r="E25" s="111"/>
      <c r="F25" s="111"/>
    </row>
    <row r="26" spans="1:30">
      <c r="A26" s="111"/>
      <c r="B26" s="112"/>
      <c r="C26" s="112"/>
      <c r="D26" s="111"/>
      <c r="E26" s="111"/>
      <c r="F26" s="111"/>
    </row>
    <row r="27" spans="1:30">
      <c r="A27" s="111"/>
      <c r="B27" s="112"/>
      <c r="C27" s="112"/>
      <c r="D27" s="111"/>
      <c r="E27" s="111"/>
      <c r="F27" s="111"/>
    </row>
    <row r="28" spans="1:30">
      <c r="A28" s="111"/>
      <c r="B28" s="112"/>
      <c r="C28" s="112"/>
      <c r="D28" s="111"/>
      <c r="E28" s="111"/>
      <c r="F28" s="111"/>
    </row>
    <row r="29" spans="1:30">
      <c r="A29" s="111"/>
      <c r="B29" s="112"/>
      <c r="C29" s="112"/>
      <c r="D29" s="111"/>
      <c r="E29" s="111"/>
      <c r="F29" s="111"/>
    </row>
    <row r="30" spans="1:30">
      <c r="A30" s="111"/>
      <c r="B30" s="112"/>
      <c r="C30" s="112"/>
      <c r="D30" s="111"/>
      <c r="E30" s="111"/>
      <c r="F30" s="111"/>
    </row>
    <row r="31" spans="1:30">
      <c r="A31" s="111"/>
      <c r="B31" s="112"/>
      <c r="C31" s="112"/>
      <c r="D31" s="111"/>
      <c r="E31" s="111"/>
      <c r="F31" s="111"/>
    </row>
    <row r="32" spans="1:30">
      <c r="A32" s="111"/>
      <c r="B32" s="112"/>
      <c r="C32" s="112"/>
      <c r="D32" s="111"/>
      <c r="E32" s="111"/>
      <c r="F32" s="111"/>
    </row>
    <row r="33" spans="1:6">
      <c r="A33" s="111"/>
      <c r="B33" s="112"/>
      <c r="C33" s="112"/>
      <c r="D33" s="111"/>
      <c r="E33" s="111"/>
      <c r="F33" s="111"/>
    </row>
    <row r="34" spans="1:6">
      <c r="A34" s="111"/>
      <c r="B34" s="112"/>
      <c r="C34" s="112"/>
      <c r="D34" s="111"/>
      <c r="E34" s="111"/>
      <c r="F34" s="111"/>
    </row>
    <row r="35" spans="1:6">
      <c r="A35" s="111"/>
      <c r="B35" s="112"/>
      <c r="C35" s="112"/>
      <c r="D35" s="111"/>
      <c r="E35" s="111"/>
      <c r="F35" s="111"/>
    </row>
    <row r="36" spans="1:6">
      <c r="A36" s="111"/>
      <c r="B36" s="112"/>
      <c r="C36" s="112"/>
      <c r="D36" s="111"/>
      <c r="E36" s="111"/>
      <c r="F36" s="111"/>
    </row>
    <row r="37" spans="1:6">
      <c r="A37" s="111"/>
      <c r="B37" s="112"/>
      <c r="C37" s="112"/>
      <c r="D37" s="111"/>
      <c r="E37" s="111"/>
      <c r="F37" s="111"/>
    </row>
    <row r="38" spans="1:6">
      <c r="A38" s="111"/>
      <c r="B38" s="112"/>
      <c r="C38" s="112"/>
      <c r="D38" s="111"/>
      <c r="E38" s="111"/>
      <c r="F38" s="111"/>
    </row>
    <row r="39" spans="1:6">
      <c r="A39" s="111"/>
      <c r="B39" s="112"/>
      <c r="C39" s="112"/>
      <c r="D39" s="111"/>
      <c r="E39" s="111"/>
      <c r="F39" s="111"/>
    </row>
    <row r="40" spans="1:6">
      <c r="A40" s="111"/>
      <c r="B40" s="112"/>
      <c r="C40" s="112"/>
      <c r="D40" s="111"/>
      <c r="E40" s="111"/>
      <c r="F40" s="111"/>
    </row>
    <row r="41" spans="1:6">
      <c r="A41" s="111"/>
      <c r="B41" s="112"/>
      <c r="C41" s="112"/>
      <c r="D41" s="111"/>
      <c r="E41" s="111"/>
      <c r="F41" s="111"/>
    </row>
    <row r="42" spans="1:6">
      <c r="A42" s="111"/>
      <c r="B42" s="112"/>
      <c r="C42" s="112"/>
      <c r="D42" s="111"/>
      <c r="E42" s="111"/>
      <c r="F42" s="111"/>
    </row>
    <row r="43" spans="1:6">
      <c r="A43" s="111"/>
      <c r="B43" s="112"/>
      <c r="C43" s="112"/>
      <c r="D43" s="111"/>
      <c r="E43" s="111"/>
      <c r="F43" s="111"/>
    </row>
    <row r="44" spans="1:6">
      <c r="A44" s="111"/>
      <c r="B44" s="112"/>
      <c r="C44" s="112"/>
      <c r="D44" s="111"/>
      <c r="E44" s="111"/>
      <c r="F44" s="111"/>
    </row>
    <row r="45" spans="1:6">
      <c r="A45" s="111"/>
      <c r="B45" s="112"/>
      <c r="C45" s="112"/>
      <c r="D45" s="111"/>
      <c r="E45" s="111"/>
      <c r="F45" s="111"/>
    </row>
    <row r="46" spans="1:6">
      <c r="A46" s="111"/>
      <c r="B46" s="112"/>
      <c r="C46" s="112"/>
      <c r="D46" s="111"/>
      <c r="E46" s="111"/>
      <c r="F46" s="111"/>
    </row>
    <row r="47" spans="1:6">
      <c r="A47" s="111"/>
      <c r="B47" s="112"/>
      <c r="C47" s="112"/>
      <c r="D47" s="111"/>
      <c r="E47" s="111"/>
      <c r="F47" s="111"/>
    </row>
    <row r="48" spans="1:6">
      <c r="A48" s="111"/>
      <c r="B48" s="112"/>
      <c r="C48" s="112"/>
      <c r="D48" s="111"/>
      <c r="E48" s="111"/>
      <c r="F48" s="111"/>
    </row>
    <row r="49" spans="1:6">
      <c r="A49" s="111"/>
      <c r="B49" s="112"/>
      <c r="C49" s="112"/>
      <c r="D49" s="111"/>
      <c r="E49" s="111"/>
      <c r="F49" s="111"/>
    </row>
    <row r="50" spans="1:6">
      <c r="A50" s="111"/>
      <c r="B50" s="112"/>
      <c r="C50" s="112"/>
      <c r="D50" s="111"/>
      <c r="E50" s="111"/>
      <c r="F50" s="111"/>
    </row>
    <row r="51" spans="1:6">
      <c r="A51" s="111"/>
      <c r="B51" s="112"/>
      <c r="C51" s="112"/>
      <c r="D51" s="111"/>
      <c r="E51" s="111"/>
      <c r="F51" s="111"/>
    </row>
    <row r="52" spans="1:6">
      <c r="A52" s="111"/>
      <c r="B52" s="112"/>
      <c r="C52" s="112"/>
      <c r="D52" s="111"/>
      <c r="E52" s="111"/>
      <c r="F52" s="111"/>
    </row>
    <row r="53" spans="1:6">
      <c r="A53" s="111"/>
      <c r="B53" s="112"/>
      <c r="C53" s="112"/>
      <c r="D53" s="111"/>
      <c r="E53" s="111"/>
      <c r="F53" s="111"/>
    </row>
    <row r="54" spans="1:6">
      <c r="A54" s="111"/>
      <c r="B54" s="112"/>
      <c r="C54" s="112"/>
      <c r="D54" s="111"/>
      <c r="E54" s="111"/>
      <c r="F54" s="111"/>
    </row>
    <row r="55" spans="1:6">
      <c r="A55" s="111"/>
      <c r="B55" s="112"/>
      <c r="C55" s="112"/>
      <c r="D55" s="111"/>
      <c r="E55" s="111"/>
      <c r="F55" s="111"/>
    </row>
    <row r="56" spans="1:6">
      <c r="A56" s="111"/>
      <c r="B56" s="112"/>
      <c r="C56" s="112"/>
      <c r="D56" s="111"/>
      <c r="E56" s="111"/>
      <c r="F56" s="111"/>
    </row>
    <row r="57" spans="1:6">
      <c r="A57" s="111"/>
      <c r="B57" s="112"/>
      <c r="C57" s="112"/>
      <c r="D57" s="111"/>
      <c r="E57" s="111"/>
      <c r="F57" s="111"/>
    </row>
    <row r="58" spans="1:6">
      <c r="A58" s="111"/>
      <c r="B58" s="112"/>
      <c r="C58" s="112"/>
      <c r="D58" s="111"/>
      <c r="E58" s="111"/>
      <c r="F58" s="111"/>
    </row>
    <row r="59" spans="1:6">
      <c r="A59" s="111"/>
      <c r="B59" s="112"/>
      <c r="C59" s="112"/>
      <c r="D59" s="111"/>
      <c r="E59" s="111"/>
      <c r="F59" s="111"/>
    </row>
    <row r="60" spans="1:6">
      <c r="A60" s="111"/>
      <c r="B60" s="112"/>
      <c r="C60" s="112"/>
      <c r="D60" s="111"/>
      <c r="E60" s="111"/>
      <c r="F60" s="111"/>
    </row>
    <row r="61" spans="1:6">
      <c r="A61" s="111"/>
      <c r="B61" s="112"/>
      <c r="C61" s="112"/>
      <c r="D61" s="111"/>
      <c r="E61" s="111"/>
      <c r="F61" s="111"/>
    </row>
    <row r="62" spans="1:6">
      <c r="A62" s="111"/>
      <c r="B62" s="112"/>
      <c r="C62" s="112"/>
      <c r="D62" s="111"/>
      <c r="E62" s="111"/>
      <c r="F62" s="111"/>
    </row>
    <row r="63" spans="1:6">
      <c r="A63" s="111"/>
      <c r="B63" s="112"/>
      <c r="C63" s="112"/>
      <c r="D63" s="111"/>
      <c r="E63" s="111"/>
      <c r="F63" s="111"/>
    </row>
    <row r="64" spans="1:6">
      <c r="A64" s="111"/>
      <c r="B64" s="112"/>
      <c r="C64" s="112"/>
      <c r="D64" s="111"/>
      <c r="E64" s="111"/>
      <c r="F64" s="111"/>
    </row>
    <row r="65" spans="1:6">
      <c r="A65" s="111"/>
      <c r="B65" s="112"/>
      <c r="C65" s="112"/>
      <c r="D65" s="111"/>
      <c r="E65" s="111"/>
      <c r="F65" s="111"/>
    </row>
    <row r="66" spans="1:6">
      <c r="A66" s="111"/>
      <c r="B66" s="112"/>
      <c r="C66" s="112"/>
      <c r="D66" s="111"/>
      <c r="E66" s="111"/>
      <c r="F66" s="111"/>
    </row>
    <row r="67" spans="1:6">
      <c r="A67" s="111"/>
      <c r="B67" s="112"/>
      <c r="C67" s="112"/>
      <c r="D67" s="111"/>
      <c r="E67" s="111"/>
      <c r="F67" s="111"/>
    </row>
    <row r="68" spans="1:6">
      <c r="A68" s="111"/>
      <c r="B68" s="112"/>
      <c r="C68" s="112"/>
      <c r="D68" s="111"/>
      <c r="E68" s="111"/>
      <c r="F68" s="111"/>
    </row>
    <row r="69" spans="1:6">
      <c r="A69" s="111"/>
      <c r="B69" s="112"/>
      <c r="C69" s="112"/>
      <c r="D69" s="111"/>
      <c r="E69" s="111"/>
      <c r="F69" s="111"/>
    </row>
    <row r="70" spans="1:6">
      <c r="A70" s="111"/>
      <c r="B70" s="112"/>
      <c r="C70" s="112"/>
      <c r="D70" s="111"/>
      <c r="E70" s="111"/>
      <c r="F70" s="111"/>
    </row>
    <row r="71" spans="1:6">
      <c r="A71" s="111"/>
      <c r="B71" s="112"/>
      <c r="C71" s="112"/>
      <c r="D71" s="111"/>
      <c r="E71" s="111"/>
      <c r="F71" s="111"/>
    </row>
    <row r="72" spans="1:6">
      <c r="A72" s="111"/>
      <c r="B72" s="112"/>
      <c r="C72" s="112"/>
      <c r="D72" s="111"/>
      <c r="E72" s="111"/>
      <c r="F72" s="111"/>
    </row>
  </sheetData>
  <mergeCells count="3">
    <mergeCell ref="A3:C3"/>
    <mergeCell ref="B7:C7"/>
    <mergeCell ref="A4:B4"/>
  </mergeCells>
  <hyperlinks>
    <hyperlink ref="C1" location="BG!A1" display="BG" xr:uid="{00000000-0004-0000-0900-000000000000}"/>
  </hyperlinks>
  <pageMargins left="0.7" right="0.7" top="0.75" bottom="0.75" header="0.3" footer="0.3"/>
  <pageSetup orientation="portrait" r:id="rId1"/>
  <ignoredErrors>
    <ignoredError sqref="B2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AD69"/>
  <sheetViews>
    <sheetView showGridLines="0" zoomScaleNormal="100" workbookViewId="0">
      <selection activeCell="B1" sqref="B1"/>
    </sheetView>
  </sheetViews>
  <sheetFormatPr baseColWidth="10" defaultColWidth="11.42578125" defaultRowHeight="12"/>
  <cols>
    <col min="1" max="1" width="36.5703125" style="522" customWidth="1"/>
    <col min="2" max="2" width="23.7109375" style="116" customWidth="1"/>
    <col min="3" max="3" width="19.85546875" style="116" customWidth="1"/>
    <col min="4" max="4" width="17.140625" style="522" customWidth="1"/>
    <col min="5" max="5" width="2.7109375" style="522" customWidth="1"/>
    <col min="6" max="6" width="29.28515625" style="522" customWidth="1"/>
    <col min="7" max="7" width="17.42578125" style="111" customWidth="1"/>
    <col min="8" max="8" width="14.5703125" style="111" customWidth="1"/>
    <col min="9" max="9" width="14.140625" style="111" customWidth="1"/>
    <col min="10" max="30" width="11.42578125" style="111"/>
    <col min="31" max="16384" width="11.42578125" style="522"/>
  </cols>
  <sheetData>
    <row r="1" spans="1:13" ht="17.25" customHeight="1">
      <c r="A1" s="277" t="str">
        <f>Indice!C1</f>
        <v>NICOLAS GONZALEZ ODDONE S.A.E.C.A</v>
      </c>
      <c r="B1" s="921" t="s">
        <v>79</v>
      </c>
      <c r="C1" s="279"/>
      <c r="D1" s="115"/>
      <c r="E1" s="111"/>
      <c r="F1" s="111"/>
    </row>
    <row r="2" spans="1:13">
      <c r="A2" s="111"/>
      <c r="B2" s="112"/>
      <c r="C2" s="112"/>
      <c r="D2" s="111"/>
      <c r="E2" s="111"/>
      <c r="F2" s="111"/>
    </row>
    <row r="3" spans="1:13" ht="16.5" customHeight="1">
      <c r="A3" s="1209" t="s">
        <v>584</v>
      </c>
      <c r="B3" s="1209"/>
      <c r="C3" s="1209"/>
      <c r="D3" s="111"/>
      <c r="E3" s="111"/>
      <c r="F3" s="111"/>
    </row>
    <row r="4" spans="1:13">
      <c r="A4" s="1249" t="s">
        <v>171</v>
      </c>
      <c r="B4" s="1249"/>
      <c r="C4" s="112"/>
      <c r="D4" s="111"/>
      <c r="E4" s="111"/>
      <c r="F4" s="111"/>
    </row>
    <row r="5" spans="1:13">
      <c r="A5" s="529"/>
      <c r="B5" s="529"/>
      <c r="C5" s="112"/>
      <c r="D5" s="111"/>
      <c r="E5" s="111"/>
      <c r="F5" s="111"/>
      <c r="I5" s="112"/>
    </row>
    <row r="6" spans="1:13" ht="12.75">
      <c r="A6" s="1017"/>
      <c r="B6" s="1017"/>
      <c r="C6" s="1251"/>
      <c r="D6" s="1251"/>
      <c r="E6" s="975"/>
      <c r="F6" s="256"/>
      <c r="G6" s="256"/>
      <c r="H6" s="256"/>
      <c r="I6" s="970"/>
      <c r="J6" s="519"/>
      <c r="K6" s="519"/>
      <c r="L6" s="519"/>
      <c r="M6" s="519"/>
    </row>
    <row r="7" spans="1:13" ht="23.25" customHeight="1">
      <c r="A7" s="356" t="s">
        <v>302</v>
      </c>
      <c r="B7" s="356"/>
      <c r="C7" s="1251"/>
      <c r="D7" s="1251"/>
      <c r="E7" s="975"/>
      <c r="F7" s="979" t="s">
        <v>925</v>
      </c>
      <c r="G7" s="980" t="s">
        <v>301</v>
      </c>
      <c r="H7" s="980" t="s">
        <v>926</v>
      </c>
      <c r="I7" s="971"/>
      <c r="J7" s="519"/>
      <c r="K7" s="519"/>
      <c r="L7" s="519"/>
      <c r="M7" s="519"/>
    </row>
    <row r="8" spans="1:13" ht="16.5" customHeight="1">
      <c r="A8" s="256"/>
      <c r="B8" s="256"/>
      <c r="C8" s="1020">
        <v>44561</v>
      </c>
      <c r="D8" s="1020">
        <v>44196</v>
      </c>
      <c r="E8" s="975"/>
      <c r="F8" s="981" t="s">
        <v>927</v>
      </c>
      <c r="G8" s="982">
        <f>284915708619+7276983876+36733172+C34</f>
        <v>312555102885</v>
      </c>
      <c r="H8" s="983">
        <v>2.3300000000000001E-2</v>
      </c>
      <c r="I8" s="971"/>
      <c r="J8" s="519"/>
      <c r="K8" s="519"/>
      <c r="L8" s="519"/>
      <c r="M8" s="519"/>
    </row>
    <row r="9" spans="1:13" ht="12.75">
      <c r="A9" s="977" t="s">
        <v>165</v>
      </c>
      <c r="B9" s="977" t="s">
        <v>274</v>
      </c>
      <c r="C9" s="978">
        <f>200831391952+793915368-C11</f>
        <v>177165732450</v>
      </c>
      <c r="D9" s="1007">
        <v>165834315005</v>
      </c>
      <c r="E9" s="975"/>
      <c r="F9" s="984" t="s">
        <v>7</v>
      </c>
      <c r="G9" s="985">
        <f>+C28+C29+C40+C46+C35</f>
        <v>35304856626</v>
      </c>
      <c r="H9" s="986">
        <v>0.96199999999999997</v>
      </c>
      <c r="I9" s="971"/>
      <c r="J9" s="519"/>
      <c r="K9" s="519"/>
      <c r="L9" s="519"/>
      <c r="M9" s="519"/>
    </row>
    <row r="10" spans="1:13" ht="12.75">
      <c r="A10" s="977" t="s">
        <v>165</v>
      </c>
      <c r="B10" s="977" t="s">
        <v>275</v>
      </c>
      <c r="C10" s="978">
        <f>1969453337-C12-C16</f>
        <v>1745267444.6399999</v>
      </c>
      <c r="D10" s="1007">
        <v>3485616440</v>
      </c>
      <c r="E10" s="975"/>
      <c r="F10" s="987" t="s">
        <v>930</v>
      </c>
      <c r="G10" s="985"/>
      <c r="H10" s="986"/>
      <c r="I10" s="972"/>
      <c r="J10" s="519"/>
      <c r="K10" s="519"/>
      <c r="L10" s="519"/>
      <c r="M10" s="519"/>
    </row>
    <row r="11" spans="1:13" s="1166" customFormat="1" ht="12.75">
      <c r="A11" s="1183" t="s">
        <v>276</v>
      </c>
      <c r="B11" s="1183" t="s">
        <v>274</v>
      </c>
      <c r="C11" s="1105">
        <v>24459574870</v>
      </c>
      <c r="D11" s="1066">
        <v>29769291745</v>
      </c>
      <c r="E11" s="1184"/>
      <c r="F11" s="1185" t="s">
        <v>4</v>
      </c>
      <c r="G11" s="985">
        <f>+C28+C29+C46</f>
        <v>4854606429</v>
      </c>
      <c r="H11" s="986">
        <v>0.72340000000000004</v>
      </c>
      <c r="I11" s="972"/>
    </row>
    <row r="12" spans="1:13" s="1166" customFormat="1" ht="12.75">
      <c r="A12" s="1183" t="s">
        <v>276</v>
      </c>
      <c r="B12" s="1183" t="s">
        <v>275</v>
      </c>
      <c r="C12" s="1105">
        <v>2005145</v>
      </c>
      <c r="D12" s="1066">
        <v>3821621</v>
      </c>
      <c r="E12" s="1184"/>
      <c r="F12" s="1185" t="s">
        <v>5</v>
      </c>
      <c r="G12" s="985">
        <v>11343970105</v>
      </c>
      <c r="H12" s="986">
        <v>1</v>
      </c>
      <c r="I12" s="972"/>
    </row>
    <row r="13" spans="1:13" ht="12.75">
      <c r="A13" s="977" t="s">
        <v>163</v>
      </c>
      <c r="B13" s="977" t="s">
        <v>274</v>
      </c>
      <c r="C13" s="978">
        <f>79725979235+4432339133</f>
        <v>84158318368</v>
      </c>
      <c r="D13" s="1007">
        <v>89615029748</v>
      </c>
      <c r="E13" s="975"/>
      <c r="F13" s="988" t="s">
        <v>6</v>
      </c>
      <c r="G13" s="985">
        <v>19106280092</v>
      </c>
      <c r="H13" s="986">
        <v>1</v>
      </c>
      <c r="I13" s="973"/>
      <c r="J13" s="519"/>
      <c r="K13" s="519"/>
      <c r="L13" s="519"/>
      <c r="M13" s="519"/>
    </row>
    <row r="14" spans="1:13" ht="14.25" customHeight="1">
      <c r="A14" s="977" t="s">
        <v>164</v>
      </c>
      <c r="B14" s="977" t="s">
        <v>274</v>
      </c>
      <c r="C14" s="978">
        <v>670936790</v>
      </c>
      <c r="D14" s="1007">
        <v>1382886373</v>
      </c>
      <c r="E14" s="975"/>
      <c r="F14" s="991" t="s">
        <v>931</v>
      </c>
      <c r="G14" s="992">
        <f>+G8+G9</f>
        <v>347859959511</v>
      </c>
      <c r="H14" s="993"/>
      <c r="I14" s="160"/>
      <c r="J14" s="519"/>
      <c r="K14" s="519"/>
      <c r="L14" s="519"/>
      <c r="M14" s="519"/>
    </row>
    <row r="15" spans="1:13" ht="12.75">
      <c r="A15" s="1000" t="s">
        <v>586</v>
      </c>
      <c r="B15" s="977" t="s">
        <v>274</v>
      </c>
      <c r="C15" s="1105">
        <v>36733172</v>
      </c>
      <c r="D15" s="1007">
        <v>33255184</v>
      </c>
      <c r="E15" s="975"/>
      <c r="F15" s="981"/>
      <c r="G15" s="989"/>
      <c r="H15" s="990"/>
      <c r="I15" s="972"/>
      <c r="J15" s="519"/>
      <c r="K15" s="519"/>
      <c r="L15" s="519"/>
      <c r="M15" s="519"/>
    </row>
    <row r="16" spans="1:13" s="1166" customFormat="1" ht="13.5" customHeight="1">
      <c r="A16" s="1186" t="s">
        <v>587</v>
      </c>
      <c r="B16" s="1183" t="s">
        <v>275</v>
      </c>
      <c r="C16" s="1105">
        <v>222180747.36000001</v>
      </c>
      <c r="D16" s="1066">
        <v>19171900</v>
      </c>
      <c r="E16" s="1184"/>
      <c r="F16" s="1187" t="s">
        <v>932</v>
      </c>
      <c r="G16" s="1106">
        <f>-3511980136-11343970105-19106280092-7276983876</f>
        <v>-41239214209</v>
      </c>
      <c r="H16" s="1188"/>
      <c r="I16" s="972"/>
    </row>
    <row r="17" spans="1:13" ht="13.5" customHeight="1">
      <c r="A17" s="1000" t="s">
        <v>277</v>
      </c>
      <c r="B17" s="977" t="s">
        <v>928</v>
      </c>
      <c r="C17" s="1105">
        <f>9694015015-5925338335</f>
        <v>3768676680</v>
      </c>
      <c r="D17" s="1007">
        <v>2260509411</v>
      </c>
      <c r="E17" s="975"/>
      <c r="F17" s="981"/>
      <c r="G17" s="994"/>
      <c r="H17" s="995"/>
      <c r="I17" s="160"/>
      <c r="J17" s="519"/>
      <c r="K17" s="519"/>
      <c r="L17" s="519"/>
      <c r="M17" s="519"/>
    </row>
    <row r="18" spans="1:13" ht="13.5" customHeight="1">
      <c r="A18" s="977" t="s">
        <v>278</v>
      </c>
      <c r="B18" s="977"/>
      <c r="C18" s="1105">
        <v>-7276983876</v>
      </c>
      <c r="D18" s="1007">
        <v>-7954685940</v>
      </c>
      <c r="E18" s="975"/>
      <c r="F18" s="996" t="s">
        <v>933</v>
      </c>
      <c r="G18" s="997">
        <f>+G14+G16</f>
        <v>306620745302</v>
      </c>
      <c r="H18" s="992"/>
      <c r="I18" s="970"/>
      <c r="J18" s="519"/>
      <c r="K18" s="519"/>
      <c r="L18" s="519"/>
      <c r="M18" s="519"/>
    </row>
    <row r="19" spans="1:13" ht="12.75">
      <c r="A19" s="977" t="s">
        <v>1</v>
      </c>
      <c r="B19" s="977"/>
      <c r="C19" s="1021">
        <f>SUM(C9:C18)</f>
        <v>284952441791</v>
      </c>
      <c r="D19" s="1021">
        <f>SUM(D9:D18)</f>
        <v>284449211487</v>
      </c>
      <c r="E19" s="975"/>
      <c r="F19" s="981"/>
      <c r="G19" s="998"/>
      <c r="H19" s="999"/>
      <c r="I19" s="970"/>
      <c r="J19" s="519"/>
      <c r="K19" s="519"/>
      <c r="L19" s="519"/>
      <c r="M19" s="519"/>
    </row>
    <row r="20" spans="1:13" ht="12.75">
      <c r="A20" s="160"/>
      <c r="B20" s="1017"/>
      <c r="C20" s="1022"/>
      <c r="D20" s="1023"/>
      <c r="E20" s="975"/>
      <c r="F20" s="1001" t="s">
        <v>8</v>
      </c>
      <c r="G20" s="1002"/>
      <c r="H20" s="1002"/>
      <c r="I20" s="970"/>
      <c r="J20" s="519"/>
      <c r="K20" s="519"/>
      <c r="L20" s="519"/>
      <c r="M20" s="519"/>
    </row>
    <row r="21" spans="1:13" ht="12.75">
      <c r="A21" s="160"/>
      <c r="B21" s="1017"/>
      <c r="C21" s="763"/>
      <c r="D21" s="1019"/>
      <c r="E21" s="975"/>
      <c r="F21" s="1003" t="s">
        <v>934</v>
      </c>
      <c r="G21" s="1004" t="s">
        <v>935</v>
      </c>
      <c r="H21" s="1004" t="s">
        <v>936</v>
      </c>
      <c r="I21" s="970"/>
      <c r="J21" s="519"/>
      <c r="K21" s="519"/>
      <c r="L21" s="519"/>
      <c r="M21" s="519"/>
    </row>
    <row r="22" spans="1:13" ht="12.75">
      <c r="A22" s="160"/>
      <c r="B22" s="1017"/>
      <c r="C22" s="763"/>
      <c r="D22" s="1019"/>
      <c r="E22" s="975"/>
      <c r="F22" s="1005" t="s">
        <v>4</v>
      </c>
      <c r="G22" s="1024">
        <v>30</v>
      </c>
      <c r="H22" s="1006">
        <v>60</v>
      </c>
      <c r="I22" s="974"/>
      <c r="J22" s="519"/>
      <c r="K22" s="519"/>
      <c r="L22" s="519"/>
      <c r="M22" s="519"/>
    </row>
    <row r="23" spans="1:13" ht="12.75">
      <c r="A23" s="1017"/>
      <c r="B23" s="1017"/>
      <c r="C23" s="763"/>
      <c r="D23" s="1019"/>
      <c r="E23" s="975"/>
      <c r="F23" s="1005" t="s">
        <v>368</v>
      </c>
      <c r="G23" s="1025">
        <v>61</v>
      </c>
      <c r="H23" s="1006">
        <v>150</v>
      </c>
      <c r="I23" s="160"/>
      <c r="J23" s="519"/>
      <c r="K23" s="519"/>
      <c r="L23" s="519"/>
      <c r="M23" s="519"/>
    </row>
    <row r="24" spans="1:13" ht="12.75">
      <c r="A24" s="1017"/>
      <c r="B24" s="1017"/>
      <c r="C24" s="1019"/>
      <c r="D24" s="1019"/>
      <c r="E24" s="975"/>
      <c r="F24" s="547" t="s">
        <v>6</v>
      </c>
      <c r="G24" s="548" t="s">
        <v>937</v>
      </c>
      <c r="H24" s="1006"/>
      <c r="I24" s="160"/>
      <c r="J24" s="519"/>
      <c r="K24" s="519"/>
      <c r="L24" s="519"/>
      <c r="M24" s="519"/>
    </row>
    <row r="25" spans="1:13" ht="12.75">
      <c r="A25" s="356" t="s">
        <v>303</v>
      </c>
      <c r="B25" s="356"/>
      <c r="C25" s="256"/>
      <c r="D25" s="256"/>
      <c r="E25" s="975"/>
      <c r="F25" s="256"/>
      <c r="G25" s="1008"/>
      <c r="H25" s="256"/>
      <c r="I25" s="160"/>
      <c r="J25" s="519"/>
      <c r="K25" s="519"/>
      <c r="L25" s="519"/>
      <c r="M25" s="519"/>
    </row>
    <row r="26" spans="1:13" ht="12.75">
      <c r="A26" s="976"/>
      <c r="B26" s="976"/>
      <c r="C26" s="1252"/>
      <c r="D26" s="1252"/>
      <c r="E26" s="975"/>
      <c r="F26" s="256"/>
      <c r="G26" s="256"/>
      <c r="H26" s="256"/>
      <c r="I26" s="160"/>
      <c r="J26" s="519"/>
      <c r="K26" s="519"/>
      <c r="L26" s="519"/>
      <c r="M26" s="519"/>
    </row>
    <row r="27" spans="1:13" ht="12.75">
      <c r="A27" s="256"/>
      <c r="B27" s="256"/>
      <c r="C27" s="1020">
        <v>44561</v>
      </c>
      <c r="D27" s="1020">
        <v>44196</v>
      </c>
      <c r="E27" s="975"/>
      <c r="F27" s="256"/>
      <c r="G27" s="256"/>
      <c r="H27" s="256"/>
      <c r="I27" s="160"/>
      <c r="J27" s="519"/>
      <c r="K27" s="519"/>
      <c r="L27" s="519"/>
      <c r="M27" s="519"/>
    </row>
    <row r="28" spans="1:13" ht="12.75">
      <c r="A28" s="977" t="s">
        <v>165</v>
      </c>
      <c r="B28" s="977" t="s">
        <v>274</v>
      </c>
      <c r="C28" s="1066">
        <f>24273061834-C34</f>
        <v>3947384616</v>
      </c>
      <c r="D28" s="1007">
        <v>3959410783</v>
      </c>
      <c r="E28" s="256"/>
      <c r="F28" s="1008"/>
      <c r="G28" s="256"/>
      <c r="H28" s="256"/>
      <c r="I28" s="160"/>
      <c r="J28" s="519"/>
      <c r="K28" s="519"/>
      <c r="L28" s="519"/>
      <c r="M28" s="519"/>
    </row>
    <row r="29" spans="1:13" ht="12.75">
      <c r="A29" s="977" t="s">
        <v>165</v>
      </c>
      <c r="B29" s="977" t="s">
        <v>275</v>
      </c>
      <c r="C29" s="1066">
        <f>907221813-C46-C35</f>
        <v>903789813</v>
      </c>
      <c r="D29" s="1007">
        <v>0</v>
      </c>
      <c r="E29" s="256"/>
      <c r="F29" s="256"/>
      <c r="G29" s="256"/>
      <c r="H29" s="256"/>
      <c r="I29" s="160"/>
      <c r="J29" s="519"/>
      <c r="K29" s="519"/>
      <c r="L29" s="519"/>
      <c r="M29" s="519"/>
    </row>
    <row r="30" spans="1:13" ht="12.75" hidden="1" customHeight="1">
      <c r="A30" s="977" t="s">
        <v>165</v>
      </c>
      <c r="B30" s="977" t="s">
        <v>928</v>
      </c>
      <c r="C30" s="1066"/>
      <c r="D30" s="1007"/>
      <c r="E30" s="256"/>
      <c r="F30" s="256"/>
      <c r="G30" s="256"/>
      <c r="H30" s="256"/>
      <c r="I30" s="160"/>
      <c r="J30" s="519"/>
      <c r="K30" s="519"/>
      <c r="L30" s="519"/>
      <c r="M30" s="519"/>
    </row>
    <row r="31" spans="1:13" ht="12.75" hidden="1" customHeight="1">
      <c r="A31" s="977" t="s">
        <v>929</v>
      </c>
      <c r="B31" s="977" t="s">
        <v>274</v>
      </c>
      <c r="C31" s="1066"/>
      <c r="D31" s="1007"/>
      <c r="E31" s="256"/>
      <c r="F31" s="256"/>
      <c r="G31" s="256"/>
      <c r="H31" s="256"/>
      <c r="I31" s="160"/>
      <c r="J31" s="519"/>
      <c r="K31" s="519"/>
      <c r="L31" s="519"/>
      <c r="M31" s="519"/>
    </row>
    <row r="32" spans="1:13" ht="12.75" hidden="1" customHeight="1">
      <c r="A32" s="977" t="s">
        <v>929</v>
      </c>
      <c r="B32" s="977" t="s">
        <v>275</v>
      </c>
      <c r="C32" s="1066"/>
      <c r="D32" s="1007"/>
      <c r="E32" s="256"/>
      <c r="F32" s="256"/>
      <c r="G32" s="256"/>
      <c r="H32" s="256"/>
      <c r="I32" s="160"/>
    </row>
    <row r="33" spans="1:9" ht="12.75" hidden="1" customHeight="1">
      <c r="A33" s="977" t="s">
        <v>929</v>
      </c>
      <c r="B33" s="977" t="s">
        <v>928</v>
      </c>
      <c r="C33" s="1066"/>
      <c r="D33" s="1007"/>
      <c r="E33" s="256"/>
      <c r="F33" s="256"/>
      <c r="G33" s="256"/>
      <c r="H33" s="256"/>
      <c r="I33" s="160"/>
    </row>
    <row r="34" spans="1:9" s="1166" customFormat="1" ht="12.75" customHeight="1">
      <c r="A34" s="1183" t="s">
        <v>276</v>
      </c>
      <c r="B34" s="1183" t="s">
        <v>274</v>
      </c>
      <c r="C34" s="1066">
        <v>20325677218</v>
      </c>
      <c r="D34" s="1066">
        <v>0</v>
      </c>
      <c r="E34" s="870"/>
      <c r="F34" s="870"/>
      <c r="G34" s="870"/>
      <c r="H34" s="870"/>
    </row>
    <row r="35" spans="1:9" ht="12.75" hidden="1" customHeight="1">
      <c r="A35" s="1157" t="s">
        <v>276</v>
      </c>
      <c r="B35" s="1157" t="s">
        <v>275</v>
      </c>
      <c r="C35" s="1158">
        <v>0</v>
      </c>
      <c r="D35" s="1007">
        <v>0</v>
      </c>
      <c r="E35" s="256"/>
      <c r="F35" s="256"/>
      <c r="G35" s="256"/>
      <c r="H35" s="256"/>
    </row>
    <row r="36" spans="1:9" ht="12.75" hidden="1" customHeight="1">
      <c r="A36" s="977" t="s">
        <v>276</v>
      </c>
      <c r="B36" s="977" t="s">
        <v>928</v>
      </c>
      <c r="C36" s="1066"/>
      <c r="D36" s="1007"/>
      <c r="E36" s="256"/>
      <c r="F36" s="256"/>
      <c r="G36" s="256"/>
      <c r="H36" s="256"/>
    </row>
    <row r="37" spans="1:9" ht="12.75" hidden="1" customHeight="1">
      <c r="A37" s="977" t="s">
        <v>163</v>
      </c>
      <c r="B37" s="977" t="s">
        <v>274</v>
      </c>
      <c r="C37" s="1066"/>
      <c r="D37" s="1007"/>
      <c r="E37" s="256"/>
      <c r="F37" s="256"/>
      <c r="G37" s="256"/>
      <c r="H37" s="256"/>
    </row>
    <row r="38" spans="1:9" ht="12.75" hidden="1" customHeight="1">
      <c r="A38" s="977" t="s">
        <v>163</v>
      </c>
      <c r="B38" s="977" t="s">
        <v>275</v>
      </c>
      <c r="C38" s="1066"/>
      <c r="D38" s="1007"/>
      <c r="E38" s="256"/>
      <c r="F38" s="256"/>
      <c r="G38" s="256"/>
      <c r="H38" s="256"/>
    </row>
    <row r="39" spans="1:9" ht="12.75" hidden="1" customHeight="1">
      <c r="A39" s="977" t="s">
        <v>163</v>
      </c>
      <c r="B39" s="977" t="s">
        <v>928</v>
      </c>
      <c r="C39" s="1066"/>
      <c r="D39" s="1007"/>
      <c r="E39" s="256"/>
      <c r="F39" s="256"/>
      <c r="G39" s="256"/>
      <c r="H39" s="256"/>
    </row>
    <row r="40" spans="1:9" ht="12.75">
      <c r="A40" s="977" t="s">
        <v>938</v>
      </c>
      <c r="B40" s="977" t="s">
        <v>274</v>
      </c>
      <c r="C40" s="1066">
        <f>11343970105+19106280092</f>
        <v>30450250197</v>
      </c>
      <c r="D40" s="1007">
        <v>30147869835</v>
      </c>
      <c r="E40" s="256"/>
      <c r="F40" s="256"/>
      <c r="G40" s="256"/>
      <c r="H40" s="256"/>
    </row>
    <row r="41" spans="1:9" ht="12.75" hidden="1" customHeight="1">
      <c r="A41" s="977" t="s">
        <v>938</v>
      </c>
      <c r="B41" s="977" t="s">
        <v>275</v>
      </c>
      <c r="C41" s="1066"/>
      <c r="D41" s="1007"/>
      <c r="E41" s="256"/>
      <c r="F41" s="256"/>
      <c r="G41" s="256"/>
      <c r="H41" s="256"/>
    </row>
    <row r="42" spans="1:9" ht="12.75" hidden="1" customHeight="1">
      <c r="A42" s="977" t="s">
        <v>938</v>
      </c>
      <c r="B42" s="977" t="s">
        <v>928</v>
      </c>
      <c r="C42" s="1066"/>
      <c r="D42" s="1007"/>
      <c r="E42" s="256"/>
      <c r="F42" s="256"/>
      <c r="G42" s="256"/>
      <c r="H42" s="256"/>
    </row>
    <row r="43" spans="1:9" ht="12.75" hidden="1" customHeight="1">
      <c r="A43" s="977" t="s">
        <v>164</v>
      </c>
      <c r="B43" s="977" t="s">
        <v>274</v>
      </c>
      <c r="C43" s="1066"/>
      <c r="D43" s="1007"/>
      <c r="E43" s="256"/>
      <c r="F43" s="256"/>
      <c r="G43" s="256"/>
      <c r="H43" s="256"/>
    </row>
    <row r="44" spans="1:9" ht="12.75" hidden="1" customHeight="1">
      <c r="A44" s="977" t="s">
        <v>164</v>
      </c>
      <c r="B44" s="977" t="s">
        <v>275</v>
      </c>
      <c r="C44" s="1066"/>
      <c r="D44" s="1007"/>
      <c r="E44" s="256"/>
      <c r="F44" s="256"/>
      <c r="G44" s="256"/>
      <c r="H44" s="256"/>
    </row>
    <row r="45" spans="1:9" ht="12.75" hidden="1">
      <c r="A45" s="977" t="s">
        <v>277</v>
      </c>
      <c r="B45" s="977" t="s">
        <v>274</v>
      </c>
      <c r="C45" s="1066"/>
      <c r="D45" s="1007"/>
      <c r="E45" s="256"/>
      <c r="F45" s="256"/>
      <c r="G45" s="256"/>
      <c r="H45" s="256"/>
    </row>
    <row r="46" spans="1:9" ht="12.75">
      <c r="A46" s="1000" t="s">
        <v>587</v>
      </c>
      <c r="B46" s="977" t="s">
        <v>275</v>
      </c>
      <c r="C46" s="1066">
        <f>6864*500</f>
        <v>3432000</v>
      </c>
      <c r="D46" s="1007">
        <v>4824676</v>
      </c>
      <c r="E46" s="256"/>
      <c r="F46" s="256"/>
      <c r="G46" s="256"/>
      <c r="H46" s="256"/>
    </row>
    <row r="47" spans="1:9" ht="12.75" hidden="1">
      <c r="A47" s="977" t="s">
        <v>277</v>
      </c>
      <c r="B47" s="977" t="s">
        <v>928</v>
      </c>
      <c r="C47" s="1066">
        <v>0</v>
      </c>
      <c r="D47" s="1007">
        <v>0</v>
      </c>
      <c r="E47" s="256"/>
      <c r="F47" s="256"/>
      <c r="G47" s="256"/>
      <c r="H47" s="256"/>
    </row>
    <row r="48" spans="1:9" ht="12.75">
      <c r="A48" s="977" t="s">
        <v>278</v>
      </c>
      <c r="B48" s="977"/>
      <c r="C48" s="1066">
        <f>-3511980136-11343970105-19106280092</f>
        <v>-33962230333</v>
      </c>
      <c r="D48" s="1007">
        <v>-33359516591</v>
      </c>
      <c r="E48" s="256"/>
      <c r="F48" s="1008"/>
      <c r="G48" s="1009"/>
      <c r="H48" s="256"/>
    </row>
    <row r="49" spans="1:8" ht="12.75">
      <c r="A49" s="977" t="s">
        <v>1</v>
      </c>
      <c r="B49" s="977"/>
      <c r="C49" s="1107">
        <f>SUM(C28:C48)</f>
        <v>21668303511</v>
      </c>
      <c r="D49" s="1021">
        <f>SUM(D28:D48)</f>
        <v>752588703</v>
      </c>
      <c r="E49" s="256"/>
      <c r="F49" s="256"/>
      <c r="G49" s="256"/>
      <c r="H49" s="256"/>
    </row>
    <row r="50" spans="1:8" ht="12.75">
      <c r="A50" s="256"/>
      <c r="B50" s="1010"/>
      <c r="C50" s="1010"/>
      <c r="D50" s="1010"/>
      <c r="E50" s="256"/>
      <c r="F50" s="256"/>
      <c r="G50" s="256"/>
      <c r="H50" s="256"/>
    </row>
    <row r="51" spans="1:8" ht="12.75">
      <c r="A51" s="1010"/>
      <c r="B51" s="1010"/>
      <c r="C51" s="1011"/>
      <c r="D51" s="1010"/>
      <c r="E51" s="1008"/>
      <c r="F51" s="1008"/>
      <c r="G51" s="256"/>
      <c r="H51" s="256"/>
    </row>
    <row r="52" spans="1:8" ht="12.75">
      <c r="A52" s="1010"/>
      <c r="B52" s="1010"/>
      <c r="C52" s="1011"/>
      <c r="D52" s="1011">
        <f>+C19+C49</f>
        <v>306620745302</v>
      </c>
      <c r="E52" s="1010"/>
      <c r="F52" s="256"/>
      <c r="G52" s="256"/>
      <c r="H52" s="256"/>
    </row>
    <row r="53" spans="1:8" ht="12.75">
      <c r="A53" s="1016"/>
      <c r="B53" s="1016"/>
      <c r="C53" s="1250"/>
      <c r="D53" s="1251"/>
      <c r="E53" s="170"/>
    </row>
    <row r="54" spans="1:8" ht="12.75">
      <c r="A54" s="1017"/>
      <c r="B54" s="1017"/>
      <c r="C54" s="1251"/>
      <c r="D54" s="1251"/>
      <c r="E54" s="170"/>
    </row>
    <row r="55" spans="1:8" ht="12.75">
      <c r="A55" s="1017"/>
      <c r="B55" s="1017"/>
      <c r="C55" s="1018"/>
      <c r="D55" s="1018"/>
      <c r="E55" s="170"/>
    </row>
    <row r="56" spans="1:8" ht="12.75">
      <c r="A56" s="1017"/>
      <c r="B56" s="1017"/>
      <c r="C56" s="763"/>
      <c r="D56" s="1019"/>
      <c r="E56" s="170"/>
    </row>
    <row r="57" spans="1:8" ht="12.75">
      <c r="A57" s="1017"/>
      <c r="B57" s="1017"/>
      <c r="C57" s="763"/>
      <c r="D57" s="1019"/>
      <c r="E57" s="170"/>
    </row>
    <row r="58" spans="1:8" ht="12.75">
      <c r="A58" s="1017"/>
      <c r="B58" s="1017"/>
      <c r="C58" s="763"/>
      <c r="D58" s="1019"/>
      <c r="E58" s="170"/>
    </row>
    <row r="59" spans="1:8" ht="12.75">
      <c r="A59" s="1017"/>
      <c r="B59" s="1017"/>
      <c r="C59" s="763"/>
      <c r="D59" s="1019"/>
      <c r="E59" s="170"/>
    </row>
    <row r="60" spans="1:8" ht="12.75">
      <c r="A60" s="1017"/>
      <c r="B60" s="1017"/>
      <c r="C60" s="1017"/>
      <c r="D60" s="1019"/>
      <c r="E60" s="170"/>
    </row>
    <row r="61" spans="1:8" ht="12.75">
      <c r="A61" s="1017"/>
      <c r="B61" s="1017"/>
      <c r="C61" s="763"/>
      <c r="D61" s="1019"/>
      <c r="E61" s="170"/>
    </row>
    <row r="62" spans="1:8" ht="12.75">
      <c r="A62" s="1017"/>
      <c r="B62" s="1017"/>
      <c r="C62" s="763"/>
      <c r="D62" s="1019"/>
      <c r="E62" s="170"/>
    </row>
    <row r="63" spans="1:8" ht="12.75">
      <c r="A63" s="160"/>
      <c r="B63" s="1017"/>
      <c r="C63" s="763"/>
      <c r="D63" s="1019"/>
      <c r="E63" s="170"/>
    </row>
    <row r="64" spans="1:8" ht="12.75">
      <c r="A64" s="160"/>
      <c r="B64" s="1017"/>
      <c r="C64" s="763"/>
      <c r="D64" s="1019"/>
      <c r="E64" s="170"/>
    </row>
    <row r="65" spans="1:5" ht="12.75">
      <c r="A65" s="160"/>
      <c r="B65" s="1017"/>
      <c r="C65" s="763"/>
      <c r="D65" s="1019"/>
      <c r="E65" s="170"/>
    </row>
    <row r="66" spans="1:5" ht="12.75">
      <c r="A66" s="1017"/>
      <c r="B66" s="1017"/>
      <c r="C66" s="763"/>
      <c r="D66" s="1019"/>
      <c r="E66" s="170"/>
    </row>
    <row r="67" spans="1:5" ht="12.75">
      <c r="A67" s="1017"/>
      <c r="B67" s="1017"/>
      <c r="C67" s="1023"/>
      <c r="D67" s="1023"/>
    </row>
    <row r="68" spans="1:5">
      <c r="A68" s="160"/>
      <c r="B68" s="202"/>
      <c r="C68" s="202"/>
      <c r="D68" s="160"/>
    </row>
    <row r="69" spans="1:5">
      <c r="A69" s="160"/>
      <c r="B69" s="202"/>
      <c r="C69" s="202"/>
      <c r="D69" s="160"/>
    </row>
  </sheetData>
  <mergeCells count="7">
    <mergeCell ref="C53:D53"/>
    <mergeCell ref="C7:D7"/>
    <mergeCell ref="C54:D54"/>
    <mergeCell ref="C26:D26"/>
    <mergeCell ref="A3:C3"/>
    <mergeCell ref="A4:B4"/>
    <mergeCell ref="C6:D6"/>
  </mergeCells>
  <hyperlinks>
    <hyperlink ref="B1" location="BG!A1" display="BG" xr:uid="{B38E2A9A-96D7-45A9-BE56-EAD347C7EF48}"/>
  </hyperlinks>
  <pageMargins left="0.70866141732283472" right="0.70866141732283472" top="0.74803149606299213" bottom="0.74803149606299213" header="0.31496062992125984" footer="0.31496062992125984"/>
  <pageSetup paperSize="5" scale="80" orientation="portrait" horizontalDpi="0" verticalDpi="0" r:id="rId1"/>
  <ignoredErrors>
    <ignoredError sqref="D19 D4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H90"/>
  <sheetViews>
    <sheetView showGridLines="0" workbookViewId="0">
      <selection activeCell="B1" sqref="B1"/>
    </sheetView>
  </sheetViews>
  <sheetFormatPr baseColWidth="10" defaultColWidth="11.42578125" defaultRowHeight="12"/>
  <cols>
    <col min="1" max="1" width="48" style="522" customWidth="1"/>
    <col min="2" max="2" width="15.7109375" style="522" customWidth="1"/>
    <col min="3" max="3" width="14.7109375" style="522" customWidth="1"/>
    <col min="4" max="4" width="3.42578125" style="522" bestFit="1" customWidth="1"/>
    <col min="5" max="5" width="30.28515625" style="522" customWidth="1"/>
    <col min="6" max="6" width="16.42578125" style="522" customWidth="1"/>
    <col min="7" max="7" width="16.85546875" style="522" customWidth="1"/>
    <col min="8" max="16384" width="11.42578125" style="522"/>
  </cols>
  <sheetData>
    <row r="1" spans="1:7" ht="18" customHeight="1">
      <c r="A1" s="282" t="str">
        <f>Indice!C1</f>
        <v>NICOLAS GONZALEZ ODDONE S.A.E.C.A</v>
      </c>
      <c r="B1" s="928" t="s">
        <v>79</v>
      </c>
      <c r="C1" s="283"/>
      <c r="D1" s="104"/>
    </row>
    <row r="2" spans="1:7">
      <c r="A2" s="120"/>
    </row>
    <row r="3" spans="1:7" ht="18" customHeight="1">
      <c r="A3" s="282" t="s">
        <v>162</v>
      </c>
      <c r="B3" s="282"/>
      <c r="C3" s="282"/>
      <c r="D3" s="320"/>
      <c r="E3" s="320"/>
      <c r="F3" s="320"/>
      <c r="G3" s="320"/>
    </row>
    <row r="4" spans="1:7">
      <c r="A4" s="902" t="s">
        <v>171</v>
      </c>
    </row>
    <row r="5" spans="1:7">
      <c r="A5" s="550"/>
    </row>
    <row r="6" spans="1:7">
      <c r="A6" s="105" t="s">
        <v>2</v>
      </c>
    </row>
    <row r="8" spans="1:7" s="900" customFormat="1" ht="12.75">
      <c r="A8" s="551" t="s">
        <v>337</v>
      </c>
      <c r="B8" s="907">
        <v>44561</v>
      </c>
      <c r="C8" s="909">
        <v>44196</v>
      </c>
      <c r="E8" s="282" t="s">
        <v>990</v>
      </c>
      <c r="F8" s="806"/>
      <c r="G8" s="806"/>
    </row>
    <row r="9" spans="1:7" ht="12.75">
      <c r="A9" s="199" t="s">
        <v>377</v>
      </c>
      <c r="B9" s="908"/>
      <c r="C9" s="910"/>
      <c r="E9" s="681" t="s">
        <v>991</v>
      </c>
      <c r="F9" s="125"/>
      <c r="G9" s="866"/>
    </row>
    <row r="10" spans="1:7" s="900" customFormat="1" ht="12.75">
      <c r="A10" s="199"/>
      <c r="B10" s="908"/>
      <c r="C10" s="910"/>
      <c r="E10" s="681"/>
      <c r="F10" s="125"/>
      <c r="G10" s="866"/>
    </row>
    <row r="11" spans="1:7" ht="12.75">
      <c r="A11" s="519" t="s">
        <v>339</v>
      </c>
      <c r="B11" s="122">
        <v>0</v>
      </c>
      <c r="C11" s="445">
        <v>1625023</v>
      </c>
      <c r="E11" s="551" t="s">
        <v>337</v>
      </c>
      <c r="F11" s="907">
        <v>44561</v>
      </c>
      <c r="G11" s="907">
        <v>44196</v>
      </c>
    </row>
    <row r="12" spans="1:7" ht="12.75">
      <c r="A12" s="519" t="s">
        <v>341</v>
      </c>
      <c r="B12" s="122">
        <v>0</v>
      </c>
      <c r="C12" s="446">
        <v>1340450</v>
      </c>
      <c r="E12" s="681"/>
      <c r="F12" s="908">
        <v>1890351611</v>
      </c>
      <c r="G12" s="908"/>
    </row>
    <row r="13" spans="1:7">
      <c r="A13" s="519" t="s">
        <v>945</v>
      </c>
      <c r="B13" s="122">
        <v>727062141</v>
      </c>
      <c r="C13" s="446">
        <v>96134895</v>
      </c>
      <c r="E13" s="519" t="s">
        <v>828</v>
      </c>
      <c r="F13" s="867">
        <v>1890351611</v>
      </c>
      <c r="G13" s="868">
        <v>4849836142</v>
      </c>
    </row>
    <row r="14" spans="1:7" ht="12.75" thickBot="1">
      <c r="A14" s="519" t="s">
        <v>340</v>
      </c>
      <c r="B14" s="123">
        <v>52187870</v>
      </c>
      <c r="C14" s="239">
        <v>58990584</v>
      </c>
      <c r="E14" s="117" t="s">
        <v>829</v>
      </c>
      <c r="F14" s="911">
        <f>F13</f>
        <v>1890351611</v>
      </c>
      <c r="G14" s="911">
        <f>SUM(G13)</f>
        <v>4849836142</v>
      </c>
    </row>
    <row r="15" spans="1:7" ht="12.75" thickTop="1">
      <c r="A15" s="519" t="s">
        <v>342</v>
      </c>
      <c r="B15" s="123">
        <v>465923031</v>
      </c>
      <c r="C15" s="134">
        <v>285525648</v>
      </c>
    </row>
    <row r="16" spans="1:7" s="900" customFormat="1" ht="12.75">
      <c r="A16" s="519" t="s">
        <v>881</v>
      </c>
      <c r="B16" s="126">
        <v>946871067</v>
      </c>
      <c r="C16" s="239">
        <v>0</v>
      </c>
      <c r="E16" s="1159"/>
      <c r="F16" s="908"/>
      <c r="G16" s="908"/>
    </row>
    <row r="17" spans="1:8">
      <c r="A17" s="519" t="s">
        <v>343</v>
      </c>
      <c r="B17" s="123">
        <v>74799416</v>
      </c>
      <c r="C17" s="239">
        <v>160074529</v>
      </c>
      <c r="E17" s="1160"/>
      <c r="F17" s="1126"/>
      <c r="G17" s="1161"/>
    </row>
    <row r="18" spans="1:8">
      <c r="A18" s="519" t="s">
        <v>344</v>
      </c>
      <c r="B18" s="123">
        <v>223991071</v>
      </c>
      <c r="C18" s="239">
        <v>258491280</v>
      </c>
      <c r="E18" s="1160"/>
      <c r="F18" s="1126"/>
      <c r="G18" s="1161"/>
    </row>
    <row r="19" spans="1:8" ht="12.75">
      <c r="A19" s="519" t="s">
        <v>345</v>
      </c>
      <c r="B19" s="123">
        <v>1276586033</v>
      </c>
      <c r="C19" s="239">
        <v>1155383625</v>
      </c>
      <c r="E19" s="1162"/>
      <c r="F19" s="908"/>
      <c r="G19" s="908"/>
    </row>
    <row r="20" spans="1:8" s="900" customFormat="1" ht="12.75">
      <c r="A20" s="519" t="s">
        <v>346</v>
      </c>
      <c r="B20" s="123">
        <v>130682918</v>
      </c>
      <c r="C20" s="239">
        <v>113921650</v>
      </c>
      <c r="E20" s="1160"/>
      <c r="F20" s="908"/>
      <c r="G20" s="908"/>
    </row>
    <row r="21" spans="1:8" s="900" customFormat="1">
      <c r="A21" s="519" t="s">
        <v>347</v>
      </c>
      <c r="B21" s="123">
        <v>32652381</v>
      </c>
      <c r="C21" s="239">
        <v>31652381</v>
      </c>
      <c r="E21" s="160"/>
      <c r="F21" s="1163"/>
      <c r="G21" s="1164"/>
    </row>
    <row r="22" spans="1:8" s="900" customFormat="1">
      <c r="A22" s="519" t="s">
        <v>348</v>
      </c>
      <c r="B22" s="123">
        <v>71736056</v>
      </c>
      <c r="C22" s="239">
        <v>275528437</v>
      </c>
      <c r="E22" s="1160"/>
      <c r="F22" s="245"/>
      <c r="G22" s="245"/>
      <c r="H22" s="901"/>
    </row>
    <row r="23" spans="1:8">
      <c r="A23" s="519" t="s">
        <v>349</v>
      </c>
      <c r="B23" s="126">
        <v>6680320</v>
      </c>
      <c r="C23" s="239">
        <v>17437386</v>
      </c>
      <c r="E23" s="160"/>
      <c r="F23" s="1163"/>
      <c r="G23" s="1164"/>
    </row>
    <row r="24" spans="1:8" hidden="1">
      <c r="A24" s="1121" t="s">
        <v>359</v>
      </c>
      <c r="B24" s="1124">
        <v>0</v>
      </c>
      <c r="C24" s="197">
        <v>0</v>
      </c>
      <c r="E24" s="681"/>
      <c r="F24" s="132"/>
      <c r="G24" s="132"/>
    </row>
    <row r="25" spans="1:8">
      <c r="A25" s="519" t="s">
        <v>351</v>
      </c>
      <c r="B25" s="123">
        <v>59219503</v>
      </c>
      <c r="C25" s="239">
        <v>73478507</v>
      </c>
      <c r="E25" s="519"/>
    </row>
    <row r="26" spans="1:8">
      <c r="A26" s="519" t="s">
        <v>352</v>
      </c>
      <c r="B26" s="123">
        <v>167653200</v>
      </c>
      <c r="C26" s="239">
        <v>168337100</v>
      </c>
      <c r="E26" s="778"/>
    </row>
    <row r="27" spans="1:8" s="824" customFormat="1">
      <c r="A27" s="519" t="s">
        <v>353</v>
      </c>
      <c r="B27" s="123">
        <v>128112285</v>
      </c>
      <c r="C27" s="239">
        <v>128111718</v>
      </c>
      <c r="E27" s="778"/>
      <c r="F27" s="125"/>
      <c r="G27" s="125"/>
    </row>
    <row r="28" spans="1:8" s="1121" customFormat="1" hidden="1">
      <c r="A28" s="1121" t="s">
        <v>354</v>
      </c>
      <c r="B28" s="1124">
        <v>0</v>
      </c>
      <c r="C28" s="197">
        <v>0</v>
      </c>
      <c r="E28" s="1125"/>
      <c r="F28" s="1126"/>
      <c r="G28" s="1126"/>
    </row>
    <row r="29" spans="1:8">
      <c r="A29" s="519" t="s">
        <v>355</v>
      </c>
      <c r="B29" s="123">
        <v>276344665</v>
      </c>
      <c r="C29" s="239">
        <v>1896125207</v>
      </c>
      <c r="E29" s="778"/>
      <c r="F29" s="125"/>
      <c r="G29" s="125"/>
    </row>
    <row r="30" spans="1:8">
      <c r="A30" s="519" t="s">
        <v>357</v>
      </c>
      <c r="B30" s="126">
        <v>4369602903</v>
      </c>
      <c r="C30" s="239">
        <v>363957661</v>
      </c>
      <c r="E30" s="778"/>
      <c r="F30" s="125"/>
      <c r="G30" s="125"/>
    </row>
    <row r="31" spans="1:8" s="900" customFormat="1">
      <c r="A31" s="519" t="s">
        <v>360</v>
      </c>
      <c r="B31" s="126">
        <v>2733435003</v>
      </c>
      <c r="C31" s="239">
        <v>790874499</v>
      </c>
      <c r="E31" s="117"/>
      <c r="F31" s="125"/>
      <c r="G31" s="125"/>
    </row>
    <row r="32" spans="1:8">
      <c r="A32" s="519" t="s">
        <v>361</v>
      </c>
      <c r="B32" s="126">
        <v>139982769</v>
      </c>
      <c r="C32" s="239">
        <v>401281913</v>
      </c>
      <c r="E32" s="117"/>
      <c r="F32" s="125"/>
      <c r="G32" s="125"/>
    </row>
    <row r="33" spans="1:7">
      <c r="A33" s="519" t="s">
        <v>358</v>
      </c>
      <c r="B33" s="126">
        <v>1892215188</v>
      </c>
      <c r="C33" s="239">
        <v>0</v>
      </c>
      <c r="E33" s="837"/>
      <c r="F33" s="125"/>
      <c r="G33" s="125"/>
    </row>
    <row r="34" spans="1:7" s="900" customFormat="1">
      <c r="A34" s="519" t="s">
        <v>768</v>
      </c>
      <c r="B34" s="154">
        <v>701459616</v>
      </c>
      <c r="C34" s="779">
        <v>2859490800</v>
      </c>
      <c r="E34" s="117"/>
      <c r="F34" s="125"/>
      <c r="G34" s="125"/>
    </row>
    <row r="35" spans="1:7" s="900" customFormat="1">
      <c r="A35" s="519" t="s">
        <v>880</v>
      </c>
      <c r="B35" s="126">
        <v>5304742872</v>
      </c>
      <c r="C35" s="239">
        <v>0</v>
      </c>
      <c r="E35" s="778"/>
      <c r="F35" s="125"/>
      <c r="G35" s="125"/>
    </row>
    <row r="36" spans="1:7">
      <c r="A36" s="519" t="s">
        <v>350</v>
      </c>
      <c r="B36" s="126">
        <v>73245744</v>
      </c>
      <c r="C36" s="239">
        <v>0</v>
      </c>
      <c r="E36" s="117"/>
      <c r="F36" s="125"/>
      <c r="G36" s="125"/>
    </row>
    <row r="37" spans="1:7" s="900" customFormat="1">
      <c r="A37" s="519" t="s">
        <v>823</v>
      </c>
      <c r="B37" s="154">
        <v>0</v>
      </c>
      <c r="C37" s="779">
        <v>2067600000</v>
      </c>
      <c r="E37" s="117"/>
      <c r="F37" s="125"/>
      <c r="G37" s="125"/>
    </row>
    <row r="38" spans="1:7" s="900" customFormat="1" ht="12.75" hidden="1" customHeight="1">
      <c r="A38" s="519" t="s">
        <v>360</v>
      </c>
      <c r="B38" s="154">
        <v>0</v>
      </c>
      <c r="C38" s="779">
        <v>0</v>
      </c>
      <c r="E38" s="117"/>
      <c r="F38" s="125"/>
      <c r="G38" s="125"/>
    </row>
    <row r="39" spans="1:7" s="824" customFormat="1" hidden="1">
      <c r="A39" s="519" t="s">
        <v>747</v>
      </c>
      <c r="B39" s="154">
        <v>0</v>
      </c>
      <c r="C39" s="779">
        <v>0</v>
      </c>
      <c r="E39" s="117"/>
      <c r="F39" s="125"/>
      <c r="G39" s="125"/>
    </row>
    <row r="40" spans="1:7" hidden="1">
      <c r="A40" s="519" t="s">
        <v>362</v>
      </c>
      <c r="B40" s="154">
        <v>0</v>
      </c>
      <c r="C40" s="779">
        <v>0</v>
      </c>
      <c r="E40" s="117"/>
      <c r="F40" s="125"/>
      <c r="G40" s="125"/>
    </row>
    <row r="41" spans="1:7" s="774" customFormat="1" hidden="1">
      <c r="A41" s="519" t="s">
        <v>747</v>
      </c>
      <c r="B41" s="154">
        <v>0</v>
      </c>
      <c r="C41" s="779">
        <v>0</v>
      </c>
      <c r="E41" s="117"/>
      <c r="F41" s="125"/>
      <c r="G41" s="125"/>
    </row>
    <row r="42" spans="1:7" s="824" customFormat="1" hidden="1">
      <c r="A42" s="519" t="s">
        <v>356</v>
      </c>
      <c r="B42" s="126">
        <v>0</v>
      </c>
      <c r="C42" s="239">
        <v>0</v>
      </c>
      <c r="E42" s="117"/>
      <c r="F42" s="125"/>
      <c r="G42" s="125"/>
    </row>
    <row r="43" spans="1:7" s="774" customFormat="1" hidden="1">
      <c r="A43" s="519" t="s">
        <v>748</v>
      </c>
      <c r="B43" s="154">
        <v>0</v>
      </c>
      <c r="C43" s="779">
        <v>0</v>
      </c>
      <c r="E43" s="117"/>
      <c r="F43" s="125"/>
      <c r="G43" s="125"/>
    </row>
    <row r="44" spans="1:7" ht="12.75" thickBot="1">
      <c r="A44" s="117" t="s">
        <v>1</v>
      </c>
      <c r="B44" s="555">
        <f>SUM($B$11:B43)</f>
        <v>19855186052</v>
      </c>
      <c r="C44" s="556">
        <f>SUM($C$11:C43)</f>
        <v>11205363293</v>
      </c>
      <c r="E44" s="116"/>
    </row>
    <row r="45" spans="1:7" ht="12.75" thickTop="1">
      <c r="A45" s="117"/>
      <c r="B45" s="127"/>
      <c r="C45" s="447"/>
      <c r="E45" s="274"/>
    </row>
    <row r="46" spans="1:7">
      <c r="B46" s="128"/>
      <c r="C46" s="135"/>
    </row>
    <row r="47" spans="1:7">
      <c r="A47" s="200" t="s">
        <v>429</v>
      </c>
      <c r="B47" s="130"/>
    </row>
    <row r="48" spans="1:7">
      <c r="A48" s="522" t="s">
        <v>363</v>
      </c>
      <c r="B48" s="131">
        <v>41731243</v>
      </c>
      <c r="C48" s="116">
        <v>11595636</v>
      </c>
    </row>
    <row r="49" spans="1:7">
      <c r="A49" s="522" t="s">
        <v>364</v>
      </c>
      <c r="B49" s="131">
        <v>42582591</v>
      </c>
      <c r="C49" s="116">
        <v>43674137</v>
      </c>
    </row>
    <row r="50" spans="1:7" s="900" customFormat="1">
      <c r="A50" s="900" t="s">
        <v>365</v>
      </c>
      <c r="B50" s="131">
        <v>12663573</v>
      </c>
      <c r="C50" s="116">
        <v>7149041</v>
      </c>
    </row>
    <row r="51" spans="1:7">
      <c r="A51" s="522" t="s">
        <v>366</v>
      </c>
      <c r="B51" s="780">
        <v>0</v>
      </c>
      <c r="C51" s="781">
        <v>33485700</v>
      </c>
    </row>
    <row r="52" spans="1:7" s="900" customFormat="1">
      <c r="A52" s="900" t="s">
        <v>749</v>
      </c>
      <c r="B52" s="780">
        <v>82550376</v>
      </c>
      <c r="C52" s="781">
        <v>93365002</v>
      </c>
    </row>
    <row r="53" spans="1:7">
      <c r="A53" s="117" t="s">
        <v>1</v>
      </c>
      <c r="B53" s="557">
        <f>SUM(B48:B52)</f>
        <v>179527783</v>
      </c>
      <c r="C53" s="558">
        <f>SUM(C48:C52)</f>
        <v>189269516</v>
      </c>
      <c r="E53" s="116"/>
    </row>
    <row r="54" spans="1:7" ht="12.75" thickBot="1">
      <c r="A54" s="117" t="s">
        <v>473</v>
      </c>
      <c r="B54" s="133">
        <f>+B44+B53</f>
        <v>20034713835</v>
      </c>
      <c r="C54" s="448">
        <f>+C44+C53</f>
        <v>11394632809</v>
      </c>
      <c r="E54" s="559"/>
      <c r="F54" s="546"/>
      <c r="G54" s="546"/>
    </row>
    <row r="55" spans="1:7" s="546" customFormat="1" ht="12.75" thickTop="1">
      <c r="B55" s="560"/>
      <c r="C55" s="560"/>
    </row>
    <row r="56" spans="1:7" s="900" customFormat="1">
      <c r="B56" s="131"/>
      <c r="C56" s="116"/>
    </row>
    <row r="57" spans="1:7" s="546" customFormat="1" hidden="1">
      <c r="A57" s="282" t="s">
        <v>654</v>
      </c>
      <c r="B57" s="1026"/>
      <c r="C57" s="1026"/>
      <c r="D57" s="1026"/>
    </row>
    <row r="58" spans="1:7" s="546" customFormat="1" hidden="1">
      <c r="A58" s="969" t="s">
        <v>171</v>
      </c>
      <c r="B58" s="1026"/>
      <c r="C58" s="1026"/>
      <c r="D58" s="1026"/>
    </row>
    <row r="59" spans="1:7" s="546" customFormat="1" hidden="1">
      <c r="A59" s="1027"/>
      <c r="B59" s="967"/>
      <c r="C59" s="967"/>
      <c r="D59" s="967"/>
      <c r="E59" s="522"/>
      <c r="F59" s="522"/>
      <c r="G59" s="522"/>
    </row>
    <row r="60" spans="1:7" hidden="1">
      <c r="A60" s="890" t="s">
        <v>2</v>
      </c>
      <c r="B60" s="967"/>
      <c r="C60" s="967"/>
      <c r="D60" s="967"/>
    </row>
    <row r="61" spans="1:7" hidden="1">
      <c r="A61" s="551" t="s">
        <v>337</v>
      </c>
      <c r="B61" s="1028">
        <v>43921</v>
      </c>
      <c r="C61" s="1029">
        <v>43830</v>
      </c>
      <c r="D61" s="967"/>
    </row>
    <row r="62" spans="1:7" hidden="1">
      <c r="A62" s="199" t="s">
        <v>664</v>
      </c>
      <c r="B62" s="552"/>
      <c r="C62" s="553"/>
      <c r="D62" s="967"/>
    </row>
    <row r="63" spans="1:7" hidden="1">
      <c r="A63" s="519" t="s">
        <v>655</v>
      </c>
      <c r="B63" s="121">
        <v>241663304</v>
      </c>
      <c r="C63" s="446">
        <v>0</v>
      </c>
      <c r="D63" s="967"/>
    </row>
    <row r="64" spans="1:7" hidden="1">
      <c r="A64" s="519" t="s">
        <v>656</v>
      </c>
      <c r="B64" s="121">
        <v>36821402</v>
      </c>
      <c r="C64" s="446">
        <v>0</v>
      </c>
      <c r="D64" s="967"/>
    </row>
    <row r="65" spans="1:5" hidden="1">
      <c r="A65" s="519" t="s">
        <v>657</v>
      </c>
      <c r="B65" s="123">
        <v>395438487</v>
      </c>
      <c r="C65" s="446">
        <v>0</v>
      </c>
      <c r="D65" s="967"/>
    </row>
    <row r="66" spans="1:5" hidden="1">
      <c r="A66" s="519" t="s">
        <v>658</v>
      </c>
      <c r="B66" s="123">
        <v>147672359</v>
      </c>
      <c r="C66" s="446">
        <v>0</v>
      </c>
      <c r="D66" s="967"/>
    </row>
    <row r="67" spans="1:5" hidden="1">
      <c r="A67" s="519" t="s">
        <v>659</v>
      </c>
      <c r="B67" s="123">
        <v>185842301</v>
      </c>
      <c r="C67" s="446">
        <v>0</v>
      </c>
      <c r="D67" s="967"/>
    </row>
    <row r="68" spans="1:5" ht="12.75" hidden="1" thickBot="1">
      <c r="A68" s="117" t="s">
        <v>1</v>
      </c>
      <c r="B68" s="1030">
        <f>SUM(B63:B67)</f>
        <v>1007437853</v>
      </c>
      <c r="C68" s="1031">
        <f>SUM(C63:C67)</f>
        <v>0</v>
      </c>
      <c r="D68" s="967"/>
    </row>
    <row r="69" spans="1:5" hidden="1">
      <c r="A69" s="967"/>
      <c r="B69" s="967"/>
      <c r="C69" s="967"/>
      <c r="D69" s="967"/>
    </row>
    <row r="70" spans="1:5" hidden="1">
      <c r="A70" s="967"/>
      <c r="B70" s="967"/>
      <c r="C70" s="967"/>
      <c r="D70" s="967"/>
    </row>
    <row r="71" spans="1:5" ht="13.5" hidden="1" customHeight="1"/>
    <row r="72" spans="1:5" ht="12.75" hidden="1">
      <c r="A72" s="551" t="s">
        <v>337</v>
      </c>
      <c r="B72" s="806">
        <v>44196</v>
      </c>
      <c r="C72" s="807">
        <v>43830</v>
      </c>
    </row>
    <row r="73" spans="1:5" hidden="1">
      <c r="A73" s="199" t="s">
        <v>708</v>
      </c>
      <c r="B73" s="552"/>
      <c r="C73" s="825"/>
    </row>
    <row r="74" spans="1:5" hidden="1">
      <c r="A74" s="522" t="s">
        <v>709</v>
      </c>
      <c r="B74" s="122">
        <v>0</v>
      </c>
      <c r="C74" s="446">
        <v>0</v>
      </c>
      <c r="E74" s="274"/>
    </row>
    <row r="75" spans="1:5" ht="12.75" hidden="1" thickBot="1">
      <c r="A75" s="117" t="s">
        <v>1</v>
      </c>
      <c r="B75" s="561">
        <f>SUM(B74:B74)</f>
        <v>0</v>
      </c>
      <c r="C75" s="561">
        <f>SUM(C74:C74)</f>
        <v>0</v>
      </c>
    </row>
    <row r="76" spans="1:5" ht="12.75" hidden="1" thickTop="1"/>
    <row r="77" spans="1:5" ht="12.75" hidden="1" thickTop="1"/>
    <row r="78" spans="1:5" hidden="1">
      <c r="A78" s="968" t="s">
        <v>171</v>
      </c>
      <c r="B78" s="1026"/>
      <c r="C78" s="1026"/>
    </row>
    <row r="79" spans="1:5" hidden="1">
      <c r="A79" s="1027"/>
      <c r="B79" s="967"/>
      <c r="C79" s="967"/>
    </row>
    <row r="80" spans="1:5" hidden="1">
      <c r="A80" s="890" t="s">
        <v>2</v>
      </c>
      <c r="B80" s="967"/>
      <c r="C80" s="967"/>
    </row>
    <row r="81" spans="1:3" ht="15.75" hidden="1" customHeight="1">
      <c r="A81" s="551" t="s">
        <v>337</v>
      </c>
      <c r="B81" s="1028">
        <v>44561</v>
      </c>
      <c r="C81" s="1029">
        <v>44196</v>
      </c>
    </row>
    <row r="82" spans="1:3" hidden="1">
      <c r="A82" s="199" t="s">
        <v>664</v>
      </c>
      <c r="B82" s="552"/>
      <c r="C82" s="553"/>
    </row>
    <row r="83" spans="1:3" hidden="1">
      <c r="A83" s="519" t="s">
        <v>655</v>
      </c>
      <c r="B83" s="121">
        <v>0</v>
      </c>
      <c r="C83" s="446">
        <v>0</v>
      </c>
    </row>
    <row r="84" spans="1:3" hidden="1">
      <c r="A84" s="519" t="s">
        <v>656</v>
      </c>
      <c r="B84" s="121">
        <v>0</v>
      </c>
      <c r="C84" s="446">
        <v>0</v>
      </c>
    </row>
    <row r="85" spans="1:3" hidden="1">
      <c r="A85" s="519" t="s">
        <v>657</v>
      </c>
      <c r="B85" s="123">
        <v>0</v>
      </c>
      <c r="C85" s="446">
        <v>0</v>
      </c>
    </row>
    <row r="86" spans="1:3" hidden="1">
      <c r="A86" s="519" t="s">
        <v>975</v>
      </c>
      <c r="B86" s="123">
        <v>0</v>
      </c>
      <c r="C86" s="446">
        <v>0</v>
      </c>
    </row>
    <row r="87" spans="1:3" hidden="1">
      <c r="A87" s="519" t="s">
        <v>659</v>
      </c>
      <c r="B87" s="123">
        <v>0</v>
      </c>
      <c r="C87" s="446">
        <v>0</v>
      </c>
    </row>
    <row r="88" spans="1:3" ht="12.75" hidden="1" thickBot="1">
      <c r="A88" s="117" t="s">
        <v>1</v>
      </c>
      <c r="B88" s="1030">
        <f>SUM(B83:B87)</f>
        <v>0</v>
      </c>
      <c r="C88" s="1031">
        <f>SUM(C83:C87)</f>
        <v>0</v>
      </c>
    </row>
    <row r="89" spans="1:3" ht="12.75" hidden="1" thickTop="1">
      <c r="A89" s="967"/>
      <c r="B89" s="967"/>
      <c r="C89" s="967"/>
    </row>
    <row r="90" spans="1:3" hidden="1"/>
  </sheetData>
  <hyperlinks>
    <hyperlink ref="B1" location="BG!A1" display="BG" xr:uid="{28599CA6-A6E0-4F96-9119-DDD110416E02}"/>
  </hyperlinks>
  <pageMargins left="1.7716535433070868" right="0.70866141732283472" top="0.74803149606299213" bottom="0.74803149606299213" header="0.31496062992125984" footer="0.31496062992125984"/>
  <pageSetup paperSize="5"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dimension ref="A1:G38"/>
  <sheetViews>
    <sheetView showGridLines="0" workbookViewId="0">
      <selection activeCell="B1" sqref="B1"/>
    </sheetView>
  </sheetViews>
  <sheetFormatPr baseColWidth="10" defaultColWidth="11.42578125" defaultRowHeight="12"/>
  <cols>
    <col min="1" max="1" width="38.28515625" style="546" customWidth="1"/>
    <col min="2" max="2" width="17.85546875" style="546" customWidth="1"/>
    <col min="3" max="3" width="18.140625" style="546" customWidth="1"/>
    <col min="4" max="4" width="21.85546875" style="546" bestFit="1" customWidth="1"/>
    <col min="5" max="5" width="12.5703125" style="546" bestFit="1" customWidth="1"/>
    <col min="6" max="6" width="13.42578125" style="559" bestFit="1" customWidth="1"/>
    <col min="7" max="16384" width="11.42578125" style="546"/>
  </cols>
  <sheetData>
    <row r="1" spans="1:7" ht="18.75" customHeight="1">
      <c r="A1" s="277" t="str">
        <f>Indice!C1</f>
        <v>NICOLAS GONZALEZ ODDONE S.A.E.C.A</v>
      </c>
      <c r="B1" s="922" t="s">
        <v>79</v>
      </c>
      <c r="C1" s="285"/>
      <c r="D1" s="104"/>
    </row>
    <row r="3" spans="1:7" ht="16.5" customHeight="1">
      <c r="A3" s="524" t="s">
        <v>168</v>
      </c>
      <c r="B3" s="524"/>
      <c r="C3" s="524"/>
    </row>
    <row r="4" spans="1:7">
      <c r="A4" s="519" t="s">
        <v>171</v>
      </c>
      <c r="B4" s="543"/>
    </row>
    <row r="5" spans="1:7">
      <c r="A5" s="543"/>
      <c r="B5" s="543"/>
    </row>
    <row r="6" spans="1:7">
      <c r="A6" s="1253" t="s">
        <v>10</v>
      </c>
      <c r="B6" s="1253"/>
      <c r="C6" s="1253"/>
      <c r="D6" s="1253"/>
      <c r="E6" s="1253"/>
      <c r="F6" s="1253"/>
      <c r="G6" s="1253"/>
    </row>
    <row r="7" spans="1:7" ht="15" customHeight="1">
      <c r="A7" s="117"/>
      <c r="B7" s="543"/>
      <c r="C7" s="543"/>
    </row>
    <row r="8" spans="1:7" ht="12.75">
      <c r="A8" s="551" t="s">
        <v>337</v>
      </c>
      <c r="B8" s="806">
        <v>44561</v>
      </c>
      <c r="C8" s="806">
        <v>44196</v>
      </c>
    </row>
    <row r="9" spans="1:7">
      <c r="A9" s="199" t="s">
        <v>377</v>
      </c>
      <c r="B9" s="552"/>
      <c r="C9" s="552"/>
    </row>
    <row r="10" spans="1:7">
      <c r="A10" s="562" t="s">
        <v>369</v>
      </c>
      <c r="B10" s="123">
        <f>235625026855+23233756</f>
        <v>235648260611</v>
      </c>
      <c r="C10" s="449">
        <v>97971446508</v>
      </c>
    </row>
    <row r="11" spans="1:7">
      <c r="A11" s="562" t="s">
        <v>373</v>
      </c>
      <c r="B11" s="123">
        <v>88464339100</v>
      </c>
      <c r="C11" s="449">
        <v>53504991180</v>
      </c>
    </row>
    <row r="12" spans="1:7">
      <c r="A12" s="562" t="s">
        <v>370</v>
      </c>
      <c r="B12" s="826">
        <f>5850615843+9908904+1295859602</f>
        <v>7156384349</v>
      </c>
      <c r="C12" s="449">
        <f>10831592434+9908904+2220707135</f>
        <v>13062208473</v>
      </c>
    </row>
    <row r="13" spans="1:7">
      <c r="A13" s="562" t="s">
        <v>371</v>
      </c>
      <c r="B13" s="126">
        <f>-2117970543-9908904-308595193</f>
        <v>-2436474640</v>
      </c>
      <c r="C13" s="449">
        <f>-3769848040-9908904-578627332</f>
        <v>-4358384276</v>
      </c>
      <c r="D13" s="559"/>
    </row>
    <row r="14" spans="1:7">
      <c r="A14" s="562" t="s">
        <v>372</v>
      </c>
      <c r="B14" s="126">
        <v>11567562834</v>
      </c>
      <c r="C14" s="449">
        <v>6027506776</v>
      </c>
    </row>
    <row r="15" spans="1:7">
      <c r="A15" s="562" t="s">
        <v>374</v>
      </c>
      <c r="B15" s="123">
        <v>8091145</v>
      </c>
      <c r="C15" s="450">
        <v>0</v>
      </c>
      <c r="D15" s="559"/>
    </row>
    <row r="16" spans="1:7">
      <c r="A16" s="562" t="s">
        <v>375</v>
      </c>
      <c r="B16" s="123">
        <f>1182830338+32924748</f>
        <v>1215755086</v>
      </c>
      <c r="C16" s="449">
        <v>1622584140</v>
      </c>
      <c r="D16" s="559"/>
    </row>
    <row r="17" spans="1:5">
      <c r="A17" s="563" t="s">
        <v>371</v>
      </c>
      <c r="B17" s="126">
        <f>-729885426-32695776</f>
        <v>-762581202</v>
      </c>
      <c r="C17" s="449">
        <v>-1022344666</v>
      </c>
    </row>
    <row r="18" spans="1:5">
      <c r="A18" s="563" t="s">
        <v>376</v>
      </c>
      <c r="B18" s="126">
        <v>199472402255</v>
      </c>
      <c r="C18" s="449">
        <v>168362411469</v>
      </c>
      <c r="D18" s="559"/>
    </row>
    <row r="19" spans="1:5">
      <c r="A19" s="563" t="s">
        <v>651</v>
      </c>
      <c r="B19" s="126">
        <v>12417199284</v>
      </c>
      <c r="C19" s="449">
        <v>8312682009</v>
      </c>
      <c r="D19" s="559"/>
    </row>
    <row r="20" spans="1:5">
      <c r="A20" s="117" t="s">
        <v>9</v>
      </c>
      <c r="B20" s="564">
        <f>SUM(B10:B19)</f>
        <v>552750938822</v>
      </c>
      <c r="C20" s="565">
        <f>SUM(C10:C19)</f>
        <v>343483101613</v>
      </c>
      <c r="E20" s="559"/>
    </row>
    <row r="21" spans="1:5">
      <c r="B21" s="560"/>
      <c r="C21" s="560"/>
      <c r="E21" s="559"/>
    </row>
    <row r="22" spans="1:5">
      <c r="A22" s="199" t="s">
        <v>378</v>
      </c>
      <c r="B22" s="560"/>
      <c r="C22" s="560"/>
    </row>
    <row r="23" spans="1:5">
      <c r="A23" s="117"/>
      <c r="B23" s="560"/>
      <c r="C23" s="560"/>
    </row>
    <row r="24" spans="1:5">
      <c r="A24" s="563" t="s">
        <v>379</v>
      </c>
      <c r="B24" s="126">
        <v>22243376935</v>
      </c>
      <c r="C24" s="449">
        <v>16143163260</v>
      </c>
    </row>
    <row r="25" spans="1:5">
      <c r="A25" s="563" t="s">
        <v>824</v>
      </c>
      <c r="B25" s="126">
        <v>0</v>
      </c>
      <c r="C25" s="838">
        <v>4909773580</v>
      </c>
    </row>
    <row r="26" spans="1:5">
      <c r="A26" s="117" t="s">
        <v>9</v>
      </c>
      <c r="B26" s="564">
        <f>SUM(B24:B25)</f>
        <v>22243376935</v>
      </c>
      <c r="C26" s="839">
        <f>SUM(C24:C25)</f>
        <v>21052936840</v>
      </c>
    </row>
    <row r="27" spans="1:5" ht="12.75" thickBot="1">
      <c r="A27" s="117" t="s">
        <v>471</v>
      </c>
      <c r="B27" s="451">
        <f>+B20+B26</f>
        <v>574994315757</v>
      </c>
      <c r="C27" s="452">
        <f>+C20+C26</f>
        <v>364536038453</v>
      </c>
    </row>
    <row r="28" spans="1:5" ht="12.75" thickTop="1">
      <c r="A28" s="117"/>
      <c r="B28" s="128"/>
      <c r="C28" s="453"/>
    </row>
    <row r="29" spans="1:5">
      <c r="A29" s="117"/>
      <c r="B29" s="128"/>
      <c r="C29" s="453"/>
    </row>
    <row r="30" spans="1:5">
      <c r="B30" s="560"/>
      <c r="C30" s="560"/>
    </row>
    <row r="31" spans="1:5">
      <c r="A31" s="199" t="s">
        <v>496</v>
      </c>
      <c r="B31" s="560"/>
      <c r="C31" s="560"/>
    </row>
    <row r="32" spans="1:5">
      <c r="B32" s="560"/>
      <c r="C32" s="560"/>
    </row>
    <row r="33" spans="1:3">
      <c r="A33" s="522" t="s">
        <v>380</v>
      </c>
      <c r="B33" s="131">
        <f>3863974692+59055008</f>
        <v>3923029700</v>
      </c>
      <c r="C33" s="131">
        <v>2866324632</v>
      </c>
    </row>
    <row r="34" spans="1:3">
      <c r="A34" s="522" t="s">
        <v>381</v>
      </c>
      <c r="B34" s="566">
        <f>-989497179-54241896</f>
        <v>-1043739075</v>
      </c>
      <c r="C34" s="566">
        <v>-1138862036</v>
      </c>
    </row>
    <row r="35" spans="1:3">
      <c r="A35" s="117" t="s">
        <v>1</v>
      </c>
      <c r="B35" s="128">
        <f>SUM(B33:B34)</f>
        <v>2879290625</v>
      </c>
      <c r="C35" s="453">
        <f>SUM(C33:C34)</f>
        <v>1727462596</v>
      </c>
    </row>
    <row r="36" spans="1:3" ht="12.75" thickBot="1">
      <c r="A36" s="117" t="s">
        <v>472</v>
      </c>
      <c r="B36" s="451">
        <f>SUM(B35)</f>
        <v>2879290625</v>
      </c>
      <c r="C36" s="452">
        <f>SUM(C35)</f>
        <v>1727462596</v>
      </c>
    </row>
    <row r="37" spans="1:3" ht="12.75" thickTop="1">
      <c r="A37" s="135"/>
      <c r="B37" s="453"/>
      <c r="C37" s="453"/>
    </row>
    <row r="38" spans="1:3">
      <c r="B38" s="560"/>
      <c r="C38" s="560"/>
    </row>
  </sheetData>
  <mergeCells count="1">
    <mergeCell ref="A6:G6"/>
  </mergeCells>
  <hyperlinks>
    <hyperlink ref="B1" location="BG!A1" display="BG" xr:uid="{F2D535F9-8985-4499-8FC9-96DF553C4628}"/>
  </hyperlinks>
  <pageMargins left="0.70866141732283472" right="0.70866141732283472" top="0.74803149606299213" bottom="0.74803149606299213" header="0.31496062992125984" footer="0.31496062992125984"/>
  <pageSetup paperSize="5"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dimension ref="A1:AE39"/>
  <sheetViews>
    <sheetView showGridLines="0" zoomScaleNormal="100" workbookViewId="0">
      <selection activeCell="B1" sqref="B1"/>
    </sheetView>
  </sheetViews>
  <sheetFormatPr baseColWidth="10" defaultColWidth="11.42578125" defaultRowHeight="12"/>
  <cols>
    <col min="1" max="1" width="26.7109375" style="111" customWidth="1"/>
    <col min="2" max="2" width="18.5703125" style="111" customWidth="1"/>
    <col min="3" max="3" width="17.85546875" style="111" customWidth="1"/>
    <col min="4" max="4" width="25.85546875" style="111" customWidth="1"/>
    <col min="5" max="6" width="26.140625" style="111" customWidth="1"/>
    <col min="7" max="7" width="0.42578125" style="111" customWidth="1"/>
    <col min="8" max="8" width="29.28515625" style="111" bestFit="1" customWidth="1"/>
    <col min="9" max="9" width="33" style="111" bestFit="1" customWidth="1"/>
    <col min="10" max="10" width="33" style="111" customWidth="1"/>
    <col min="11" max="11" width="34.7109375" style="111" customWidth="1"/>
    <col min="12" max="12" width="37.42578125" style="111" bestFit="1" customWidth="1"/>
    <col min="13" max="13" width="35.7109375" style="111" bestFit="1" customWidth="1"/>
    <col min="14" max="31" width="11.42578125" style="111"/>
    <col min="32" max="16384" width="11.42578125" style="522"/>
  </cols>
  <sheetData>
    <row r="1" spans="1:8" ht="18.75" customHeight="1">
      <c r="A1" s="277" t="str">
        <f>Indice!C1</f>
        <v>NICOLAS GONZALEZ ODDONE S.A.E.C.A</v>
      </c>
      <c r="B1" s="920" t="s">
        <v>79</v>
      </c>
      <c r="C1" s="288"/>
      <c r="D1" s="115"/>
    </row>
    <row r="3" spans="1:8" ht="3" customHeight="1"/>
    <row r="4" spans="1:8" ht="18" customHeight="1">
      <c r="A4" s="1207" t="s">
        <v>169</v>
      </c>
      <c r="B4" s="1207"/>
      <c r="C4" s="1207"/>
      <c r="D4" s="1207"/>
      <c r="E4" s="1207"/>
      <c r="F4" s="1207"/>
      <c r="G4" s="1207"/>
    </row>
    <row r="5" spans="1:8" s="519" customFormat="1">
      <c r="A5" s="111" t="s">
        <v>133</v>
      </c>
      <c r="B5" s="111"/>
      <c r="C5" s="183"/>
      <c r="D5" s="183"/>
      <c r="E5" s="183"/>
      <c r="F5" s="183"/>
      <c r="G5" s="183"/>
    </row>
    <row r="6" spans="1:8" s="519" customFormat="1">
      <c r="A6" s="111"/>
      <c r="B6" s="111"/>
      <c r="C6" s="183"/>
      <c r="D6" s="183"/>
      <c r="E6" s="183"/>
      <c r="F6" s="183"/>
      <c r="G6" s="183"/>
    </row>
    <row r="7" spans="1:8" hidden="1">
      <c r="A7" s="111" t="s">
        <v>573</v>
      </c>
    </row>
    <row r="9" spans="1:8" ht="12.75">
      <c r="A9" s="567"/>
      <c r="B9" s="803">
        <v>44561</v>
      </c>
      <c r="C9" s="808">
        <v>44196</v>
      </c>
    </row>
    <row r="10" spans="1:8">
      <c r="A10" s="144" t="s">
        <v>283</v>
      </c>
      <c r="B10" s="418">
        <f>+C35</f>
        <v>64680028660</v>
      </c>
      <c r="C10" s="419">
        <v>44713924776</v>
      </c>
      <c r="D10" s="237"/>
    </row>
    <row r="11" spans="1:8">
      <c r="B11" s="753"/>
      <c r="C11" s="118"/>
    </row>
    <row r="12" spans="1:8">
      <c r="A12" s="111" t="s">
        <v>172</v>
      </c>
      <c r="D12" s="522"/>
      <c r="E12" s="522"/>
      <c r="F12" s="522"/>
    </row>
    <row r="13" spans="1:8" ht="12.75">
      <c r="D13" s="568">
        <f>IFERROR(IF([2]Indice!B6="","2XX2",YEAR([2]Indice!B6)),"2XX2")</f>
        <v>2020</v>
      </c>
      <c r="E13" s="809">
        <v>44561</v>
      </c>
      <c r="F13" s="810">
        <v>44196</v>
      </c>
    </row>
    <row r="14" spans="1:8" ht="15" customHeight="1">
      <c r="A14" s="569" t="s">
        <v>279</v>
      </c>
      <c r="B14" s="570" t="s">
        <v>280</v>
      </c>
      <c r="C14" s="569" t="s">
        <v>282</v>
      </c>
      <c r="D14" s="571" t="s">
        <v>281</v>
      </c>
      <c r="E14" s="572" t="s">
        <v>170</v>
      </c>
      <c r="F14" s="573"/>
    </row>
    <row r="15" spans="1:8" ht="12.75">
      <c r="A15" s="574" t="s">
        <v>494</v>
      </c>
      <c r="B15" s="1088" t="s">
        <v>611</v>
      </c>
      <c r="C15" s="876">
        <v>17499</v>
      </c>
      <c r="D15" s="575">
        <f>10106849271+8094152832</f>
        <v>18201002103</v>
      </c>
      <c r="E15" s="1132">
        <v>8094152832</v>
      </c>
      <c r="F15" s="576">
        <v>-5669536393</v>
      </c>
    </row>
    <row r="16" spans="1:8" s="865" customFormat="1">
      <c r="A16" s="878" t="s">
        <v>495</v>
      </c>
      <c r="B16" s="1102" t="s">
        <v>612</v>
      </c>
      <c r="C16" s="879">
        <v>45015</v>
      </c>
      <c r="D16" s="880">
        <f>35082885905+9146462934</f>
        <v>44229348839</v>
      </c>
      <c r="E16" s="881">
        <v>9146462934</v>
      </c>
      <c r="F16" s="742">
        <v>7932478564</v>
      </c>
      <c r="H16" s="111"/>
    </row>
    <row r="17" spans="1:31">
      <c r="A17" s="577" t="s">
        <v>1011</v>
      </c>
      <c r="B17" s="1095" t="s">
        <v>1014</v>
      </c>
      <c r="C17" s="1094">
        <v>291</v>
      </c>
      <c r="D17" s="579">
        <v>286657840</v>
      </c>
      <c r="E17" s="742">
        <v>-13342160</v>
      </c>
      <c r="F17" s="1093">
        <v>0</v>
      </c>
      <c r="G17" s="577"/>
      <c r="AE17" s="522"/>
    </row>
    <row r="18" spans="1:31">
      <c r="A18" s="577" t="s">
        <v>1012</v>
      </c>
      <c r="B18" s="1095" t="s">
        <v>1013</v>
      </c>
      <c r="C18" s="1094">
        <v>2020</v>
      </c>
      <c r="D18" s="579">
        <v>2018493037</v>
      </c>
      <c r="E18" s="742">
        <v>-11506963</v>
      </c>
      <c r="F18" s="1093">
        <v>0</v>
      </c>
      <c r="G18" s="577"/>
      <c r="AE18" s="522"/>
    </row>
    <row r="19" spans="1:31" hidden="1">
      <c r="A19" s="577"/>
      <c r="B19" s="1095"/>
      <c r="C19" s="577"/>
      <c r="D19" s="579"/>
      <c r="E19" s="742"/>
      <c r="F19" s="1093"/>
      <c r="G19" s="577"/>
      <c r="AE19" s="522"/>
    </row>
    <row r="20" spans="1:31" hidden="1">
      <c r="A20" s="577"/>
      <c r="B20" s="1095"/>
      <c r="C20" s="577"/>
      <c r="D20" s="579"/>
      <c r="E20" s="742"/>
      <c r="F20" s="1093"/>
      <c r="G20" s="577"/>
      <c r="AE20" s="522"/>
    </row>
    <row r="21" spans="1:31">
      <c r="A21" s="580" t="s">
        <v>9</v>
      </c>
      <c r="B21" s="1103"/>
      <c r="C21" s="580"/>
      <c r="D21" s="581"/>
      <c r="E21" s="743">
        <f>SUM(E15:E20)</f>
        <v>17215766643</v>
      </c>
      <c r="F21" s="581">
        <f>SUM(F15:F20)</f>
        <v>2262942171</v>
      </c>
    </row>
    <row r="24" spans="1:31">
      <c r="A24" s="111" t="s">
        <v>872</v>
      </c>
      <c r="C24" s="307"/>
      <c r="J24" s="896"/>
    </row>
    <row r="25" spans="1:31" ht="15" customHeight="1">
      <c r="J25" s="896"/>
    </row>
    <row r="26" spans="1:31" ht="24">
      <c r="A26" s="569" t="s">
        <v>282</v>
      </c>
      <c r="B26" s="569" t="s">
        <v>284</v>
      </c>
      <c r="C26" s="569" t="s">
        <v>287</v>
      </c>
      <c r="D26" s="569" t="s">
        <v>285</v>
      </c>
      <c r="E26" s="569" t="s">
        <v>173</v>
      </c>
      <c r="F26" s="569" t="s">
        <v>286</v>
      </c>
      <c r="J26" s="896"/>
      <c r="K26" s="112"/>
    </row>
    <row r="27" spans="1:31">
      <c r="A27" s="876">
        <v>17477</v>
      </c>
      <c r="B27" s="882" t="s">
        <v>843</v>
      </c>
      <c r="C27" s="1096">
        <f>17477000000+10000000000-9299659201</f>
        <v>18177340799</v>
      </c>
      <c r="D27" s="897">
        <f>+C27/D15</f>
        <v>0.9986999999304379</v>
      </c>
      <c r="E27" s="578">
        <f>D27*D15</f>
        <v>18177340799</v>
      </c>
      <c r="F27" s="578">
        <f>+D27*E15</f>
        <v>8083630432.7553539</v>
      </c>
      <c r="J27" s="896"/>
      <c r="K27" s="896"/>
    </row>
    <row r="28" spans="1:31">
      <c r="A28" s="879">
        <v>45006</v>
      </c>
      <c r="B28" s="882" t="s">
        <v>660</v>
      </c>
      <c r="C28" s="1097">
        <f>45006000000-789919966</f>
        <v>44216080034</v>
      </c>
      <c r="D28" s="897">
        <f>+C28/D16</f>
        <v>0.99969999999212511</v>
      </c>
      <c r="E28" s="742">
        <f>D28*D16</f>
        <v>44216080034</v>
      </c>
      <c r="F28" s="742">
        <f>+D28*E16</f>
        <v>9143718995.0477734</v>
      </c>
      <c r="G28" s="865"/>
      <c r="J28" s="896"/>
    </row>
    <row r="29" spans="1:31">
      <c r="A29" s="879">
        <v>291</v>
      </c>
      <c r="B29" s="882" t="s">
        <v>660</v>
      </c>
      <c r="C29" s="1100">
        <f>291000000-12941895</f>
        <v>278058105</v>
      </c>
      <c r="D29" s="897">
        <f>+C29/D17</f>
        <v>0.97000000069769587</v>
      </c>
      <c r="E29" s="742">
        <f>D29*D17</f>
        <v>278058105</v>
      </c>
      <c r="F29" s="742">
        <f t="shared" ref="F29:F30" si="0">+D29*E17</f>
        <v>-12941895.20930877</v>
      </c>
    </row>
    <row r="30" spans="1:31">
      <c r="A30" s="879">
        <v>2020</v>
      </c>
      <c r="B30" s="882" t="s">
        <v>660</v>
      </c>
      <c r="C30" s="1100">
        <f>2020000000-11450278</f>
        <v>2008549722</v>
      </c>
      <c r="D30" s="897">
        <f>+C30/D18</f>
        <v>0.99507389185014072</v>
      </c>
      <c r="E30" s="742">
        <f>D30*D18</f>
        <v>2008549722</v>
      </c>
      <c r="F30" s="742">
        <f t="shared" si="0"/>
        <v>-11450278.455785571</v>
      </c>
    </row>
    <row r="31" spans="1:31" hidden="1">
      <c r="A31" s="577"/>
      <c r="B31" s="578"/>
      <c r="C31" s="1098"/>
      <c r="D31" s="897" t="e">
        <f t="shared" ref="D31:D32" si="1">+C31/D19</f>
        <v>#DIV/0!</v>
      </c>
      <c r="E31" s="578">
        <f>C31*D19</f>
        <v>0</v>
      </c>
      <c r="F31" s="742">
        <v>0</v>
      </c>
    </row>
    <row r="32" spans="1:31" hidden="1">
      <c r="A32" s="1090"/>
      <c r="B32" s="1091"/>
      <c r="C32" s="1099"/>
      <c r="D32" s="897" t="e">
        <f t="shared" si="1"/>
        <v>#DIV/0!</v>
      </c>
      <c r="E32" s="1091">
        <f>C32*D20</f>
        <v>0</v>
      </c>
    </row>
    <row r="33" spans="1:31" s="1082" customFormat="1" hidden="1">
      <c r="A33" s="1095">
        <v>0</v>
      </c>
      <c r="B33" s="882"/>
      <c r="C33" s="1100">
        <f>+A33*1000000</f>
        <v>0</v>
      </c>
      <c r="D33" s="897">
        <f>+C33/D17</f>
        <v>0</v>
      </c>
      <c r="E33" s="1089">
        <v>0</v>
      </c>
      <c r="F33" s="742">
        <f>+D33*E21</f>
        <v>0</v>
      </c>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row>
    <row r="34" spans="1:31" s="1082" customFormat="1" hidden="1">
      <c r="A34" s="1095">
        <v>0</v>
      </c>
      <c r="B34" s="882"/>
      <c r="C34" s="1100">
        <f>+A34*1000000</f>
        <v>0</v>
      </c>
      <c r="D34" s="897">
        <f>+C34/D18</f>
        <v>0</v>
      </c>
      <c r="E34" s="1089">
        <v>0</v>
      </c>
      <c r="F34" s="742">
        <f>+D34*E22</f>
        <v>0</v>
      </c>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row>
    <row r="35" spans="1:31">
      <c r="C35" s="1134">
        <f>SUM(C27:C34)</f>
        <v>64680028660</v>
      </c>
      <c r="D35" s="1133"/>
      <c r="E35" s="1134">
        <f>SUM(E27:E32)</f>
        <v>64680028660</v>
      </c>
      <c r="F35" s="1092">
        <f>SUM(F27:F32)</f>
        <v>17202957254.138035</v>
      </c>
    </row>
    <row r="38" spans="1:31">
      <c r="E38" s="112"/>
    </row>
    <row r="39" spans="1:31">
      <c r="E39" s="112"/>
    </row>
  </sheetData>
  <mergeCells count="1">
    <mergeCell ref="A4:G4"/>
  </mergeCells>
  <hyperlinks>
    <hyperlink ref="B1" location="BG!A1" display="BG" xr:uid="{FCDB65D5-9500-4356-A034-1100E013C9E7}"/>
  </hyperlink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dimension ref="A1:CX65"/>
  <sheetViews>
    <sheetView showGridLines="0" topLeftCell="A10" zoomScale="90" zoomScaleNormal="90" workbookViewId="0">
      <pane ySplit="3" topLeftCell="A40" activePane="bottomLeft" state="frozen"/>
      <selection activeCell="A10" sqref="A10"/>
      <selection pane="bottomLeft" activeCell="L50" sqref="L50"/>
    </sheetView>
  </sheetViews>
  <sheetFormatPr baseColWidth="10" defaultColWidth="11.42578125" defaultRowHeight="12"/>
  <cols>
    <col min="1" max="1" width="32.85546875" style="582" customWidth="1"/>
    <col min="2" max="2" width="16.42578125" style="582" customWidth="1"/>
    <col min="3" max="3" width="15.42578125" style="582" customWidth="1"/>
    <col min="4" max="4" width="15.28515625" style="582" customWidth="1"/>
    <col min="5" max="5" width="0.140625" style="582" customWidth="1"/>
    <col min="6" max="6" width="15.28515625" style="582" customWidth="1"/>
    <col min="7" max="7" width="14.5703125" style="582" customWidth="1"/>
    <col min="8" max="8" width="15.7109375" style="582" customWidth="1"/>
    <col min="9" max="9" width="12.7109375" style="582" customWidth="1"/>
    <col min="10" max="10" width="14.28515625" style="582" hidden="1" customWidth="1"/>
    <col min="11" max="11" width="13.85546875" style="582" customWidth="1"/>
    <col min="12" max="12" width="16.7109375" style="582" customWidth="1"/>
    <col min="13" max="13" width="15.42578125" style="582" customWidth="1"/>
    <col min="14" max="14" width="15.42578125" style="786" bestFit="1" customWidth="1"/>
    <col min="15" max="15" width="14.42578125" style="582" bestFit="1" customWidth="1"/>
    <col min="16" max="30" width="11.42578125" style="582"/>
    <col min="31" max="16384" width="11.42578125" style="546"/>
  </cols>
  <sheetData>
    <row r="1" spans="1:102" hidden="1">
      <c r="A1" s="81" t="s">
        <v>176</v>
      </c>
    </row>
    <row r="2" spans="1:102" hidden="1">
      <c r="A2" s="582" t="s">
        <v>177</v>
      </c>
    </row>
    <row r="3" spans="1:102" hidden="1">
      <c r="A3" s="582" t="s">
        <v>179</v>
      </c>
    </row>
    <row r="4" spans="1:102" hidden="1">
      <c r="A4" s="582" t="s">
        <v>180</v>
      </c>
    </row>
    <row r="5" spans="1:102" hidden="1">
      <c r="A5" s="582" t="s">
        <v>181</v>
      </c>
    </row>
    <row r="6" spans="1:102" hidden="1">
      <c r="A6" s="582" t="s">
        <v>178</v>
      </c>
    </row>
    <row r="7" spans="1:102" ht="18" customHeight="1">
      <c r="A7" s="277" t="s">
        <v>574</v>
      </c>
      <c r="B7" s="918" t="s">
        <v>79</v>
      </c>
      <c r="C7" s="287"/>
    </row>
    <row r="8" spans="1:102">
      <c r="K8" s="786"/>
      <c r="L8" s="786"/>
    </row>
    <row r="9" spans="1:102" ht="18.75" customHeight="1">
      <c r="A9" s="1254" t="s">
        <v>174</v>
      </c>
      <c r="B9" s="1255"/>
      <c r="C9" s="1255"/>
      <c r="D9" s="1255"/>
      <c r="E9" s="1255"/>
      <c r="F9" s="1255"/>
      <c r="G9" s="1255"/>
      <c r="H9" s="1255"/>
      <c r="I9" s="1255"/>
      <c r="J9" s="1255"/>
      <c r="K9" s="1255"/>
      <c r="L9" s="1255"/>
      <c r="M9" s="1256"/>
      <c r="N9" s="840"/>
      <c r="O9" s="583"/>
      <c r="P9" s="583"/>
      <c r="Q9" s="583"/>
      <c r="R9" s="583"/>
      <c r="S9" s="583"/>
      <c r="AE9" s="582"/>
      <c r="AF9" s="582"/>
      <c r="AG9" s="582"/>
      <c r="AH9" s="582"/>
      <c r="AI9" s="582"/>
      <c r="AJ9" s="582"/>
      <c r="AK9" s="582"/>
      <c r="AL9" s="582"/>
      <c r="AM9" s="582"/>
      <c r="AN9" s="582"/>
      <c r="AO9" s="582"/>
      <c r="AP9" s="582"/>
      <c r="AQ9" s="582"/>
      <c r="AR9" s="582"/>
      <c r="AS9" s="582"/>
      <c r="AT9" s="582"/>
      <c r="AU9" s="582"/>
      <c r="AV9" s="582"/>
      <c r="AW9" s="582"/>
      <c r="AX9" s="582"/>
      <c r="AY9" s="582"/>
      <c r="AZ9" s="582"/>
      <c r="BA9" s="582"/>
      <c r="BB9" s="582"/>
      <c r="BC9" s="582"/>
      <c r="BD9" s="582"/>
      <c r="BE9" s="582"/>
      <c r="BF9" s="582"/>
      <c r="BG9" s="582"/>
      <c r="BH9" s="582"/>
      <c r="BI9" s="582"/>
      <c r="BJ9" s="582"/>
    </row>
    <row r="10" spans="1:102" ht="13.5" customHeight="1">
      <c r="A10" s="585" t="s">
        <v>133</v>
      </c>
      <c r="B10" s="584"/>
      <c r="C10" s="18"/>
      <c r="D10" s="584"/>
      <c r="E10" s="584"/>
      <c r="F10" s="584"/>
      <c r="G10" s="584"/>
      <c r="H10" s="584"/>
      <c r="I10" s="584"/>
      <c r="J10" s="584"/>
      <c r="K10" s="584"/>
      <c r="L10" s="584"/>
      <c r="M10" s="584"/>
      <c r="N10" s="840"/>
      <c r="O10" s="583"/>
      <c r="P10" s="583"/>
      <c r="Q10" s="583"/>
      <c r="R10" s="583"/>
      <c r="S10" s="583"/>
      <c r="AE10" s="582"/>
      <c r="AF10" s="582"/>
      <c r="AG10" s="582"/>
      <c r="AH10" s="582"/>
      <c r="AI10" s="582"/>
      <c r="AJ10" s="582"/>
      <c r="AK10" s="582"/>
      <c r="AL10" s="582"/>
      <c r="AM10" s="582"/>
      <c r="AN10" s="582"/>
      <c r="AO10" s="582"/>
      <c r="AP10" s="582"/>
      <c r="AQ10" s="582"/>
      <c r="AR10" s="582"/>
      <c r="AS10" s="582"/>
      <c r="AT10" s="582"/>
      <c r="AU10" s="582"/>
      <c r="AV10" s="582"/>
      <c r="AW10" s="582"/>
      <c r="AX10" s="582"/>
      <c r="AY10" s="582"/>
      <c r="AZ10" s="582"/>
      <c r="BA10" s="582"/>
      <c r="BB10" s="582"/>
      <c r="BC10" s="582"/>
      <c r="BD10" s="582"/>
      <c r="BE10" s="582"/>
      <c r="BF10" s="582"/>
      <c r="BG10" s="582"/>
      <c r="BH10" s="582"/>
      <c r="BI10" s="582"/>
      <c r="BJ10" s="582"/>
    </row>
    <row r="11" spans="1:102">
      <c r="A11" s="585"/>
      <c r="B11" s="1257" t="s">
        <v>416</v>
      </c>
      <c r="C11" s="1257"/>
      <c r="D11" s="1257"/>
      <c r="E11" s="1257"/>
      <c r="F11" s="1257"/>
      <c r="G11" s="1257" t="s">
        <v>474</v>
      </c>
      <c r="H11" s="1257"/>
      <c r="I11" s="1257"/>
      <c r="J11" s="1257"/>
      <c r="K11" s="1257"/>
      <c r="L11" s="1257"/>
      <c r="M11" s="583"/>
      <c r="N11" s="840"/>
      <c r="O11" s="583"/>
      <c r="P11" s="583"/>
      <c r="Q11" s="583"/>
      <c r="R11" s="583"/>
      <c r="S11" s="583"/>
      <c r="AE11" s="582"/>
      <c r="AF11" s="582"/>
      <c r="AG11" s="582"/>
      <c r="AH11" s="582"/>
      <c r="AI11" s="582"/>
      <c r="AJ11" s="582"/>
      <c r="AK11" s="582"/>
      <c r="AL11" s="582"/>
      <c r="AM11" s="582"/>
      <c r="AN11" s="582"/>
      <c r="AO11" s="582"/>
      <c r="AP11" s="582"/>
      <c r="AQ11" s="582"/>
      <c r="AR11" s="582"/>
      <c r="AS11" s="582"/>
      <c r="AT11" s="582"/>
      <c r="AU11" s="582"/>
      <c r="AV11" s="582"/>
      <c r="AW11" s="582"/>
      <c r="AX11" s="582"/>
      <c r="AY11" s="582"/>
      <c r="AZ11" s="582"/>
      <c r="BA11" s="582"/>
      <c r="BB11" s="582"/>
      <c r="BC11" s="582"/>
      <c r="BD11" s="582"/>
      <c r="BE11" s="582"/>
      <c r="BF11" s="582"/>
      <c r="BG11" s="582"/>
      <c r="BH11" s="582"/>
      <c r="BI11" s="582"/>
      <c r="BJ11" s="582"/>
    </row>
    <row r="12" spans="1:102" s="590" customFormat="1" ht="48" customHeight="1">
      <c r="A12" s="586"/>
      <c r="B12" s="587" t="s">
        <v>385</v>
      </c>
      <c r="C12" s="587" t="s">
        <v>383</v>
      </c>
      <c r="D12" s="587" t="s">
        <v>384</v>
      </c>
      <c r="E12" s="588" t="s">
        <v>131</v>
      </c>
      <c r="F12" s="587" t="s">
        <v>386</v>
      </c>
      <c r="G12" s="587" t="s">
        <v>387</v>
      </c>
      <c r="H12" s="587" t="s">
        <v>388</v>
      </c>
      <c r="I12" s="587" t="s">
        <v>389</v>
      </c>
      <c r="J12" s="588" t="s">
        <v>132</v>
      </c>
      <c r="K12" s="587" t="s">
        <v>390</v>
      </c>
      <c r="L12" s="587" t="s">
        <v>391</v>
      </c>
      <c r="M12" s="587" t="s">
        <v>391</v>
      </c>
      <c r="N12" s="841"/>
      <c r="O12" s="1101"/>
      <c r="P12" s="589"/>
      <c r="Q12" s="589"/>
      <c r="R12" s="589"/>
      <c r="S12" s="589"/>
      <c r="T12" s="543"/>
      <c r="U12" s="543"/>
      <c r="V12" s="543"/>
      <c r="W12" s="543"/>
      <c r="X12" s="543"/>
      <c r="Y12" s="543"/>
      <c r="Z12" s="543"/>
      <c r="AA12" s="543"/>
      <c r="AB12" s="543"/>
      <c r="AC12" s="543"/>
      <c r="AD12" s="543"/>
      <c r="AE12" s="543"/>
      <c r="AF12" s="543"/>
      <c r="AG12" s="543"/>
      <c r="AH12" s="543"/>
      <c r="AI12" s="543"/>
      <c r="AJ12" s="543"/>
      <c r="AK12" s="543"/>
      <c r="AL12" s="543"/>
      <c r="AM12" s="543"/>
      <c r="AN12" s="543"/>
      <c r="AO12" s="543"/>
      <c r="AP12" s="543"/>
      <c r="AQ12" s="543"/>
      <c r="AR12" s="543"/>
      <c r="AS12" s="543"/>
      <c r="AT12" s="543"/>
      <c r="AU12" s="543"/>
      <c r="AV12" s="543"/>
      <c r="AW12" s="543"/>
      <c r="AX12" s="543"/>
      <c r="AY12" s="543"/>
      <c r="AZ12" s="543"/>
      <c r="BA12" s="543"/>
      <c r="BB12" s="543"/>
      <c r="BC12" s="543"/>
      <c r="BD12" s="543"/>
      <c r="BE12" s="543"/>
      <c r="BF12" s="543"/>
      <c r="BG12" s="543"/>
      <c r="BH12" s="543"/>
      <c r="BI12" s="543"/>
      <c r="BJ12" s="543"/>
      <c r="BK12" s="543"/>
      <c r="BL12" s="543"/>
      <c r="BM12" s="543"/>
      <c r="BN12" s="543"/>
      <c r="BO12" s="543"/>
      <c r="BP12" s="543"/>
      <c r="BQ12" s="543"/>
      <c r="BR12" s="543"/>
      <c r="BS12" s="543"/>
      <c r="BT12" s="543"/>
      <c r="BU12" s="543"/>
      <c r="BV12" s="543"/>
      <c r="BW12" s="543"/>
      <c r="BX12" s="543"/>
      <c r="BY12" s="543"/>
      <c r="BZ12" s="543"/>
      <c r="CA12" s="543"/>
      <c r="CB12" s="543"/>
      <c r="CC12" s="543"/>
      <c r="CD12" s="543"/>
      <c r="CE12" s="543"/>
      <c r="CF12" s="543"/>
      <c r="CG12" s="543"/>
      <c r="CH12" s="543"/>
      <c r="CI12" s="543"/>
      <c r="CJ12" s="543"/>
      <c r="CK12" s="543"/>
      <c r="CL12" s="543"/>
      <c r="CM12" s="543"/>
      <c r="CN12" s="543"/>
      <c r="CO12" s="543"/>
      <c r="CP12" s="543"/>
      <c r="CQ12" s="543"/>
      <c r="CR12" s="543"/>
      <c r="CS12" s="543"/>
      <c r="CT12" s="543"/>
      <c r="CU12" s="543"/>
      <c r="CV12" s="543"/>
      <c r="CW12" s="543"/>
      <c r="CX12" s="543"/>
    </row>
    <row r="13" spans="1:102" s="590" customFormat="1" ht="15" customHeight="1">
      <c r="A13" s="782"/>
      <c r="B13" s="783"/>
      <c r="C13" s="783"/>
      <c r="D13" s="783"/>
      <c r="E13" s="784"/>
      <c r="F13" s="783"/>
      <c r="G13" s="783"/>
      <c r="H13" s="783"/>
      <c r="I13" s="783"/>
      <c r="J13" s="784"/>
      <c r="K13" s="783"/>
      <c r="L13" s="785">
        <v>44561</v>
      </c>
      <c r="M13" s="785">
        <v>44196</v>
      </c>
      <c r="N13" s="841"/>
      <c r="O13" s="589"/>
      <c r="P13" s="589"/>
      <c r="Q13" s="589"/>
      <c r="R13" s="589"/>
      <c r="S13" s="589"/>
      <c r="T13" s="543"/>
      <c r="U13" s="543"/>
      <c r="V13" s="543"/>
      <c r="W13" s="543"/>
      <c r="X13" s="543"/>
      <c r="Y13" s="543"/>
      <c r="Z13" s="543"/>
      <c r="AA13" s="543"/>
      <c r="AB13" s="543"/>
      <c r="AC13" s="543"/>
      <c r="AD13" s="543"/>
      <c r="AE13" s="543"/>
      <c r="AF13" s="543"/>
      <c r="AG13" s="543"/>
      <c r="AH13" s="543"/>
      <c r="AI13" s="543"/>
      <c r="AJ13" s="543"/>
      <c r="AK13" s="543"/>
      <c r="AL13" s="543"/>
      <c r="AM13" s="543"/>
      <c r="AN13" s="543"/>
      <c r="AO13" s="543"/>
      <c r="AP13" s="543"/>
      <c r="AQ13" s="543"/>
      <c r="AR13" s="543"/>
      <c r="AS13" s="543"/>
      <c r="AT13" s="543"/>
      <c r="AU13" s="543"/>
      <c r="AV13" s="543"/>
      <c r="AW13" s="543"/>
      <c r="AX13" s="543"/>
      <c r="AY13" s="543"/>
      <c r="AZ13" s="543"/>
      <c r="BA13" s="543"/>
      <c r="BB13" s="543"/>
      <c r="BC13" s="543"/>
      <c r="BD13" s="543"/>
      <c r="BE13" s="543"/>
      <c r="BF13" s="543"/>
      <c r="BG13" s="543"/>
      <c r="BH13" s="543"/>
      <c r="BI13" s="543"/>
      <c r="BJ13" s="543"/>
      <c r="BK13" s="543"/>
      <c r="BL13" s="543"/>
      <c r="BM13" s="543"/>
      <c r="BN13" s="543"/>
      <c r="BO13" s="543"/>
      <c r="BP13" s="543"/>
      <c r="BQ13" s="543"/>
      <c r="BR13" s="543"/>
      <c r="BS13" s="543"/>
      <c r="BT13" s="543"/>
      <c r="BU13" s="543"/>
      <c r="BV13" s="543"/>
      <c r="BW13" s="543"/>
      <c r="BX13" s="543"/>
      <c r="BY13" s="543"/>
      <c r="BZ13" s="543"/>
      <c r="CA13" s="543"/>
      <c r="CB13" s="543"/>
      <c r="CC13" s="543"/>
      <c r="CD13" s="543"/>
      <c r="CE13" s="543"/>
      <c r="CF13" s="543"/>
      <c r="CG13" s="543"/>
      <c r="CH13" s="543"/>
      <c r="CI13" s="543"/>
      <c r="CJ13" s="543"/>
      <c r="CK13" s="543"/>
      <c r="CL13" s="543"/>
      <c r="CM13" s="543"/>
      <c r="CN13" s="543"/>
      <c r="CO13" s="543"/>
      <c r="CP13" s="543"/>
      <c r="CQ13" s="543"/>
      <c r="CR13" s="543"/>
      <c r="CS13" s="543"/>
      <c r="CT13" s="543"/>
      <c r="CU13" s="543"/>
      <c r="CV13" s="543"/>
      <c r="CW13" s="543"/>
      <c r="CX13" s="543"/>
    </row>
    <row r="14" spans="1:102" s="590" customFormat="1" ht="15" customHeight="1">
      <c r="A14" s="593" t="s">
        <v>403</v>
      </c>
      <c r="B14" s="591"/>
      <c r="C14" s="591"/>
      <c r="D14" s="591"/>
      <c r="E14" s="592"/>
      <c r="F14" s="591"/>
      <c r="G14" s="591"/>
      <c r="H14" s="591"/>
      <c r="I14" s="591"/>
      <c r="J14" s="592"/>
      <c r="K14" s="591"/>
      <c r="L14" s="594"/>
      <c r="M14" s="594"/>
      <c r="N14" s="841"/>
      <c r="O14" s="589"/>
      <c r="P14" s="589"/>
      <c r="Q14" s="589"/>
      <c r="R14" s="589"/>
      <c r="S14" s="589"/>
      <c r="T14" s="543"/>
      <c r="U14" s="543"/>
      <c r="V14" s="543"/>
      <c r="W14" s="543"/>
      <c r="X14" s="543"/>
      <c r="Y14" s="543"/>
      <c r="Z14" s="543"/>
      <c r="AA14" s="543"/>
      <c r="AB14" s="543"/>
      <c r="AC14" s="543"/>
      <c r="AD14" s="543"/>
      <c r="AE14" s="543"/>
      <c r="AF14" s="543"/>
      <c r="AG14" s="543"/>
      <c r="AH14" s="543"/>
      <c r="AI14" s="543"/>
      <c r="AJ14" s="543"/>
      <c r="AK14" s="543"/>
      <c r="AL14" s="543"/>
      <c r="AM14" s="543"/>
      <c r="AN14" s="543"/>
      <c r="AO14" s="543"/>
      <c r="AP14" s="543"/>
      <c r="AQ14" s="543"/>
      <c r="AR14" s="543"/>
      <c r="AS14" s="543"/>
      <c r="AT14" s="543"/>
      <c r="AU14" s="543"/>
      <c r="AV14" s="543"/>
      <c r="AW14" s="543"/>
      <c r="AX14" s="543"/>
      <c r="AY14" s="543"/>
      <c r="AZ14" s="543"/>
      <c r="BA14" s="543"/>
      <c r="BB14" s="543"/>
      <c r="BC14" s="543"/>
      <c r="BD14" s="543"/>
      <c r="BE14" s="543"/>
      <c r="BF14" s="543"/>
      <c r="BG14" s="543"/>
      <c r="BH14" s="543"/>
      <c r="BI14" s="543"/>
      <c r="BJ14" s="543"/>
      <c r="BK14" s="543"/>
      <c r="BL14" s="543"/>
      <c r="BM14" s="543"/>
      <c r="BN14" s="543"/>
      <c r="BO14" s="543"/>
      <c r="BP14" s="543"/>
      <c r="BQ14" s="543"/>
      <c r="BR14" s="543"/>
      <c r="BS14" s="543"/>
      <c r="BT14" s="543"/>
      <c r="BU14" s="543"/>
      <c r="BV14" s="543"/>
      <c r="BW14" s="543"/>
      <c r="BX14" s="543"/>
      <c r="BY14" s="543"/>
      <c r="BZ14" s="543"/>
      <c r="CA14" s="543"/>
      <c r="CB14" s="543"/>
      <c r="CC14" s="543"/>
      <c r="CD14" s="543"/>
      <c r="CE14" s="543"/>
      <c r="CF14" s="543"/>
      <c r="CG14" s="543"/>
      <c r="CH14" s="543"/>
      <c r="CI14" s="543"/>
      <c r="CJ14" s="543"/>
      <c r="CK14" s="543"/>
      <c r="CL14" s="543"/>
      <c r="CM14" s="543"/>
      <c r="CN14" s="543"/>
      <c r="CO14" s="543"/>
      <c r="CP14" s="543"/>
      <c r="CQ14" s="543"/>
      <c r="CR14" s="543"/>
      <c r="CS14" s="543"/>
      <c r="CT14" s="543"/>
      <c r="CU14" s="543"/>
      <c r="CV14" s="543"/>
      <c r="CW14" s="543"/>
      <c r="CX14" s="543"/>
    </row>
    <row r="15" spans="1:102">
      <c r="A15" s="29" t="s">
        <v>382</v>
      </c>
      <c r="B15" s="700">
        <v>15654467909</v>
      </c>
      <c r="C15" s="701">
        <f>527273+1054545+6910000+42099750+1407100+837685+2006404+1299236-42099750+850641+596393+365885+1000000+781179+1636364+2363636-2621436+545455+1363636+9247745+942466+32750000+1585103+1288488+1600000+990930+6201520+6044003+6178941-222520+563636+563636+2636364+3090909+631430+1265111+1307673+1307673+563636+563636+1500000+1567641+1405626+2181818+2545455+2545455+2772727+750000+618182+1218182+42038815+34175000+68350000+3280800+1640400+46210820+3419360+872727+249091+102319533+1118187+837600+1559770+20089696+563636+563636+563636+2590909+654545+1309091+932091+1786080+1190728+5580504+512486+108909091+654545+576055+3272727+3981818+1516351+2944298+654545+531818+1336254+719489+1156659+8272727+490909+1363636+2898000+1043723+1727273+5027272+1978641+1294287+1215438+2966282</f>
        <v>614070441</v>
      </c>
      <c r="D15" s="78">
        <v>12188130</v>
      </c>
      <c r="E15" s="702"/>
      <c r="F15" s="701">
        <f>+B15+C15-D15</f>
        <v>16256350220</v>
      </c>
      <c r="G15" s="701">
        <v>7064368619</v>
      </c>
      <c r="H15" s="701">
        <f>359525382+505107292-19493+155365743+166854946+151545275+155263409+162072375+150376375</f>
        <v>1806091304</v>
      </c>
      <c r="I15" s="78">
        <v>12188130</v>
      </c>
      <c r="J15" s="702"/>
      <c r="K15" s="78">
        <f>+G15+H15-I15</f>
        <v>8858271793</v>
      </c>
      <c r="L15" s="701">
        <f>+F15-K15</f>
        <v>7398078427</v>
      </c>
      <c r="M15" s="701">
        <v>8590099290</v>
      </c>
      <c r="N15" s="840"/>
      <c r="O15" s="595"/>
      <c r="P15" s="583"/>
      <c r="Q15" s="583"/>
      <c r="R15" s="583"/>
      <c r="S15" s="583"/>
      <c r="AE15" s="582"/>
      <c r="AF15" s="582"/>
      <c r="AG15" s="582"/>
      <c r="AH15" s="582"/>
      <c r="AI15" s="582"/>
      <c r="AJ15" s="582"/>
      <c r="AK15" s="582"/>
      <c r="AL15" s="582"/>
      <c r="AM15" s="582"/>
      <c r="AN15" s="582"/>
      <c r="AO15" s="582"/>
      <c r="AP15" s="582"/>
      <c r="AQ15" s="582"/>
      <c r="AR15" s="582"/>
      <c r="AS15" s="582"/>
      <c r="AT15" s="582"/>
      <c r="AU15" s="582"/>
      <c r="AV15" s="582"/>
      <c r="AW15" s="582"/>
      <c r="AX15" s="582"/>
      <c r="AY15" s="582"/>
      <c r="AZ15" s="582"/>
      <c r="BA15" s="582"/>
      <c r="BB15" s="582"/>
      <c r="BC15" s="582"/>
      <c r="BD15" s="582"/>
      <c r="BE15" s="582"/>
      <c r="BF15" s="582"/>
      <c r="BG15" s="582"/>
      <c r="BH15" s="582"/>
      <c r="BI15" s="582"/>
      <c r="BJ15" s="582"/>
    </row>
    <row r="16" spans="1:102">
      <c r="A16" s="29" t="s">
        <v>392</v>
      </c>
      <c r="B16" s="78">
        <v>4847064895</v>
      </c>
      <c r="C16" s="78">
        <f>3277273+4252149+4049974+4049974+96728434+1644346+3376010+3376010+3910295+5131927+3376010+5131927+5131927+5131927+38720794+4379838-1705485+6217600+6217600+6217600+852709+12429103+603000+1206000-852709+6246651+91393630+696285904+4445024+4445024+4445024+6237436+12512000+1985461+365255969+22510175+3974002+94048+2115524+432523+21306+3974002+570423+4014347+2912624+4014347+2507400+8750486+373010306+3873900+1577195+1654131+1577195+1654131+4008584+4683300+2569673+1654131+4087799+4249362+3994525+3994525+12021799+969457+969457+969457+874387+1047000+3923623+1188994+7047223+4019509+1183840+1045455+2569673+48823787</f>
        <v>1971239981</v>
      </c>
      <c r="D16" s="78">
        <f>980289+4813128+3269708+555663718</f>
        <v>564726843</v>
      </c>
      <c r="E16" s="703"/>
      <c r="F16" s="701">
        <f>+B16+C16-D16</f>
        <v>6253578033</v>
      </c>
      <c r="G16" s="78">
        <v>3416824823</v>
      </c>
      <c r="H16" s="78">
        <f>136374747+350997789+9759+81228757+174348779+196537278+116324733+106725648+108558427</f>
        <v>1271105917</v>
      </c>
      <c r="I16" s="78">
        <f>4652202-1382494+555663718</f>
        <v>558933426</v>
      </c>
      <c r="J16" s="703"/>
      <c r="K16" s="78">
        <f>+G16+H16-I16</f>
        <v>4128997314</v>
      </c>
      <c r="L16" s="701">
        <f t="shared" ref="L16:L19" si="0">+F16-K16</f>
        <v>2124580719</v>
      </c>
      <c r="M16" s="78">
        <v>1430240072</v>
      </c>
      <c r="N16" s="840"/>
      <c r="O16" s="583"/>
      <c r="P16" s="583"/>
      <c r="Q16" s="583"/>
      <c r="R16" s="583"/>
      <c r="S16" s="583"/>
      <c r="AE16" s="582"/>
      <c r="AF16" s="582"/>
      <c r="AG16" s="582"/>
      <c r="AH16" s="582"/>
      <c r="AI16" s="582"/>
      <c r="AJ16" s="582"/>
      <c r="AK16" s="582"/>
      <c r="AL16" s="582"/>
      <c r="AM16" s="582"/>
      <c r="AN16" s="582"/>
      <c r="AO16" s="582"/>
      <c r="AP16" s="582"/>
      <c r="AQ16" s="582"/>
      <c r="AR16" s="582"/>
      <c r="AS16" s="582"/>
      <c r="AT16" s="582"/>
      <c r="AU16" s="582"/>
      <c r="AV16" s="582"/>
      <c r="AW16" s="582"/>
      <c r="AX16" s="582"/>
      <c r="AY16" s="582"/>
      <c r="AZ16" s="582"/>
      <c r="BA16" s="582"/>
      <c r="BB16" s="582"/>
      <c r="BC16" s="582"/>
      <c r="BD16" s="582"/>
      <c r="BE16" s="582"/>
      <c r="BF16" s="582"/>
      <c r="BG16" s="582"/>
      <c r="BH16" s="582"/>
      <c r="BI16" s="582"/>
      <c r="BJ16" s="582"/>
    </row>
    <row r="17" spans="1:62">
      <c r="A17" s="29" t="s">
        <v>393</v>
      </c>
      <c r="B17" s="78">
        <v>3415377288</v>
      </c>
      <c r="C17" s="704">
        <f>47300000+42099750+1022727+5681818+867955+17914066+718182+78702279+936364+580569+38313136+12023523+19271152+936364+1918285+1816364+60000000+4190909+518182+1727273+1711108+1375455+196637960+6492279+2863636+36247977+588461+1078813+25314</f>
        <v>583559901</v>
      </c>
      <c r="D17" s="78">
        <f>1102775+1727273</f>
        <v>2830048</v>
      </c>
      <c r="E17" s="703"/>
      <c r="F17" s="701">
        <f t="shared" ref="F17:F23" si="1">+B17+C17-D17</f>
        <v>3996107141</v>
      </c>
      <c r="G17" s="78">
        <v>2149174720</v>
      </c>
      <c r="H17" s="78">
        <f>84483947+153475902+39659975+48280547+49140602+43390053+50612216+71951912</f>
        <v>540995154</v>
      </c>
      <c r="I17" s="78">
        <v>1102775</v>
      </c>
      <c r="J17" s="703"/>
      <c r="K17" s="78">
        <f t="shared" ref="K17:K28" si="2">+G17+H17-I17</f>
        <v>2689067099</v>
      </c>
      <c r="L17" s="701">
        <f t="shared" si="0"/>
        <v>1307040042</v>
      </c>
      <c r="M17" s="78">
        <v>1266202568</v>
      </c>
      <c r="N17" s="840"/>
      <c r="O17" s="583"/>
      <c r="P17" s="583"/>
      <c r="Q17" s="583"/>
      <c r="R17" s="583"/>
      <c r="S17" s="583"/>
      <c r="AE17" s="582"/>
      <c r="AF17" s="582"/>
      <c r="AG17" s="582"/>
      <c r="AH17" s="582"/>
      <c r="AI17" s="582"/>
      <c r="AJ17" s="582"/>
      <c r="AK17" s="582"/>
      <c r="AL17" s="582"/>
      <c r="AM17" s="582"/>
      <c r="AN17" s="582"/>
      <c r="AO17" s="582"/>
      <c r="AP17" s="582"/>
      <c r="AQ17" s="582"/>
      <c r="AR17" s="582"/>
      <c r="AS17" s="582"/>
      <c r="AT17" s="582"/>
      <c r="AU17" s="582"/>
      <c r="AV17" s="582"/>
      <c r="AW17" s="582"/>
      <c r="AX17" s="582"/>
      <c r="AY17" s="582"/>
      <c r="AZ17" s="582"/>
      <c r="BA17" s="582"/>
      <c r="BB17" s="582"/>
      <c r="BC17" s="582"/>
      <c r="BD17" s="582"/>
      <c r="BE17" s="582"/>
      <c r="BF17" s="582"/>
      <c r="BG17" s="582"/>
      <c r="BH17" s="582"/>
      <c r="BI17" s="582"/>
      <c r="BJ17" s="582"/>
    </row>
    <row r="18" spans="1:62" s="847" customFormat="1">
      <c r="A18" s="842" t="s">
        <v>394</v>
      </c>
      <c r="B18" s="843">
        <v>118317919729</v>
      </c>
      <c r="C18" s="843">
        <f>602822333+1768488</f>
        <v>604590821</v>
      </c>
      <c r="D18" s="843">
        <v>23061183</v>
      </c>
      <c r="E18" s="844"/>
      <c r="F18" s="758">
        <f t="shared" si="1"/>
        <v>118899449367</v>
      </c>
      <c r="G18" s="843">
        <v>25171400989</v>
      </c>
      <c r="H18" s="843">
        <f>595104743+630446249+204258498-1768488-248829+211896223+205462043+205213214+285149527+222826831</f>
        <v>2558340011</v>
      </c>
      <c r="I18" s="843">
        <v>0</v>
      </c>
      <c r="J18" s="844"/>
      <c r="K18" s="843">
        <f>+G18+H18+I18</f>
        <v>27729741000</v>
      </c>
      <c r="L18" s="758">
        <f>+F18-K18</f>
        <v>91169708367</v>
      </c>
      <c r="M18" s="843">
        <v>93146518740</v>
      </c>
      <c r="N18" s="845"/>
      <c r="O18" s="846"/>
      <c r="P18" s="846"/>
      <c r="Q18" s="846"/>
      <c r="R18" s="846"/>
      <c r="S18" s="846"/>
    </row>
    <row r="19" spans="1:62">
      <c r="A19" s="29" t="s">
        <v>395</v>
      </c>
      <c r="B19" s="78">
        <v>6407512912</v>
      </c>
      <c r="C19" s="78">
        <f>110327261+6000000+11363636+114334551+111272752+11363636+59732696+86811793</f>
        <v>511206325</v>
      </c>
      <c r="D19" s="78">
        <f>92041154+25755961</f>
        <v>117797115</v>
      </c>
      <c r="E19" s="703"/>
      <c r="F19" s="701">
        <f>+B19+C19-D19</f>
        <v>6800922122</v>
      </c>
      <c r="G19" s="78">
        <v>4250566871</v>
      </c>
      <c r="H19" s="78">
        <f>15781975+105385722+188775423+49026857+49026857+55351496+64154475+42517158+42517153</f>
        <v>612537116</v>
      </c>
      <c r="I19" s="78">
        <v>41537936</v>
      </c>
      <c r="J19" s="703"/>
      <c r="K19" s="78">
        <f t="shared" si="2"/>
        <v>4821566051</v>
      </c>
      <c r="L19" s="701">
        <f t="shared" si="0"/>
        <v>1979356071</v>
      </c>
      <c r="M19" s="78">
        <v>2156946041</v>
      </c>
      <c r="N19" s="840"/>
      <c r="O19" s="583"/>
      <c r="P19" s="583"/>
      <c r="Q19" s="583"/>
      <c r="R19" s="583"/>
      <c r="S19" s="583"/>
      <c r="AE19" s="582"/>
      <c r="AF19" s="582"/>
      <c r="AG19" s="582"/>
      <c r="AH19" s="582"/>
      <c r="AI19" s="582"/>
      <c r="AJ19" s="582"/>
      <c r="AK19" s="582"/>
      <c r="AL19" s="582"/>
      <c r="AM19" s="582"/>
      <c r="AN19" s="582"/>
      <c r="AO19" s="582"/>
      <c r="AP19" s="582"/>
      <c r="AQ19" s="582"/>
      <c r="AR19" s="582"/>
      <c r="AS19" s="582"/>
      <c r="AT19" s="582"/>
      <c r="AU19" s="582"/>
      <c r="AV19" s="582"/>
      <c r="AW19" s="582"/>
      <c r="AX19" s="582"/>
      <c r="AY19" s="582"/>
      <c r="AZ19" s="582"/>
      <c r="BA19" s="582"/>
      <c r="BB19" s="582"/>
      <c r="BC19" s="582"/>
      <c r="BD19" s="582"/>
      <c r="BE19" s="582"/>
      <c r="BF19" s="582"/>
      <c r="BG19" s="582"/>
      <c r="BH19" s="582"/>
      <c r="BI19" s="582"/>
      <c r="BJ19" s="582"/>
    </row>
    <row r="20" spans="1:62">
      <c r="A20" s="29" t="s">
        <v>396</v>
      </c>
      <c r="B20" s="78">
        <v>15882463592</v>
      </c>
      <c r="C20" s="78">
        <f>46169768+5727273</f>
        <v>51897041</v>
      </c>
      <c r="D20" s="78">
        <v>143109340</v>
      </c>
      <c r="E20" s="703"/>
      <c r="F20" s="701">
        <f t="shared" si="1"/>
        <v>15791251293</v>
      </c>
      <c r="G20" s="78">
        <v>12799848524</v>
      </c>
      <c r="H20" s="78">
        <f>230869079+461833124+115450367+115450367+115450368+162935630+92450777+90451387</f>
        <v>1384891099</v>
      </c>
      <c r="I20" s="78">
        <f>D20</f>
        <v>143109340</v>
      </c>
      <c r="J20" s="703"/>
      <c r="K20" s="78">
        <f t="shared" si="2"/>
        <v>14041630283</v>
      </c>
      <c r="L20" s="701">
        <f>+F20-K20</f>
        <v>1749621010</v>
      </c>
      <c r="M20" s="78">
        <v>3082615068</v>
      </c>
      <c r="N20" s="840"/>
      <c r="O20" s="583"/>
      <c r="P20" s="583"/>
      <c r="Q20" s="583"/>
      <c r="R20" s="583"/>
      <c r="S20" s="583"/>
      <c r="AE20" s="582"/>
      <c r="AF20" s="582"/>
      <c r="AG20" s="582"/>
      <c r="AH20" s="582"/>
      <c r="AI20" s="582"/>
      <c r="AJ20" s="582"/>
      <c r="AK20" s="582"/>
      <c r="AL20" s="582"/>
      <c r="AM20" s="582"/>
      <c r="AN20" s="582"/>
      <c r="AO20" s="582"/>
      <c r="AP20" s="582"/>
      <c r="AQ20" s="582"/>
      <c r="AR20" s="582"/>
      <c r="AS20" s="582"/>
      <c r="AT20" s="582"/>
      <c r="AU20" s="582"/>
      <c r="AV20" s="582"/>
      <c r="AW20" s="582"/>
      <c r="AX20" s="582"/>
      <c r="AY20" s="582"/>
      <c r="AZ20" s="582"/>
      <c r="BA20" s="582"/>
      <c r="BB20" s="582"/>
      <c r="BC20" s="582"/>
      <c r="BD20" s="582"/>
      <c r="BE20" s="582"/>
      <c r="BF20" s="582"/>
      <c r="BG20" s="582"/>
      <c r="BH20" s="582"/>
      <c r="BI20" s="582"/>
      <c r="BJ20" s="582"/>
    </row>
    <row r="21" spans="1:62">
      <c r="A21" s="29" t="s">
        <v>398</v>
      </c>
      <c r="B21" s="78">
        <v>213798506</v>
      </c>
      <c r="C21" s="78">
        <f>9170000+27978182+61107025+2018182+29141336+47035080+13150000+5989153+1521386+30103466+15493522+5071255+24266468+56403864+4823727+57475727+17963660+9306830+136363636+206202254+126908632+15758151+10881000</f>
        <v>914132536</v>
      </c>
      <c r="D21" s="78">
        <f>260000+280000+220000+72727+263637+181818+181818+263637+909+602822333+10881000+15758151</f>
        <v>631186030</v>
      </c>
      <c r="E21" s="703"/>
      <c r="F21" s="78">
        <f t="shared" si="1"/>
        <v>496745012</v>
      </c>
      <c r="G21" s="78">
        <v>0</v>
      </c>
      <c r="H21" s="78">
        <v>0</v>
      </c>
      <c r="I21" s="78">
        <v>0</v>
      </c>
      <c r="J21" s="703"/>
      <c r="K21" s="78">
        <f t="shared" si="2"/>
        <v>0</v>
      </c>
      <c r="L21" s="757">
        <f>+F21-K21</f>
        <v>496745012</v>
      </c>
      <c r="M21" s="78">
        <v>213798506</v>
      </c>
      <c r="N21" s="840"/>
      <c r="O21" s="583"/>
      <c r="P21" s="583"/>
      <c r="Q21" s="583"/>
      <c r="R21" s="583"/>
      <c r="S21" s="583"/>
      <c r="AE21" s="582"/>
      <c r="AF21" s="582"/>
      <c r="AG21" s="582"/>
      <c r="AH21" s="582"/>
      <c r="AI21" s="582"/>
      <c r="AJ21" s="582"/>
      <c r="AK21" s="582"/>
      <c r="AL21" s="582"/>
      <c r="AM21" s="582"/>
      <c r="AN21" s="582"/>
      <c r="AO21" s="582"/>
      <c r="AP21" s="582"/>
      <c r="AQ21" s="582"/>
      <c r="AR21" s="582"/>
      <c r="AS21" s="582"/>
      <c r="AT21" s="582"/>
      <c r="AU21" s="582"/>
      <c r="AV21" s="582"/>
      <c r="AW21" s="582"/>
      <c r="AX21" s="582"/>
      <c r="AY21" s="582"/>
      <c r="AZ21" s="582"/>
      <c r="BA21" s="582"/>
      <c r="BB21" s="582"/>
      <c r="BC21" s="582"/>
      <c r="BD21" s="582"/>
      <c r="BE21" s="582"/>
      <c r="BF21" s="582"/>
      <c r="BG21" s="582"/>
      <c r="BH21" s="582"/>
      <c r="BI21" s="582"/>
      <c r="BJ21" s="582"/>
    </row>
    <row r="22" spans="1:62">
      <c r="A22" s="29" t="s">
        <v>399</v>
      </c>
      <c r="B22" s="78">
        <v>1826371556</v>
      </c>
      <c r="C22" s="78">
        <v>0</v>
      </c>
      <c r="D22" s="78">
        <v>0</v>
      </c>
      <c r="E22" s="703"/>
      <c r="F22" s="701">
        <f t="shared" si="1"/>
        <v>1826371556</v>
      </c>
      <c r="G22" s="78">
        <v>1704960284</v>
      </c>
      <c r="H22" s="78">
        <f>13174946+21800339+5829214+5829214+5829214+7929070+4779286+4779287</f>
        <v>69950570</v>
      </c>
      <c r="I22" s="78">
        <v>0</v>
      </c>
      <c r="J22" s="703"/>
      <c r="K22" s="78">
        <f t="shared" si="2"/>
        <v>1774910854</v>
      </c>
      <c r="L22" s="758">
        <f>+F22-K22</f>
        <v>51460702</v>
      </c>
      <c r="M22" s="78">
        <v>121411272</v>
      </c>
      <c r="N22" s="840"/>
      <c r="O22" s="583"/>
      <c r="P22" s="583"/>
      <c r="Q22" s="583"/>
      <c r="R22" s="583"/>
      <c r="S22" s="583"/>
      <c r="AE22" s="582"/>
      <c r="AF22" s="582"/>
      <c r="AG22" s="582"/>
      <c r="AH22" s="582"/>
      <c r="AI22" s="582"/>
      <c r="AJ22" s="582"/>
      <c r="AK22" s="582"/>
      <c r="AL22" s="582"/>
      <c r="AM22" s="582"/>
      <c r="AN22" s="582"/>
      <c r="AO22" s="582"/>
      <c r="AP22" s="582"/>
      <c r="AQ22" s="582"/>
      <c r="AR22" s="582"/>
      <c r="AS22" s="582"/>
      <c r="AT22" s="582"/>
      <c r="AU22" s="582"/>
      <c r="AV22" s="582"/>
      <c r="AW22" s="582"/>
      <c r="AX22" s="582"/>
      <c r="AY22" s="582"/>
      <c r="AZ22" s="582"/>
      <c r="BA22" s="582"/>
      <c r="BB22" s="582"/>
      <c r="BC22" s="582"/>
      <c r="BD22" s="582"/>
      <c r="BE22" s="582"/>
      <c r="BF22" s="582"/>
      <c r="BG22" s="582"/>
      <c r="BH22" s="582"/>
      <c r="BI22" s="582"/>
      <c r="BJ22" s="582"/>
    </row>
    <row r="23" spans="1:62">
      <c r="A23" s="29" t="s">
        <v>400</v>
      </c>
      <c r="B23" s="78">
        <v>3746716084</v>
      </c>
      <c r="C23" s="78">
        <v>0</v>
      </c>
      <c r="D23" s="78">
        <v>0</v>
      </c>
      <c r="E23" s="703"/>
      <c r="F23" s="701">
        <f t="shared" si="1"/>
        <v>3746716084</v>
      </c>
      <c r="G23" s="78">
        <v>2299151076</v>
      </c>
      <c r="H23" s="78">
        <f>95703636+167477816+43863575+43863575+43863575+43863576+43863575+43863575</f>
        <v>526362903</v>
      </c>
      <c r="I23" s="78">
        <v>0</v>
      </c>
      <c r="J23" s="703"/>
      <c r="K23" s="78">
        <f t="shared" si="2"/>
        <v>2825513979</v>
      </c>
      <c r="L23" s="758">
        <f>+F23-K23</f>
        <v>921202105</v>
      </c>
      <c r="M23" s="78">
        <v>1447565008</v>
      </c>
      <c r="N23" s="840"/>
      <c r="O23" s="583"/>
      <c r="P23" s="583"/>
      <c r="Q23" s="583"/>
      <c r="R23" s="583"/>
      <c r="S23" s="583"/>
      <c r="AE23" s="582"/>
      <c r="AF23" s="582"/>
      <c r="AG23" s="582"/>
      <c r="AH23" s="582"/>
      <c r="AI23" s="582"/>
      <c r="AJ23" s="582"/>
      <c r="AK23" s="582"/>
      <c r="AL23" s="582"/>
      <c r="AM23" s="582"/>
      <c r="AN23" s="582"/>
      <c r="AO23" s="582"/>
      <c r="AP23" s="582"/>
      <c r="AQ23" s="582"/>
      <c r="AR23" s="582"/>
      <c r="AS23" s="582"/>
      <c r="AT23" s="582"/>
      <c r="AU23" s="582"/>
      <c r="AV23" s="582"/>
      <c r="AW23" s="582"/>
      <c r="AX23" s="582"/>
      <c r="AY23" s="582"/>
      <c r="AZ23" s="582"/>
      <c r="BA23" s="582"/>
      <c r="BB23" s="582"/>
      <c r="BC23" s="582"/>
      <c r="BD23" s="582"/>
      <c r="BE23" s="582"/>
      <c r="BF23" s="582"/>
      <c r="BG23" s="582"/>
      <c r="BH23" s="582"/>
      <c r="BI23" s="582"/>
      <c r="BJ23" s="582"/>
    </row>
    <row r="24" spans="1:62">
      <c r="A24" s="596" t="s">
        <v>401</v>
      </c>
      <c r="B24" s="710">
        <f>SUM(B15:B23)</f>
        <v>170311692471</v>
      </c>
      <c r="C24" s="710">
        <f>SUM(C15:C23)</f>
        <v>5250697046</v>
      </c>
      <c r="D24" s="710">
        <f>SUM(D15:D23)</f>
        <v>1494898689</v>
      </c>
      <c r="E24" s="711"/>
      <c r="F24" s="710">
        <f>SUM(F15:F23)</f>
        <v>174067490828</v>
      </c>
      <c r="G24" s="710">
        <f>SUM(G15:G23)</f>
        <v>58856295906</v>
      </c>
      <c r="H24" s="710">
        <f>SUM(H15:H23)</f>
        <v>8770274074</v>
      </c>
      <c r="I24" s="710">
        <f>SUM(I15:I23)</f>
        <v>756871607</v>
      </c>
      <c r="J24" s="716"/>
      <c r="K24" s="710">
        <f>SUM(K15:K23)</f>
        <v>66869698373</v>
      </c>
      <c r="L24" s="710">
        <f>SUM($L$15:L23)</f>
        <v>107197792455</v>
      </c>
      <c r="M24" s="710">
        <f>SUM($M$15:M23)</f>
        <v>111455396565</v>
      </c>
      <c r="N24" s="840"/>
      <c r="O24" s="583"/>
      <c r="P24" s="583"/>
      <c r="Q24" s="583"/>
      <c r="R24" s="583"/>
      <c r="S24" s="583"/>
      <c r="AE24" s="582"/>
      <c r="AF24" s="582"/>
      <c r="AG24" s="582"/>
      <c r="AH24" s="582"/>
      <c r="AI24" s="582"/>
      <c r="AJ24" s="582"/>
      <c r="AK24" s="582"/>
      <c r="AL24" s="582"/>
      <c r="AM24" s="582"/>
      <c r="AN24" s="582"/>
      <c r="AO24" s="582"/>
      <c r="AP24" s="582"/>
      <c r="AQ24" s="582"/>
      <c r="AR24" s="582"/>
      <c r="AS24" s="582"/>
      <c r="AT24" s="582"/>
      <c r="AU24" s="582"/>
      <c r="AV24" s="582"/>
      <c r="AW24" s="582"/>
      <c r="AX24" s="582"/>
      <c r="AY24" s="582"/>
      <c r="AZ24" s="582"/>
      <c r="BA24" s="582"/>
      <c r="BB24" s="582"/>
      <c r="BC24" s="582"/>
      <c r="BD24" s="582"/>
      <c r="BE24" s="582"/>
      <c r="BF24" s="582"/>
      <c r="BG24" s="582"/>
      <c r="BH24" s="582"/>
      <c r="BI24" s="582"/>
      <c r="BJ24" s="582"/>
    </row>
    <row r="25" spans="1:62">
      <c r="A25" s="597"/>
      <c r="B25" s="717"/>
      <c r="C25" s="718"/>
      <c r="D25" s="718"/>
      <c r="E25" s="713"/>
      <c r="F25" s="714"/>
      <c r="G25" s="714"/>
      <c r="H25" s="718"/>
      <c r="I25" s="718"/>
      <c r="J25" s="739"/>
      <c r="K25" s="714"/>
      <c r="L25" s="718"/>
      <c r="M25" s="718"/>
      <c r="N25" s="840"/>
      <c r="O25" s="583"/>
      <c r="P25" s="583"/>
      <c r="Q25" s="583"/>
      <c r="R25" s="583"/>
      <c r="S25" s="583"/>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2"/>
      <c r="BA25" s="582"/>
      <c r="BB25" s="582"/>
      <c r="BC25" s="582"/>
      <c r="BD25" s="582"/>
      <c r="BE25" s="582"/>
      <c r="BF25" s="582"/>
      <c r="BG25" s="582"/>
      <c r="BH25" s="582"/>
      <c r="BI25" s="582"/>
      <c r="BJ25" s="582"/>
    </row>
    <row r="26" spans="1:62">
      <c r="A26" s="598" t="s">
        <v>404</v>
      </c>
      <c r="B26" s="718"/>
      <c r="C26" s="718"/>
      <c r="D26" s="718"/>
      <c r="E26" s="713"/>
      <c r="F26" s="714"/>
      <c r="G26" s="714"/>
      <c r="H26" s="718"/>
      <c r="I26" s="718"/>
      <c r="J26" s="739"/>
      <c r="K26" s="714"/>
      <c r="L26" s="718"/>
      <c r="M26" s="718"/>
      <c r="N26" s="840"/>
      <c r="O26" s="583"/>
      <c r="P26" s="583"/>
      <c r="Q26" s="583"/>
      <c r="R26" s="583"/>
      <c r="S26" s="583"/>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c r="BI26" s="582"/>
      <c r="BJ26" s="582"/>
    </row>
    <row r="27" spans="1:62">
      <c r="A27" s="599" t="s">
        <v>397</v>
      </c>
      <c r="B27" s="714">
        <f>977199205+974781158+262460243+42091183</f>
        <v>2256531789</v>
      </c>
      <c r="C27" s="714">
        <f>4881818+14983200+20498809+14983200+14515300</f>
        <v>69862327</v>
      </c>
      <c r="D27" s="714">
        <f>14983200</f>
        <v>14983200</v>
      </c>
      <c r="E27" s="713"/>
      <c r="F27" s="725">
        <f>+B27+C27-D27</f>
        <v>2311410916</v>
      </c>
      <c r="G27" s="714">
        <v>486952026</v>
      </c>
      <c r="H27" s="714">
        <f>11534635+10591031+13366692+11767987</f>
        <v>47260345</v>
      </c>
      <c r="I27" s="714">
        <v>0</v>
      </c>
      <c r="J27" s="713"/>
      <c r="K27" s="728">
        <f t="shared" si="2"/>
        <v>534212371</v>
      </c>
      <c r="L27" s="725">
        <f>+F27-K27</f>
        <v>1777198545</v>
      </c>
      <c r="M27" s="714">
        <v>1769579763</v>
      </c>
      <c r="N27" s="840"/>
      <c r="O27" s="583"/>
      <c r="P27" s="583"/>
      <c r="Q27" s="583"/>
      <c r="R27" s="583"/>
      <c r="S27" s="583"/>
      <c r="AE27" s="582"/>
      <c r="AF27" s="582"/>
      <c r="AG27" s="582"/>
      <c r="AH27" s="582"/>
      <c r="AI27" s="582"/>
      <c r="AJ27" s="582"/>
      <c r="AK27" s="582"/>
      <c r="AL27" s="582"/>
      <c r="AM27" s="582"/>
      <c r="AN27" s="582"/>
      <c r="AO27" s="582"/>
      <c r="AP27" s="582"/>
      <c r="AQ27" s="582"/>
      <c r="AR27" s="582"/>
      <c r="AS27" s="582"/>
      <c r="AT27" s="582"/>
      <c r="AU27" s="582"/>
      <c r="AV27" s="582"/>
      <c r="AW27" s="582"/>
      <c r="AX27" s="582"/>
      <c r="AY27" s="582"/>
      <c r="AZ27" s="582"/>
      <c r="BA27" s="582"/>
      <c r="BB27" s="582"/>
      <c r="BC27" s="582"/>
      <c r="BD27" s="582"/>
      <c r="BE27" s="582"/>
      <c r="BF27" s="582"/>
      <c r="BG27" s="582"/>
      <c r="BH27" s="582"/>
      <c r="BI27" s="582"/>
      <c r="BJ27" s="582"/>
    </row>
    <row r="28" spans="1:62">
      <c r="A28" s="599" t="s">
        <v>396</v>
      </c>
      <c r="B28" s="714">
        <v>884246061</v>
      </c>
      <c r="C28" s="714">
        <f>8313636+12500000+318182+12500000</f>
        <v>33631818</v>
      </c>
      <c r="D28" s="714">
        <v>318182</v>
      </c>
      <c r="E28" s="713"/>
      <c r="F28" s="725">
        <f>+B28+C28-D28</f>
        <v>917559697</v>
      </c>
      <c r="G28" s="714">
        <v>664145843</v>
      </c>
      <c r="H28" s="714">
        <f>6945820+9956892+8025857+7725854</f>
        <v>32654423</v>
      </c>
      <c r="I28" s="714">
        <v>0</v>
      </c>
      <c r="J28" s="713"/>
      <c r="K28" s="728">
        <f t="shared" si="2"/>
        <v>696800266</v>
      </c>
      <c r="L28" s="725">
        <f>+F28-K28</f>
        <v>220759431</v>
      </c>
      <c r="M28" s="714">
        <v>220100218</v>
      </c>
      <c r="N28" s="840"/>
      <c r="O28" s="583"/>
      <c r="P28" s="583"/>
      <c r="Q28" s="583"/>
      <c r="R28" s="583"/>
      <c r="S28" s="583"/>
      <c r="AE28" s="582"/>
      <c r="AF28" s="582"/>
      <c r="AG28" s="582"/>
      <c r="AH28" s="582"/>
      <c r="AI28" s="582"/>
      <c r="AJ28" s="582"/>
      <c r="AK28" s="582"/>
      <c r="AL28" s="582"/>
      <c r="AM28" s="582"/>
      <c r="AN28" s="582"/>
      <c r="AO28" s="582"/>
      <c r="AP28" s="582"/>
      <c r="AQ28" s="582"/>
      <c r="AR28" s="582"/>
      <c r="AS28" s="582"/>
      <c r="AT28" s="582"/>
      <c r="AU28" s="582"/>
      <c r="AV28" s="582"/>
      <c r="AW28" s="582"/>
      <c r="AX28" s="582"/>
      <c r="AY28" s="582"/>
      <c r="AZ28" s="582"/>
      <c r="BA28" s="582"/>
      <c r="BB28" s="582"/>
      <c r="BC28" s="582"/>
      <c r="BD28" s="582"/>
      <c r="BE28" s="582"/>
      <c r="BF28" s="582"/>
      <c r="BG28" s="582"/>
      <c r="BH28" s="582"/>
      <c r="BI28" s="582"/>
      <c r="BJ28" s="582"/>
    </row>
    <row r="29" spans="1:62">
      <c r="A29" s="599" t="s">
        <v>405</v>
      </c>
      <c r="B29" s="600">
        <f>7013853549+2947869159+1276882744+10056263148+59942704+321600302+1885496794+38483202+49053841+1653549810+694953452</f>
        <v>25997948705</v>
      </c>
      <c r="C29" s="714">
        <f>36502200+18805000+22500000+29941800+79324200+11859091+40700000+22659545+5627273+9584545+11537900+3458182+4769000+51983000+63717800+28093000+52089818+58635000+43032500+25968182+22581339+124545455+150913636+6109091+3038718+913771+5749858+27130909+20875000+20875000+59372000+76522000+29222300+34650277+36774000+40170000+45371200+9814597+1118992+25672727+31781818+971108</f>
        <v>1394961832</v>
      </c>
      <c r="D29" s="714">
        <v>0</v>
      </c>
      <c r="E29" s="713"/>
      <c r="F29" s="725">
        <f>+B29+C29-D29</f>
        <v>27392910537</v>
      </c>
      <c r="G29" s="714">
        <v>11553206986</v>
      </c>
      <c r="H29" s="714">
        <f>319644698+419920308+398464527+370942630</f>
        <v>1508972163</v>
      </c>
      <c r="I29" s="714">
        <v>0</v>
      </c>
      <c r="J29" s="713"/>
      <c r="K29" s="714">
        <f>G29+H29-I29</f>
        <v>13062179149</v>
      </c>
      <c r="L29" s="725">
        <f>+F29-K29</f>
        <v>14330731388</v>
      </c>
      <c r="M29" s="714">
        <v>14444741719</v>
      </c>
      <c r="N29" s="840"/>
      <c r="O29" s="583"/>
      <c r="P29" s="583"/>
      <c r="Q29" s="583"/>
      <c r="R29" s="583"/>
      <c r="S29" s="583"/>
      <c r="AE29" s="582"/>
      <c r="AF29" s="582"/>
      <c r="AG29" s="582"/>
      <c r="AH29" s="582"/>
      <c r="AI29" s="582"/>
      <c r="AJ29" s="582"/>
      <c r="AK29" s="582"/>
      <c r="AL29" s="582"/>
      <c r="AM29" s="582"/>
      <c r="AN29" s="582"/>
      <c r="AO29" s="582"/>
      <c r="AP29" s="582"/>
      <c r="AQ29" s="582"/>
      <c r="AR29" s="582"/>
      <c r="AS29" s="582"/>
      <c r="AT29" s="582"/>
      <c r="AU29" s="582"/>
      <c r="AV29" s="582"/>
      <c r="AW29" s="582"/>
      <c r="AX29" s="582"/>
      <c r="AY29" s="582"/>
      <c r="AZ29" s="582"/>
      <c r="BA29" s="582"/>
      <c r="BB29" s="582"/>
      <c r="BC29" s="582"/>
      <c r="BD29" s="582"/>
      <c r="BE29" s="582"/>
      <c r="BF29" s="582"/>
      <c r="BG29" s="582"/>
      <c r="BH29" s="582"/>
      <c r="BI29" s="582"/>
      <c r="BJ29" s="582"/>
    </row>
    <row r="30" spans="1:62">
      <c r="A30" s="599" t="s">
        <v>406</v>
      </c>
      <c r="B30" s="714">
        <f>212764439+11422637+5550985</f>
        <v>229738061</v>
      </c>
      <c r="C30" s="714">
        <f>1545455+1127273+1242846+1436364+5069566+513519+3376010+2116092+477467+893040+595364+1395126+2238727+1563636+5721461</f>
        <v>29311946</v>
      </c>
      <c r="D30" s="714">
        <v>0</v>
      </c>
      <c r="E30" s="713"/>
      <c r="F30" s="725">
        <f t="shared" ref="F30:F47" si="3">+B30+C30-D30</f>
        <v>259050007</v>
      </c>
      <c r="G30" s="714">
        <v>174324401</v>
      </c>
      <c r="H30" s="714">
        <f>3596093+5711931+5567000+5331221</f>
        <v>20206245</v>
      </c>
      <c r="I30" s="714">
        <v>0</v>
      </c>
      <c r="J30" s="713"/>
      <c r="K30" s="714">
        <f t="shared" ref="K30:K40" si="4">G30+H30-I30</f>
        <v>194530646</v>
      </c>
      <c r="L30" s="725">
        <f t="shared" ref="L30:L43" si="5">+F30-K30</f>
        <v>64519361</v>
      </c>
      <c r="M30" s="714">
        <v>55413660</v>
      </c>
      <c r="N30" s="840"/>
      <c r="O30" s="583"/>
      <c r="P30" s="583"/>
      <c r="Q30" s="583"/>
      <c r="R30" s="583"/>
      <c r="S30" s="583"/>
      <c r="AE30" s="582"/>
      <c r="AF30" s="582"/>
      <c r="AG30" s="582"/>
      <c r="AH30" s="582"/>
      <c r="AI30" s="582"/>
      <c r="AJ30" s="582"/>
      <c r="AK30" s="582"/>
      <c r="AL30" s="582"/>
      <c r="AM30" s="582"/>
      <c r="AN30" s="582"/>
      <c r="AO30" s="582"/>
      <c r="AP30" s="582"/>
      <c r="AQ30" s="582"/>
      <c r="AR30" s="582"/>
      <c r="AS30" s="582"/>
      <c r="AT30" s="582"/>
      <c r="AU30" s="582"/>
      <c r="AV30" s="582"/>
      <c r="AW30" s="582"/>
      <c r="AX30" s="582"/>
      <c r="AY30" s="582"/>
      <c r="AZ30" s="582"/>
      <c r="BA30" s="582"/>
      <c r="BB30" s="582"/>
      <c r="BC30" s="582"/>
      <c r="BD30" s="582"/>
      <c r="BE30" s="582"/>
      <c r="BF30" s="582"/>
      <c r="BG30" s="582"/>
      <c r="BH30" s="582"/>
      <c r="BI30" s="582"/>
      <c r="BJ30" s="582"/>
    </row>
    <row r="31" spans="1:62">
      <c r="A31" s="599" t="s">
        <v>407</v>
      </c>
      <c r="B31" s="714">
        <f>2318557984+167018593+79247788+89970847+72357801</f>
        <v>2727153013</v>
      </c>
      <c r="C31" s="714">
        <f>6135454+4868181</f>
        <v>11003635</v>
      </c>
      <c r="D31" s="714">
        <f>126913257</f>
        <v>126913257</v>
      </c>
      <c r="E31" s="713"/>
      <c r="F31" s="725">
        <f t="shared" si="3"/>
        <v>2611243391</v>
      </c>
      <c r="G31" s="714">
        <v>1880353232</v>
      </c>
      <c r="H31" s="714">
        <f>43982520+16204249+78248945+59813684+53616545</f>
        <v>251865943</v>
      </c>
      <c r="I31" s="714">
        <v>63766961</v>
      </c>
      <c r="J31" s="713"/>
      <c r="K31" s="714">
        <f t="shared" si="4"/>
        <v>2068452214</v>
      </c>
      <c r="L31" s="725">
        <f>+F31-K31</f>
        <v>542791177</v>
      </c>
      <c r="M31" s="714">
        <v>846799781</v>
      </c>
      <c r="N31" s="840"/>
      <c r="O31" s="583"/>
      <c r="P31" s="583"/>
      <c r="Q31" s="583"/>
      <c r="R31" s="583"/>
      <c r="S31" s="583"/>
      <c r="AE31" s="582"/>
      <c r="AF31" s="582"/>
      <c r="AG31" s="582"/>
      <c r="AH31" s="582"/>
      <c r="AI31" s="582"/>
      <c r="AJ31" s="582"/>
      <c r="AK31" s="582"/>
      <c r="AL31" s="582"/>
      <c r="AM31" s="582"/>
      <c r="AN31" s="582"/>
      <c r="AO31" s="582"/>
      <c r="AP31" s="582"/>
      <c r="AQ31" s="582"/>
      <c r="AR31" s="582"/>
      <c r="AS31" s="582"/>
      <c r="AT31" s="582"/>
      <c r="AU31" s="582"/>
      <c r="AV31" s="582"/>
      <c r="AW31" s="582"/>
      <c r="AX31" s="582"/>
      <c r="AY31" s="582"/>
      <c r="AZ31" s="582"/>
      <c r="BA31" s="582"/>
      <c r="BB31" s="582"/>
      <c r="BC31" s="582"/>
      <c r="BD31" s="582"/>
      <c r="BE31" s="582"/>
      <c r="BF31" s="582"/>
      <c r="BG31" s="582"/>
      <c r="BH31" s="582"/>
      <c r="BI31" s="582"/>
      <c r="BJ31" s="582"/>
    </row>
    <row r="32" spans="1:62">
      <c r="A32" s="599" t="s">
        <v>408</v>
      </c>
      <c r="B32" s="714">
        <f>22077404+69035510+1062945384</f>
        <v>1154058298</v>
      </c>
      <c r="C32" s="714">
        <f>3340455+4868181+3340455+6135454+5040909+2989800</f>
        <v>25715254</v>
      </c>
      <c r="D32" s="714">
        <f>14344090</f>
        <v>14344090</v>
      </c>
      <c r="E32" s="713"/>
      <c r="F32" s="725">
        <f t="shared" si="3"/>
        <v>1165429462</v>
      </c>
      <c r="G32" s="714">
        <v>870320103</v>
      </c>
      <c r="H32" s="714">
        <f>24007662+45776553+45582928+24862731</f>
        <v>140229874</v>
      </c>
      <c r="I32" s="714">
        <v>0</v>
      </c>
      <c r="J32" s="713"/>
      <c r="K32" s="714">
        <f t="shared" si="4"/>
        <v>1010549977</v>
      </c>
      <c r="L32" s="725">
        <f t="shared" si="5"/>
        <v>154879485</v>
      </c>
      <c r="M32" s="714">
        <v>283738195</v>
      </c>
      <c r="N32" s="840"/>
      <c r="O32" s="583"/>
      <c r="P32" s="583"/>
      <c r="Q32" s="583"/>
      <c r="R32" s="583"/>
      <c r="S32" s="583"/>
      <c r="AE32" s="582"/>
      <c r="AF32" s="582"/>
      <c r="AG32" s="582"/>
      <c r="AH32" s="582"/>
      <c r="AI32" s="582"/>
      <c r="AJ32" s="582"/>
      <c r="AK32" s="582"/>
      <c r="AL32" s="582"/>
      <c r="AM32" s="582"/>
      <c r="AN32" s="582"/>
      <c r="AO32" s="582"/>
      <c r="AP32" s="582"/>
      <c r="AQ32" s="582"/>
      <c r="AR32" s="582"/>
      <c r="AS32" s="582"/>
      <c r="AT32" s="582"/>
      <c r="AU32" s="582"/>
      <c r="AV32" s="582"/>
      <c r="AW32" s="582"/>
      <c r="AX32" s="582"/>
      <c r="AY32" s="582"/>
      <c r="AZ32" s="582"/>
      <c r="BA32" s="582"/>
      <c r="BB32" s="582"/>
      <c r="BC32" s="582"/>
      <c r="BD32" s="582"/>
      <c r="BE32" s="582"/>
      <c r="BF32" s="582"/>
      <c r="BG32" s="582"/>
      <c r="BH32" s="582"/>
      <c r="BI32" s="582"/>
      <c r="BJ32" s="582"/>
    </row>
    <row r="33" spans="1:62">
      <c r="A33" s="599" t="s">
        <v>395</v>
      </c>
      <c r="B33" s="714">
        <f>461406079+75267674+171910540+2356112</f>
        <v>710940405</v>
      </c>
      <c r="C33" s="714">
        <v>0</v>
      </c>
      <c r="D33" s="714">
        <v>0</v>
      </c>
      <c r="E33" s="713"/>
      <c r="F33" s="725">
        <f t="shared" si="3"/>
        <v>710940405</v>
      </c>
      <c r="G33" s="714">
        <v>332012788</v>
      </c>
      <c r="H33" s="714">
        <f>18712833+28530617+26070980+21172471</f>
        <v>94486901</v>
      </c>
      <c r="I33" s="714">
        <v>0</v>
      </c>
      <c r="J33" s="713"/>
      <c r="K33" s="714">
        <f t="shared" si="4"/>
        <v>426499689</v>
      </c>
      <c r="L33" s="725">
        <f t="shared" si="5"/>
        <v>284440716</v>
      </c>
      <c r="M33" s="714">
        <v>378927617</v>
      </c>
      <c r="N33" s="840"/>
      <c r="O33" s="583"/>
      <c r="P33" s="583"/>
      <c r="Q33" s="583"/>
      <c r="R33" s="583"/>
      <c r="S33" s="583"/>
      <c r="AE33" s="582"/>
      <c r="AF33" s="582"/>
      <c r="AG33" s="582"/>
      <c r="AH33" s="582"/>
      <c r="AI33" s="582"/>
      <c r="AJ33" s="582"/>
      <c r="AK33" s="582"/>
      <c r="AL33" s="582"/>
      <c r="AM33" s="582"/>
      <c r="AN33" s="582"/>
      <c r="AO33" s="582"/>
      <c r="AP33" s="582"/>
      <c r="AQ33" s="582"/>
      <c r="AR33" s="582"/>
      <c r="AS33" s="582"/>
      <c r="AT33" s="582"/>
      <c r="AU33" s="582"/>
      <c r="AV33" s="582"/>
      <c r="AW33" s="582"/>
      <c r="AX33" s="582"/>
      <c r="AY33" s="582"/>
      <c r="AZ33" s="582"/>
      <c r="BA33" s="582"/>
      <c r="BB33" s="582"/>
      <c r="BC33" s="582"/>
      <c r="BD33" s="582"/>
      <c r="BE33" s="582"/>
      <c r="BF33" s="582"/>
      <c r="BG33" s="582"/>
      <c r="BH33" s="582"/>
      <c r="BI33" s="582"/>
      <c r="BJ33" s="582"/>
    </row>
    <row r="34" spans="1:62">
      <c r="A34" s="599" t="s">
        <v>409</v>
      </c>
      <c r="B34" s="714">
        <v>103038406</v>
      </c>
      <c r="C34" s="714">
        <f>4545455+3636364</f>
        <v>8181819</v>
      </c>
      <c r="D34" s="714">
        <v>0</v>
      </c>
      <c r="E34" s="713"/>
      <c r="F34" s="725">
        <f t="shared" si="3"/>
        <v>111220225</v>
      </c>
      <c r="G34" s="714">
        <v>83215981</v>
      </c>
      <c r="H34" s="714">
        <f>1208198+2193791+2635574+1258804</f>
        <v>7296367</v>
      </c>
      <c r="I34" s="714">
        <v>0</v>
      </c>
      <c r="J34" s="713"/>
      <c r="K34" s="714">
        <f t="shared" si="4"/>
        <v>90512348</v>
      </c>
      <c r="L34" s="725">
        <f t="shared" si="5"/>
        <v>20707877</v>
      </c>
      <c r="M34" s="714">
        <v>19822425</v>
      </c>
      <c r="N34" s="840"/>
      <c r="O34" s="583"/>
      <c r="P34" s="583"/>
      <c r="Q34" s="583"/>
      <c r="R34" s="583"/>
      <c r="S34" s="583"/>
      <c r="AE34" s="582"/>
      <c r="AF34" s="582"/>
      <c r="AG34" s="582"/>
      <c r="AH34" s="582"/>
      <c r="AI34" s="582"/>
      <c r="AJ34" s="582"/>
      <c r="AK34" s="582"/>
      <c r="AL34" s="582"/>
      <c r="AM34" s="582"/>
      <c r="AN34" s="582"/>
      <c r="AO34" s="582"/>
      <c r="AP34" s="582"/>
      <c r="AQ34" s="582"/>
      <c r="AR34" s="582"/>
      <c r="AS34" s="582"/>
      <c r="AT34" s="582"/>
      <c r="AU34" s="582"/>
      <c r="AV34" s="582"/>
      <c r="AW34" s="582"/>
      <c r="AX34" s="582"/>
      <c r="AY34" s="582"/>
      <c r="AZ34" s="582"/>
      <c r="BA34" s="582"/>
      <c r="BB34" s="582"/>
      <c r="BC34" s="582"/>
      <c r="BD34" s="582"/>
      <c r="BE34" s="582"/>
      <c r="BF34" s="582"/>
      <c r="BG34" s="582"/>
      <c r="BH34" s="582"/>
      <c r="BI34" s="582"/>
      <c r="BJ34" s="582"/>
    </row>
    <row r="35" spans="1:62">
      <c r="A35" s="596" t="s">
        <v>401</v>
      </c>
      <c r="B35" s="710">
        <f>SUM(B27:B34)</f>
        <v>34063654738</v>
      </c>
      <c r="C35" s="710">
        <f>SUM(C27:C34)</f>
        <v>1572668631</v>
      </c>
      <c r="D35" s="710">
        <f>SUM(D27:D34)</f>
        <v>156558729</v>
      </c>
      <c r="E35" s="711"/>
      <c r="F35" s="710">
        <f>SUM(F27:F34)</f>
        <v>35479764640</v>
      </c>
      <c r="G35" s="710">
        <f>SUM(G27:G34)</f>
        <v>16044531360</v>
      </c>
      <c r="H35" s="710">
        <f>SUM(H27:H34)</f>
        <v>2102972261</v>
      </c>
      <c r="I35" s="710">
        <f>SUM(I27:I34)</f>
        <v>63766961</v>
      </c>
      <c r="J35" s="716"/>
      <c r="K35" s="710">
        <f>SUM(K27:K34)</f>
        <v>18083736660</v>
      </c>
      <c r="L35" s="710">
        <f>SUM($L$27:L34)</f>
        <v>17396027980</v>
      </c>
      <c r="M35" s="710">
        <f>SUM($M$27:M34)</f>
        <v>18019123378</v>
      </c>
      <c r="N35" s="840"/>
      <c r="O35" s="583"/>
      <c r="P35" s="583"/>
      <c r="Q35" s="583"/>
      <c r="R35" s="583"/>
      <c r="S35" s="583"/>
      <c r="AE35" s="582"/>
      <c r="AF35" s="582"/>
      <c r="AG35" s="582"/>
      <c r="AH35" s="582"/>
      <c r="AI35" s="582"/>
      <c r="AJ35" s="582"/>
      <c r="AK35" s="582"/>
      <c r="AL35" s="582"/>
      <c r="AM35" s="582"/>
      <c r="AN35" s="582"/>
      <c r="AO35" s="582"/>
      <c r="AP35" s="582"/>
      <c r="AQ35" s="582"/>
      <c r="AR35" s="582"/>
      <c r="AS35" s="582"/>
      <c r="AT35" s="582"/>
      <c r="AU35" s="582"/>
      <c r="AV35" s="582"/>
      <c r="AW35" s="582"/>
      <c r="AX35" s="582"/>
      <c r="AY35" s="582"/>
      <c r="AZ35" s="582"/>
      <c r="BA35" s="582"/>
      <c r="BB35" s="582"/>
      <c r="BC35" s="582"/>
      <c r="BD35" s="582"/>
      <c r="BE35" s="582"/>
      <c r="BF35" s="582"/>
      <c r="BG35" s="582"/>
      <c r="BH35" s="582"/>
      <c r="BI35" s="582"/>
      <c r="BJ35" s="582"/>
    </row>
    <row r="36" spans="1:62">
      <c r="A36" s="597"/>
      <c r="B36" s="718"/>
      <c r="C36" s="718"/>
      <c r="D36" s="718"/>
      <c r="E36" s="713"/>
      <c r="F36" s="718"/>
      <c r="G36" s="718"/>
      <c r="H36" s="718"/>
      <c r="I36" s="718"/>
      <c r="J36" s="739"/>
      <c r="K36" s="718"/>
      <c r="L36" s="718">
        <f>+M33-'[3]Nota 9'!$L$36</f>
        <v>0</v>
      </c>
      <c r="M36" s="718"/>
      <c r="N36" s="840"/>
      <c r="O36" s="583"/>
      <c r="P36" s="583"/>
      <c r="Q36" s="583"/>
      <c r="R36" s="583"/>
      <c r="S36" s="583"/>
      <c r="AE36" s="582"/>
      <c r="AF36" s="582"/>
      <c r="AG36" s="582"/>
      <c r="AH36" s="582"/>
      <c r="AI36" s="582"/>
      <c r="AJ36" s="582"/>
      <c r="AK36" s="582"/>
      <c r="AL36" s="582"/>
      <c r="AM36" s="582"/>
      <c r="AN36" s="582"/>
      <c r="AO36" s="582"/>
      <c r="AP36" s="582"/>
      <c r="AQ36" s="582"/>
      <c r="AR36" s="582"/>
      <c r="AS36" s="582"/>
      <c r="AT36" s="582"/>
      <c r="AU36" s="582"/>
      <c r="AV36" s="582"/>
      <c r="AW36" s="582"/>
      <c r="AX36" s="582"/>
      <c r="AY36" s="582"/>
      <c r="AZ36" s="582"/>
      <c r="BA36" s="582"/>
      <c r="BB36" s="582"/>
      <c r="BC36" s="582"/>
      <c r="BD36" s="582"/>
      <c r="BE36" s="582"/>
      <c r="BF36" s="582"/>
      <c r="BG36" s="582"/>
      <c r="BH36" s="582"/>
      <c r="BI36" s="582"/>
      <c r="BJ36" s="582"/>
    </row>
    <row r="37" spans="1:62">
      <c r="A37" s="598" t="s">
        <v>410</v>
      </c>
      <c r="B37" s="718"/>
      <c r="C37" s="718"/>
      <c r="D37" s="718"/>
      <c r="E37" s="713"/>
      <c r="F37" s="718"/>
      <c r="G37" s="718"/>
      <c r="H37" s="718"/>
      <c r="I37" s="718"/>
      <c r="J37" s="739"/>
      <c r="K37" s="718"/>
      <c r="L37" s="718">
        <f>+M34-'[3]Nota 9'!$L$37</f>
        <v>0</v>
      </c>
      <c r="M37" s="718"/>
      <c r="N37" s="840"/>
      <c r="O37" s="583"/>
      <c r="P37" s="583"/>
      <c r="Q37" s="583"/>
      <c r="R37" s="583"/>
      <c r="S37" s="583"/>
      <c r="AE37" s="582"/>
      <c r="AF37" s="582"/>
      <c r="AG37" s="582"/>
      <c r="AH37" s="582"/>
      <c r="AI37" s="582"/>
      <c r="AJ37" s="582"/>
      <c r="AK37" s="582"/>
      <c r="AL37" s="582"/>
      <c r="AM37" s="582"/>
      <c r="AN37" s="582"/>
      <c r="AO37" s="582"/>
      <c r="AP37" s="582"/>
      <c r="AQ37" s="582"/>
      <c r="AR37" s="582"/>
      <c r="AS37" s="582"/>
      <c r="AT37" s="582"/>
      <c r="AU37" s="582"/>
      <c r="AV37" s="582"/>
      <c r="AW37" s="582"/>
      <c r="AX37" s="582"/>
      <c r="AY37" s="582"/>
      <c r="AZ37" s="582"/>
      <c r="BA37" s="582"/>
      <c r="BB37" s="582"/>
      <c r="BC37" s="582"/>
      <c r="BD37" s="582"/>
      <c r="BE37" s="582"/>
      <c r="BF37" s="582"/>
      <c r="BG37" s="582"/>
      <c r="BH37" s="582"/>
      <c r="BI37" s="582"/>
      <c r="BJ37" s="582"/>
    </row>
    <row r="38" spans="1:62">
      <c r="A38" s="598"/>
      <c r="B38" s="718"/>
      <c r="C38" s="718"/>
      <c r="D38" s="718"/>
      <c r="E38" s="713"/>
      <c r="F38" s="718"/>
      <c r="G38" s="718"/>
      <c r="H38" s="718"/>
      <c r="I38" s="718"/>
      <c r="J38" s="739"/>
      <c r="K38" s="718"/>
      <c r="L38" s="718"/>
      <c r="M38" s="718"/>
      <c r="N38" s="840"/>
      <c r="O38" s="583"/>
      <c r="P38" s="583"/>
      <c r="Q38" s="583"/>
      <c r="R38" s="583"/>
      <c r="S38" s="583"/>
      <c r="AE38" s="582"/>
      <c r="AF38" s="582"/>
      <c r="AG38" s="582"/>
      <c r="AH38" s="582"/>
      <c r="AI38" s="582"/>
      <c r="AJ38" s="582"/>
      <c r="AK38" s="582"/>
      <c r="AL38" s="582"/>
      <c r="AM38" s="582"/>
      <c r="AN38" s="582"/>
      <c r="AO38" s="582"/>
      <c r="AP38" s="582"/>
      <c r="AQ38" s="582"/>
      <c r="AR38" s="582"/>
      <c r="AS38" s="582"/>
      <c r="AT38" s="582"/>
      <c r="AU38" s="582"/>
      <c r="AV38" s="582"/>
      <c r="AW38" s="582"/>
      <c r="AX38" s="582"/>
      <c r="AY38" s="582"/>
      <c r="AZ38" s="582"/>
      <c r="BA38" s="582"/>
      <c r="BB38" s="582"/>
      <c r="BC38" s="582"/>
      <c r="BD38" s="582"/>
      <c r="BE38" s="582"/>
      <c r="BF38" s="582"/>
      <c r="BG38" s="582"/>
      <c r="BH38" s="582"/>
      <c r="BI38" s="582"/>
      <c r="BJ38" s="582"/>
    </row>
    <row r="39" spans="1:62">
      <c r="A39" s="598" t="s">
        <v>402</v>
      </c>
      <c r="B39" s="718"/>
      <c r="C39" s="718"/>
      <c r="D39" s="718"/>
      <c r="E39" s="713"/>
      <c r="F39" s="718"/>
      <c r="G39" s="718"/>
      <c r="H39" s="718"/>
      <c r="I39" s="718"/>
      <c r="J39" s="739"/>
      <c r="K39" s="718"/>
      <c r="L39" s="718"/>
      <c r="M39" s="718"/>
      <c r="N39" s="840"/>
      <c r="O39" s="583"/>
      <c r="P39" s="583"/>
      <c r="Q39" s="583"/>
      <c r="R39" s="583"/>
      <c r="S39" s="583"/>
      <c r="AE39" s="582"/>
      <c r="AF39" s="582"/>
      <c r="AG39" s="582"/>
      <c r="AH39" s="582"/>
      <c r="AI39" s="582"/>
      <c r="AJ39" s="582"/>
      <c r="AK39" s="582"/>
      <c r="AL39" s="582"/>
      <c r="AM39" s="582"/>
      <c r="AN39" s="582"/>
      <c r="AO39" s="582"/>
      <c r="AP39" s="582"/>
      <c r="AQ39" s="582"/>
      <c r="AR39" s="582"/>
      <c r="AS39" s="582"/>
      <c r="AT39" s="582"/>
      <c r="AU39" s="582"/>
      <c r="AV39" s="582"/>
      <c r="AW39" s="582"/>
      <c r="AX39" s="582"/>
      <c r="AY39" s="582"/>
      <c r="AZ39" s="582"/>
      <c r="BA39" s="582"/>
      <c r="BB39" s="582"/>
      <c r="BC39" s="582"/>
      <c r="BD39" s="582"/>
      <c r="BE39" s="582"/>
      <c r="BF39" s="582"/>
      <c r="BG39" s="582"/>
      <c r="BH39" s="582"/>
      <c r="BI39" s="582"/>
      <c r="BJ39" s="582"/>
    </row>
    <row r="40" spans="1:62">
      <c r="A40" s="601" t="s">
        <v>411</v>
      </c>
      <c r="B40" s="714">
        <v>26146885643</v>
      </c>
      <c r="C40" s="714">
        <v>0</v>
      </c>
      <c r="D40" s="714">
        <v>0</v>
      </c>
      <c r="E40" s="713"/>
      <c r="F40" s="720">
        <f>+B40+C40-D40</f>
        <v>26146885643</v>
      </c>
      <c r="G40" s="714">
        <v>0</v>
      </c>
      <c r="H40" s="714">
        <v>0</v>
      </c>
      <c r="I40" s="714">
        <v>0</v>
      </c>
      <c r="J40" s="713"/>
      <c r="K40" s="714">
        <f t="shared" si="4"/>
        <v>0</v>
      </c>
      <c r="L40" s="720">
        <f>+F40-K40</f>
        <v>26146885643</v>
      </c>
      <c r="M40" s="714">
        <v>26146885643</v>
      </c>
      <c r="N40" s="840"/>
      <c r="O40" s="583"/>
      <c r="P40" s="583"/>
      <c r="Q40" s="583"/>
      <c r="R40" s="583"/>
      <c r="S40" s="583"/>
      <c r="AE40" s="582"/>
      <c r="AF40" s="582"/>
      <c r="AG40" s="582"/>
      <c r="AH40" s="582"/>
      <c r="AI40" s="582"/>
      <c r="AJ40" s="582"/>
      <c r="AK40" s="582"/>
      <c r="AL40" s="582"/>
      <c r="AM40" s="582"/>
      <c r="AN40" s="582"/>
      <c r="AO40" s="582"/>
      <c r="AP40" s="582"/>
      <c r="AQ40" s="582"/>
      <c r="AR40" s="582"/>
      <c r="AS40" s="582"/>
      <c r="AT40" s="582"/>
      <c r="AU40" s="582"/>
      <c r="AV40" s="582"/>
      <c r="AW40" s="582"/>
      <c r="AX40" s="582"/>
      <c r="AY40" s="582"/>
      <c r="AZ40" s="582"/>
      <c r="BA40" s="582"/>
      <c r="BB40" s="582"/>
      <c r="BC40" s="582"/>
      <c r="BD40" s="582"/>
      <c r="BE40" s="582"/>
      <c r="BF40" s="582"/>
      <c r="BG40" s="582"/>
      <c r="BH40" s="582"/>
      <c r="BI40" s="582"/>
      <c r="BJ40" s="582"/>
    </row>
    <row r="41" spans="1:62">
      <c r="A41" s="601"/>
      <c r="B41" s="737">
        <f>SUM(B40)</f>
        <v>26146885643</v>
      </c>
      <c r="C41" s="737">
        <f>SUM(C40)</f>
        <v>0</v>
      </c>
      <c r="D41" s="737">
        <f>SUM(D40)</f>
        <v>0</v>
      </c>
      <c r="E41" s="715"/>
      <c r="F41" s="732">
        <f>SUM(F40)</f>
        <v>26146885643</v>
      </c>
      <c r="G41" s="737">
        <f>SUM(G40)</f>
        <v>0</v>
      </c>
      <c r="H41" s="737">
        <f>SUM(H40)</f>
        <v>0</v>
      </c>
      <c r="I41" s="737">
        <f>SUM(I40)</f>
        <v>0</v>
      </c>
      <c r="J41" s="715"/>
      <c r="K41" s="737">
        <f>SUM(K40)</f>
        <v>0</v>
      </c>
      <c r="L41" s="732">
        <f>SUM(L40)</f>
        <v>26146885643</v>
      </c>
      <c r="M41" s="732">
        <v>26146885643</v>
      </c>
      <c r="N41" s="840"/>
      <c r="O41" s="583"/>
      <c r="P41" s="583"/>
      <c r="Q41" s="583"/>
      <c r="R41" s="583"/>
      <c r="S41" s="583"/>
      <c r="AE41" s="582"/>
      <c r="AF41" s="582"/>
      <c r="AG41" s="582"/>
      <c r="AH41" s="582"/>
      <c r="AI41" s="582"/>
      <c r="AJ41" s="582"/>
      <c r="AK41" s="582"/>
      <c r="AL41" s="582"/>
      <c r="AM41" s="582"/>
      <c r="AN41" s="582"/>
      <c r="AO41" s="582"/>
      <c r="AP41" s="582"/>
      <c r="AQ41" s="582"/>
      <c r="AR41" s="582"/>
      <c r="AS41" s="582"/>
      <c r="AT41" s="582"/>
      <c r="AU41" s="582"/>
      <c r="AV41" s="582"/>
      <c r="AW41" s="582"/>
      <c r="AX41" s="582"/>
      <c r="AY41" s="582"/>
      <c r="AZ41" s="582"/>
      <c r="BA41" s="582"/>
      <c r="BB41" s="582"/>
      <c r="BC41" s="582"/>
      <c r="BD41" s="582"/>
      <c r="BE41" s="582"/>
      <c r="BF41" s="582"/>
      <c r="BG41" s="582"/>
      <c r="BH41" s="582"/>
      <c r="BI41" s="582"/>
      <c r="BJ41" s="582"/>
    </row>
    <row r="42" spans="1:62">
      <c r="A42" s="602" t="s">
        <v>404</v>
      </c>
      <c r="B42" s="714"/>
      <c r="C42" s="714"/>
      <c r="D42" s="714"/>
      <c r="E42" s="713"/>
      <c r="F42" s="720"/>
      <c r="G42" s="714"/>
      <c r="H42" s="714"/>
      <c r="I42" s="714"/>
      <c r="J42" s="713"/>
      <c r="K42" s="714"/>
      <c r="L42" s="720"/>
      <c r="M42" s="714"/>
      <c r="N42" s="840"/>
      <c r="O42" s="583"/>
      <c r="P42" s="583"/>
      <c r="Q42" s="583"/>
      <c r="R42" s="583"/>
      <c r="S42" s="583"/>
      <c r="AE42" s="582"/>
      <c r="AF42" s="582"/>
      <c r="AG42" s="582"/>
      <c r="AH42" s="582"/>
      <c r="AI42" s="582"/>
      <c r="AJ42" s="582"/>
      <c r="AK42" s="582"/>
      <c r="AL42" s="582"/>
      <c r="AM42" s="582"/>
      <c r="AN42" s="582"/>
      <c r="AO42" s="582"/>
      <c r="AP42" s="582"/>
      <c r="AQ42" s="582"/>
      <c r="AR42" s="582"/>
      <c r="AS42" s="582"/>
      <c r="AT42" s="582"/>
      <c r="AU42" s="582"/>
      <c r="AV42" s="582"/>
      <c r="AW42" s="582"/>
      <c r="AX42" s="582"/>
      <c r="AY42" s="582"/>
      <c r="AZ42" s="582"/>
      <c r="BA42" s="582"/>
      <c r="BB42" s="582"/>
      <c r="BC42" s="582"/>
      <c r="BD42" s="582"/>
      <c r="BE42" s="582"/>
      <c r="BF42" s="582"/>
      <c r="BG42" s="582"/>
      <c r="BH42" s="582"/>
      <c r="BI42" s="582"/>
      <c r="BJ42" s="582"/>
    </row>
    <row r="43" spans="1:62">
      <c r="A43" s="601" t="s">
        <v>412</v>
      </c>
      <c r="B43" s="714">
        <v>155232969990</v>
      </c>
      <c r="C43" s="714">
        <v>0</v>
      </c>
      <c r="D43" s="714">
        <v>0</v>
      </c>
      <c r="E43" s="713"/>
      <c r="F43" s="720">
        <f t="shared" si="3"/>
        <v>155232969990</v>
      </c>
      <c r="G43" s="714">
        <v>0</v>
      </c>
      <c r="H43" s="714">
        <v>0</v>
      </c>
      <c r="I43" s="714">
        <v>0</v>
      </c>
      <c r="J43" s="713"/>
      <c r="K43" s="714">
        <v>0</v>
      </c>
      <c r="L43" s="720">
        <f t="shared" si="5"/>
        <v>155232969990</v>
      </c>
      <c r="M43" s="714">
        <v>155232969990</v>
      </c>
      <c r="N43" s="840"/>
      <c r="O43" s="583"/>
      <c r="P43" s="583"/>
      <c r="Q43" s="583"/>
      <c r="R43" s="583"/>
      <c r="S43" s="583"/>
      <c r="AE43" s="582"/>
      <c r="AF43" s="582"/>
      <c r="AG43" s="582"/>
      <c r="AH43" s="582"/>
      <c r="AI43" s="582"/>
      <c r="AJ43" s="582"/>
      <c r="AK43" s="582"/>
      <c r="AL43" s="582"/>
      <c r="AM43" s="582"/>
      <c r="AN43" s="582"/>
      <c r="AO43" s="582"/>
      <c r="AP43" s="582"/>
      <c r="AQ43" s="582"/>
      <c r="AR43" s="582"/>
      <c r="AS43" s="582"/>
      <c r="AT43" s="582"/>
      <c r="AU43" s="582"/>
      <c r="AV43" s="582"/>
      <c r="AW43" s="582"/>
      <c r="AX43" s="582"/>
      <c r="AY43" s="582"/>
      <c r="AZ43" s="582"/>
      <c r="BA43" s="582"/>
      <c r="BB43" s="582"/>
      <c r="BC43" s="582"/>
      <c r="BD43" s="582"/>
      <c r="BE43" s="582"/>
      <c r="BF43" s="582"/>
      <c r="BG43" s="582"/>
      <c r="BH43" s="582"/>
      <c r="BI43" s="582"/>
      <c r="BJ43" s="582"/>
    </row>
    <row r="44" spans="1:62">
      <c r="A44" s="601"/>
      <c r="B44" s="737">
        <f t="shared" ref="B44:K44" si="6">SUM(B43)</f>
        <v>155232969990</v>
      </c>
      <c r="C44" s="737">
        <f t="shared" si="6"/>
        <v>0</v>
      </c>
      <c r="D44" s="737">
        <f t="shared" si="6"/>
        <v>0</v>
      </c>
      <c r="E44" s="715">
        <f t="shared" si="6"/>
        <v>0</v>
      </c>
      <c r="F44" s="732">
        <f t="shared" si="6"/>
        <v>155232969990</v>
      </c>
      <c r="G44" s="737">
        <f t="shared" si="6"/>
        <v>0</v>
      </c>
      <c r="H44" s="737">
        <f t="shared" si="6"/>
        <v>0</v>
      </c>
      <c r="I44" s="737">
        <f t="shared" si="6"/>
        <v>0</v>
      </c>
      <c r="J44" s="715">
        <f t="shared" si="6"/>
        <v>0</v>
      </c>
      <c r="K44" s="737">
        <f t="shared" si="6"/>
        <v>0</v>
      </c>
      <c r="L44" s="732">
        <f>SUM(L43)</f>
        <v>155232969990</v>
      </c>
      <c r="M44" s="732">
        <v>155232969990</v>
      </c>
      <c r="N44" s="840"/>
      <c r="O44" s="583"/>
      <c r="P44" s="583"/>
      <c r="Q44" s="583"/>
      <c r="R44" s="583"/>
      <c r="S44" s="583"/>
      <c r="AE44" s="582"/>
      <c r="AF44" s="582"/>
      <c r="AG44" s="582"/>
      <c r="AH44" s="582"/>
      <c r="AI44" s="582"/>
      <c r="AJ44" s="582"/>
      <c r="AK44" s="582"/>
      <c r="AL44" s="582"/>
      <c r="AM44" s="582"/>
      <c r="AN44" s="582"/>
      <c r="AO44" s="582"/>
      <c r="AP44" s="582"/>
      <c r="AQ44" s="582"/>
      <c r="AR44" s="582"/>
      <c r="AS44" s="582"/>
      <c r="AT44" s="582"/>
      <c r="AU44" s="582"/>
      <c r="AV44" s="582"/>
      <c r="AW44" s="582"/>
      <c r="AX44" s="582"/>
      <c r="AY44" s="582"/>
      <c r="AZ44" s="582"/>
      <c r="BA44" s="582"/>
      <c r="BB44" s="582"/>
      <c r="BC44" s="582"/>
      <c r="BD44" s="582"/>
      <c r="BE44" s="582"/>
      <c r="BF44" s="582"/>
      <c r="BG44" s="582"/>
      <c r="BH44" s="582"/>
      <c r="BI44" s="582"/>
      <c r="BJ44" s="582"/>
    </row>
    <row r="45" spans="1:62">
      <c r="A45" s="601"/>
      <c r="B45" s="714"/>
      <c r="C45" s="714"/>
      <c r="D45" s="714"/>
      <c r="E45" s="713"/>
      <c r="F45" s="720"/>
      <c r="G45" s="714"/>
      <c r="H45" s="714"/>
      <c r="I45" s="714"/>
      <c r="J45" s="713"/>
      <c r="K45" s="714"/>
      <c r="L45" s="720"/>
      <c r="M45" s="714"/>
      <c r="N45" s="840"/>
      <c r="O45" s="583"/>
      <c r="P45" s="583"/>
      <c r="Q45" s="583"/>
      <c r="R45" s="583"/>
      <c r="S45" s="583"/>
      <c r="AE45" s="582"/>
      <c r="AF45" s="582"/>
      <c r="AG45" s="582"/>
      <c r="AH45" s="582"/>
      <c r="AI45" s="582"/>
      <c r="AJ45" s="582"/>
      <c r="AK45" s="582"/>
      <c r="AL45" s="582"/>
      <c r="AM45" s="582"/>
      <c r="AN45" s="582"/>
      <c r="AO45" s="582"/>
      <c r="AP45" s="582"/>
      <c r="AQ45" s="582"/>
      <c r="AR45" s="582"/>
      <c r="AS45" s="582"/>
      <c r="AT45" s="582"/>
      <c r="AU45" s="582"/>
      <c r="AV45" s="582"/>
      <c r="AW45" s="582"/>
      <c r="AX45" s="582"/>
      <c r="AY45" s="582"/>
      <c r="AZ45" s="582"/>
      <c r="BA45" s="582"/>
      <c r="BB45" s="582"/>
      <c r="BC45" s="582"/>
      <c r="BD45" s="582"/>
      <c r="BE45" s="582"/>
      <c r="BF45" s="582"/>
      <c r="BG45" s="582"/>
      <c r="BH45" s="582"/>
      <c r="BI45" s="582"/>
      <c r="BJ45" s="582"/>
    </row>
    <row r="46" spans="1:62">
      <c r="A46" s="601" t="s">
        <v>413</v>
      </c>
      <c r="B46" s="714">
        <f>26300644704+51673810+4942850709+824990852</f>
        <v>32120160075</v>
      </c>
      <c r="C46" s="714">
        <f>6432584492+84863418+17670000+930000+1818182+3181818+819472090+35714286+92618182+18327273+44376000+954000+45570909+28800000+1440000+95238095+16571429+870000+6362182+75000+6000000+155520000+7950000+141960000+7350000+30000000+1500000+3936000+33000+1727273+106000+1000000+4000000+3000000+226891317+180452843</f>
        <v>8518863789</v>
      </c>
      <c r="D46" s="714">
        <f>79785000+202952382+132295294+162355827+232525682+44100000+110812500+192354790+1327928864+33468750+215768750+203895000+5492475600+1129675646+18375000+267761961+137407500</f>
        <v>9983938546</v>
      </c>
      <c r="E46" s="713"/>
      <c r="F46" s="720">
        <f>+B46+C46-D46</f>
        <v>30655085318</v>
      </c>
      <c r="G46" s="714">
        <v>947789472</v>
      </c>
      <c r="H46" s="714">
        <v>361031883</v>
      </c>
      <c r="I46" s="714">
        <f>101476191+61254782+122294067</f>
        <v>285025040</v>
      </c>
      <c r="J46" s="713"/>
      <c r="K46" s="714">
        <f>G46+H46-I46</f>
        <v>1023796315</v>
      </c>
      <c r="L46" s="720">
        <f>+F46-K46</f>
        <v>29631289003</v>
      </c>
      <c r="M46" s="714">
        <v>31172370603</v>
      </c>
      <c r="N46" s="840"/>
      <c r="O46" s="583"/>
      <c r="P46" s="583"/>
      <c r="Q46" s="583"/>
      <c r="R46" s="583"/>
      <c r="S46" s="583"/>
      <c r="AE46" s="582"/>
      <c r="AF46" s="582"/>
      <c r="AG46" s="582"/>
      <c r="AH46" s="582"/>
      <c r="AI46" s="582"/>
      <c r="AJ46" s="582"/>
      <c r="AK46" s="582"/>
      <c r="AL46" s="582"/>
      <c r="AM46" s="582"/>
      <c r="AN46" s="582"/>
      <c r="AO46" s="582"/>
      <c r="AP46" s="582"/>
      <c r="AQ46" s="582"/>
      <c r="AR46" s="582"/>
      <c r="AS46" s="582"/>
      <c r="AT46" s="582"/>
      <c r="AU46" s="582"/>
      <c r="AV46" s="582"/>
      <c r="AW46" s="582"/>
      <c r="AX46" s="582"/>
      <c r="AY46" s="582"/>
      <c r="AZ46" s="582"/>
      <c r="BA46" s="582"/>
      <c r="BB46" s="582"/>
      <c r="BC46" s="582"/>
      <c r="BD46" s="582"/>
      <c r="BE46" s="582"/>
      <c r="BF46" s="582"/>
      <c r="BG46" s="582"/>
      <c r="BH46" s="582"/>
      <c r="BI46" s="582"/>
      <c r="BJ46" s="582"/>
    </row>
    <row r="47" spans="1:62">
      <c r="A47" s="601" t="s">
        <v>414</v>
      </c>
      <c r="B47" s="714">
        <v>17701577148</v>
      </c>
      <c r="C47" s="714">
        <f>3600000+5000000+12935026+29628571+43620978</f>
        <v>94784575</v>
      </c>
      <c r="D47" s="714">
        <v>0</v>
      </c>
      <c r="E47" s="713"/>
      <c r="F47" s="720">
        <f t="shared" si="3"/>
        <v>17796361723</v>
      </c>
      <c r="G47" s="714">
        <v>10187762795</v>
      </c>
      <c r="H47" s="714">
        <f>230423655+304273753+275879791+259425092</f>
        <v>1070002291</v>
      </c>
      <c r="I47" s="714">
        <v>0</v>
      </c>
      <c r="J47" s="713"/>
      <c r="K47" s="714">
        <f>G47+H47-I47</f>
        <v>11257765086</v>
      </c>
      <c r="L47" s="720">
        <f>+F47-K47</f>
        <v>6538596637</v>
      </c>
      <c r="M47" s="1049">
        <v>7513814353</v>
      </c>
      <c r="N47" s="840"/>
      <c r="O47" s="583"/>
      <c r="P47" s="583"/>
      <c r="Q47" s="583"/>
      <c r="R47" s="583"/>
      <c r="S47" s="583"/>
      <c r="AE47" s="582"/>
      <c r="AF47" s="582"/>
      <c r="AG47" s="582"/>
      <c r="AH47" s="582"/>
      <c r="AI47" s="582"/>
      <c r="AJ47" s="582"/>
      <c r="AK47" s="582"/>
      <c r="AL47" s="582"/>
      <c r="AM47" s="582"/>
      <c r="AN47" s="582"/>
      <c r="AO47" s="582"/>
      <c r="AP47" s="582"/>
      <c r="AQ47" s="582"/>
      <c r="AR47" s="582"/>
      <c r="AS47" s="582"/>
      <c r="AT47" s="582"/>
      <c r="AU47" s="582"/>
      <c r="AV47" s="582"/>
      <c r="AW47" s="582"/>
      <c r="AX47" s="582"/>
      <c r="AY47" s="582"/>
      <c r="AZ47" s="582"/>
      <c r="BA47" s="582"/>
      <c r="BB47" s="582"/>
      <c r="BC47" s="582"/>
      <c r="BD47" s="582"/>
      <c r="BE47" s="582"/>
      <c r="BF47" s="582"/>
      <c r="BG47" s="582"/>
      <c r="BH47" s="582"/>
      <c r="BI47" s="582"/>
      <c r="BJ47" s="582"/>
    </row>
    <row r="48" spans="1:62">
      <c r="A48" s="601"/>
      <c r="B48" s="737">
        <f>SUM(B46:B47)</f>
        <v>49821737223</v>
      </c>
      <c r="C48" s="737">
        <f>SUM(C46:C47)</f>
        <v>8613648364</v>
      </c>
      <c r="D48" s="737">
        <f>SUM(D46:D47)</f>
        <v>9983938546</v>
      </c>
      <c r="E48" s="715"/>
      <c r="F48" s="732">
        <f>SUM(F46:F47)</f>
        <v>48451447041</v>
      </c>
      <c r="G48" s="737">
        <f>SUM(G46:G47)</f>
        <v>11135552267</v>
      </c>
      <c r="H48" s="737">
        <f>SUM(H46:H47)</f>
        <v>1431034174</v>
      </c>
      <c r="I48" s="737">
        <f>SUM(I46:I47)</f>
        <v>285025040</v>
      </c>
      <c r="J48" s="715"/>
      <c r="K48" s="737">
        <f>SUM(K46:K47)</f>
        <v>12281561401</v>
      </c>
      <c r="L48" s="732">
        <f>SUM(L46:L47)</f>
        <v>36169885640</v>
      </c>
      <c r="M48" s="732">
        <f>SUM(M46:M47)</f>
        <v>38686184956</v>
      </c>
      <c r="N48" s="840"/>
      <c r="O48" s="583"/>
      <c r="P48" s="583"/>
      <c r="Q48" s="583"/>
      <c r="R48" s="583"/>
      <c r="S48" s="583"/>
      <c r="AE48" s="582"/>
      <c r="AF48" s="582"/>
      <c r="AG48" s="582"/>
      <c r="AH48" s="582"/>
      <c r="AI48" s="582"/>
      <c r="AJ48" s="582"/>
      <c r="AK48" s="582"/>
      <c r="AL48" s="582"/>
      <c r="AM48" s="582"/>
      <c r="AN48" s="582"/>
      <c r="AO48" s="582"/>
      <c r="AP48" s="582"/>
      <c r="AQ48" s="582"/>
      <c r="AR48" s="582"/>
      <c r="AS48" s="582"/>
      <c r="AT48" s="582"/>
      <c r="AU48" s="582"/>
      <c r="AV48" s="582"/>
      <c r="AW48" s="582"/>
      <c r="AX48" s="582"/>
      <c r="AY48" s="582"/>
      <c r="AZ48" s="582"/>
      <c r="BA48" s="582"/>
      <c r="BB48" s="582"/>
      <c r="BC48" s="582"/>
      <c r="BD48" s="582"/>
      <c r="BE48" s="582"/>
      <c r="BF48" s="582"/>
      <c r="BG48" s="582"/>
      <c r="BH48" s="582"/>
      <c r="BI48" s="582"/>
      <c r="BJ48" s="582"/>
    </row>
    <row r="49" spans="1:62">
      <c r="A49" s="596" t="s">
        <v>401</v>
      </c>
      <c r="B49" s="710">
        <f>+B41+B44+B48</f>
        <v>231201592856</v>
      </c>
      <c r="C49" s="710">
        <f>+C41+C44+C48</f>
        <v>8613648364</v>
      </c>
      <c r="D49" s="710">
        <f>+D41+D44+D48</f>
        <v>9983938546</v>
      </c>
      <c r="E49" s="711"/>
      <c r="F49" s="710">
        <f>+F41+F44+F48</f>
        <v>229831302674</v>
      </c>
      <c r="G49" s="710">
        <f>+G41+G44+G48</f>
        <v>11135552267</v>
      </c>
      <c r="H49" s="710">
        <f>+H41+H44+H48</f>
        <v>1431034174</v>
      </c>
      <c r="I49" s="710">
        <f>I41+I44+I48</f>
        <v>285025040</v>
      </c>
      <c r="J49" s="716"/>
      <c r="K49" s="710">
        <f>K41+K44+K48</f>
        <v>12281561401</v>
      </c>
      <c r="L49" s="710">
        <f>+L41+L44+L48</f>
        <v>217549741273</v>
      </c>
      <c r="M49" s="710">
        <f>+M41+M44+M48</f>
        <v>220066040589</v>
      </c>
      <c r="N49" s="840"/>
      <c r="O49" s="583"/>
      <c r="P49" s="583"/>
      <c r="Q49" s="583"/>
      <c r="R49" s="583"/>
      <c r="S49" s="583"/>
      <c r="AE49" s="582"/>
      <c r="AF49" s="582"/>
      <c r="AG49" s="582"/>
      <c r="AH49" s="582"/>
      <c r="AI49" s="582"/>
      <c r="AJ49" s="582"/>
      <c r="AK49" s="582"/>
      <c r="AL49" s="582"/>
      <c r="AM49" s="582"/>
      <c r="AN49" s="582"/>
      <c r="AO49" s="582"/>
      <c r="AP49" s="582"/>
      <c r="AQ49" s="582"/>
      <c r="AR49" s="582"/>
      <c r="AS49" s="582"/>
      <c r="AT49" s="582"/>
      <c r="AU49" s="582"/>
      <c r="AV49" s="582"/>
      <c r="AW49" s="582"/>
      <c r="AX49" s="582"/>
      <c r="AY49" s="582"/>
      <c r="AZ49" s="582"/>
      <c r="BA49" s="582"/>
      <c r="BB49" s="582"/>
      <c r="BC49" s="582"/>
      <c r="BD49" s="582"/>
      <c r="BE49" s="582"/>
      <c r="BF49" s="582"/>
      <c r="BG49" s="582"/>
      <c r="BH49" s="582"/>
      <c r="BI49" s="582"/>
      <c r="BJ49" s="582"/>
    </row>
    <row r="50" spans="1:62">
      <c r="A50" s="603" t="s">
        <v>415</v>
      </c>
      <c r="B50" s="719">
        <f>+B24+B35+B49</f>
        <v>435576940065</v>
      </c>
      <c r="C50" s="719">
        <f>+C24+C35+C49</f>
        <v>15437014041</v>
      </c>
      <c r="D50" s="719">
        <f>+D24+D35+D49</f>
        <v>11635395964</v>
      </c>
      <c r="E50" s="695"/>
      <c r="F50" s="710">
        <f>+F24+F35+F49</f>
        <v>439378558142</v>
      </c>
      <c r="G50" s="710">
        <f>+G24+G35+G49</f>
        <v>86036379533</v>
      </c>
      <c r="H50" s="719">
        <f>+H24+H35+H49</f>
        <v>12304280509</v>
      </c>
      <c r="I50" s="710">
        <f>+I24+I35+I49</f>
        <v>1105663608</v>
      </c>
      <c r="J50" s="734"/>
      <c r="K50" s="710">
        <f>+K24+K35+K49</f>
        <v>97234996434</v>
      </c>
      <c r="L50" s="719">
        <f>+L24+L35+L49</f>
        <v>342143561708</v>
      </c>
      <c r="M50" s="719">
        <f>+M24+M35+M49</f>
        <v>349540560532</v>
      </c>
      <c r="N50" s="840"/>
      <c r="O50" s="583"/>
      <c r="P50" s="583"/>
      <c r="Q50" s="583"/>
      <c r="R50" s="583"/>
      <c r="S50" s="583"/>
      <c r="AE50" s="582"/>
      <c r="AF50" s="582"/>
      <c r="AG50" s="582"/>
      <c r="AH50" s="582"/>
      <c r="AI50" s="582"/>
      <c r="AJ50" s="582"/>
      <c r="AK50" s="582"/>
      <c r="AL50" s="582"/>
      <c r="AM50" s="582"/>
      <c r="AN50" s="582"/>
      <c r="AO50" s="582"/>
      <c r="AP50" s="582"/>
      <c r="AQ50" s="582"/>
      <c r="AR50" s="582"/>
      <c r="AS50" s="582"/>
      <c r="AT50" s="582"/>
      <c r="AU50" s="582"/>
      <c r="AV50" s="582"/>
      <c r="AW50" s="582"/>
      <c r="AX50" s="582"/>
      <c r="AY50" s="582"/>
      <c r="AZ50" s="582"/>
      <c r="BA50" s="582"/>
      <c r="BB50" s="582"/>
      <c r="BC50" s="582"/>
      <c r="BD50" s="582"/>
      <c r="BE50" s="582"/>
      <c r="BF50" s="582"/>
      <c r="BG50" s="582"/>
      <c r="BH50" s="582"/>
      <c r="BI50" s="582"/>
      <c r="BJ50" s="582"/>
    </row>
    <row r="52" spans="1:62">
      <c r="D52" s="848"/>
      <c r="F52" s="786"/>
      <c r="I52" s="786"/>
      <c r="L52" s="786"/>
      <c r="M52" s="791"/>
    </row>
    <row r="53" spans="1:62">
      <c r="D53" s="786"/>
      <c r="F53" s="786"/>
      <c r="I53" s="786"/>
      <c r="L53" s="791"/>
    </row>
    <row r="54" spans="1:62">
      <c r="F54" s="786"/>
      <c r="I54" s="786"/>
      <c r="L54" s="786"/>
    </row>
    <row r="55" spans="1:62" ht="24.75" customHeight="1">
      <c r="A55" s="1258"/>
      <c r="B55" s="1258"/>
      <c r="C55" s="1258"/>
      <c r="D55" s="1258"/>
      <c r="E55" s="1258"/>
      <c r="F55" s="1258"/>
      <c r="G55" s="1258"/>
      <c r="H55" s="1258"/>
      <c r="I55" s="1258"/>
      <c r="J55" s="1258"/>
      <c r="K55" s="1258"/>
      <c r="L55" s="1258"/>
      <c r="M55" s="1258"/>
      <c r="N55" s="840"/>
      <c r="O55" s="583"/>
      <c r="P55" s="583"/>
      <c r="Q55" s="583"/>
      <c r="R55" s="583"/>
      <c r="S55" s="583"/>
      <c r="AE55" s="582"/>
      <c r="AF55" s="582"/>
      <c r="AG55" s="582"/>
      <c r="AH55" s="582"/>
      <c r="AI55" s="582"/>
      <c r="AJ55" s="582"/>
      <c r="AK55" s="582"/>
      <c r="AL55" s="582"/>
      <c r="AM55" s="582"/>
      <c r="AN55" s="582"/>
      <c r="AO55" s="582"/>
      <c r="AP55" s="582"/>
      <c r="AQ55" s="582"/>
      <c r="AR55" s="582"/>
      <c r="AS55" s="582"/>
      <c r="AT55" s="582"/>
      <c r="AU55" s="582"/>
      <c r="AV55" s="582"/>
      <c r="AW55" s="582"/>
      <c r="AX55" s="582"/>
      <c r="AY55" s="582"/>
      <c r="AZ55" s="582"/>
      <c r="BA55" s="582"/>
      <c r="BB55" s="582"/>
      <c r="BC55" s="582"/>
      <c r="BD55" s="582"/>
      <c r="BE55" s="582"/>
      <c r="BF55" s="582"/>
      <c r="BG55" s="582"/>
      <c r="BH55" s="582"/>
      <c r="BI55" s="582"/>
      <c r="BJ55" s="582"/>
    </row>
    <row r="56" spans="1:62" ht="13.5" customHeight="1">
      <c r="A56" s="604"/>
      <c r="B56" s="584"/>
      <c r="C56" s="511"/>
      <c r="D56" s="584"/>
      <c r="E56" s="584"/>
      <c r="F56" s="584"/>
      <c r="G56" s="584"/>
      <c r="H56" s="584"/>
      <c r="I56" s="584"/>
      <c r="J56" s="584"/>
      <c r="K56" s="584"/>
      <c r="L56" s="584"/>
      <c r="M56" s="584"/>
      <c r="N56" s="840"/>
      <c r="O56" s="583"/>
      <c r="P56" s="583"/>
      <c r="Q56" s="583"/>
      <c r="R56" s="583"/>
      <c r="S56" s="583"/>
      <c r="AE56" s="582"/>
      <c r="AF56" s="582"/>
      <c r="AG56" s="582"/>
      <c r="AH56" s="582"/>
      <c r="AI56" s="582"/>
      <c r="AJ56" s="582"/>
      <c r="AK56" s="582"/>
      <c r="AL56" s="582"/>
      <c r="AM56" s="582"/>
      <c r="AN56" s="582"/>
      <c r="AO56" s="582"/>
      <c r="AP56" s="582"/>
      <c r="AQ56" s="582"/>
      <c r="AR56" s="582"/>
      <c r="AS56" s="582"/>
      <c r="AT56" s="582"/>
      <c r="AU56" s="582"/>
      <c r="AV56" s="582"/>
      <c r="AW56" s="582"/>
      <c r="AX56" s="582"/>
      <c r="AY56" s="582"/>
      <c r="AZ56" s="582"/>
      <c r="BA56" s="582"/>
      <c r="BB56" s="582"/>
      <c r="BC56" s="582"/>
      <c r="BD56" s="582"/>
      <c r="BE56" s="582"/>
      <c r="BF56" s="582"/>
      <c r="BG56" s="582"/>
      <c r="BH56" s="582"/>
      <c r="BI56" s="582"/>
      <c r="BJ56" s="582"/>
    </row>
    <row r="57" spans="1:62" ht="13.5" customHeight="1">
      <c r="A57" s="605"/>
      <c r="B57" s="584"/>
      <c r="C57" s="511"/>
      <c r="D57" s="584"/>
      <c r="E57" s="584"/>
      <c r="F57" s="584"/>
      <c r="G57" s="584"/>
      <c r="H57" s="584"/>
      <c r="I57" s="584"/>
      <c r="J57" s="584"/>
      <c r="K57" s="584"/>
      <c r="L57" s="584"/>
      <c r="M57" s="584"/>
      <c r="N57" s="840"/>
      <c r="O57" s="583"/>
      <c r="P57" s="583"/>
      <c r="Q57" s="583"/>
      <c r="R57" s="583"/>
      <c r="S57" s="583"/>
      <c r="AE57" s="582"/>
      <c r="AF57" s="582"/>
      <c r="AG57" s="582"/>
      <c r="AH57" s="582"/>
      <c r="AI57" s="582"/>
      <c r="AJ57" s="582"/>
      <c r="AK57" s="582"/>
      <c r="AL57" s="582"/>
      <c r="AM57" s="582"/>
      <c r="AN57" s="582"/>
      <c r="AO57" s="582"/>
      <c r="AP57" s="582"/>
      <c r="AQ57" s="582"/>
      <c r="AR57" s="582"/>
      <c r="AS57" s="582"/>
      <c r="AT57" s="582"/>
      <c r="AU57" s="582"/>
      <c r="AV57" s="582"/>
      <c r="AW57" s="582"/>
      <c r="AX57" s="582"/>
      <c r="AY57" s="582"/>
      <c r="AZ57" s="582"/>
      <c r="BA57" s="582"/>
      <c r="BB57" s="582"/>
      <c r="BC57" s="582"/>
      <c r="BD57" s="582"/>
      <c r="BE57" s="582"/>
      <c r="BF57" s="582"/>
      <c r="BG57" s="582"/>
      <c r="BH57" s="582"/>
      <c r="BI57" s="582"/>
      <c r="BJ57" s="582"/>
    </row>
    <row r="58" spans="1:62" ht="13.5" customHeight="1">
      <c r="A58" s="546"/>
      <c r="B58" s="546"/>
      <c r="C58" s="546"/>
      <c r="D58" s="546"/>
      <c r="E58" s="546"/>
      <c r="F58" s="546"/>
      <c r="G58" s="546"/>
      <c r="H58" s="546"/>
      <c r="I58" s="546"/>
      <c r="J58" s="546"/>
      <c r="K58" s="546"/>
      <c r="L58" s="546"/>
      <c r="M58" s="546"/>
      <c r="N58" s="840"/>
      <c r="O58" s="583"/>
      <c r="P58" s="583"/>
      <c r="Q58" s="583"/>
      <c r="R58" s="583"/>
      <c r="S58" s="583"/>
      <c r="AE58" s="582"/>
      <c r="AF58" s="582"/>
      <c r="AG58" s="582"/>
      <c r="AH58" s="582"/>
      <c r="AI58" s="582"/>
      <c r="AJ58" s="582"/>
      <c r="AK58" s="582"/>
      <c r="AL58" s="582"/>
      <c r="AM58" s="582"/>
      <c r="AN58" s="582"/>
      <c r="AO58" s="582"/>
      <c r="AP58" s="582"/>
      <c r="AQ58" s="582"/>
      <c r="AR58" s="582"/>
      <c r="AS58" s="582"/>
      <c r="AT58" s="582"/>
      <c r="AU58" s="582"/>
      <c r="AV58" s="582"/>
      <c r="AW58" s="582"/>
      <c r="AX58" s="582"/>
      <c r="AY58" s="582"/>
      <c r="AZ58" s="582"/>
      <c r="BA58" s="582"/>
      <c r="BB58" s="582"/>
      <c r="BC58" s="582"/>
      <c r="BD58" s="582"/>
      <c r="BE58" s="582"/>
      <c r="BF58" s="582"/>
      <c r="BG58" s="582"/>
      <c r="BH58" s="582"/>
      <c r="BI58" s="582"/>
      <c r="BJ58" s="582"/>
    </row>
    <row r="59" spans="1:62" ht="13.5" customHeight="1">
      <c r="A59" s="512"/>
      <c r="B59" s="552"/>
      <c r="C59" s="552"/>
      <c r="D59" s="584"/>
      <c r="E59" s="584"/>
      <c r="F59" s="584"/>
      <c r="G59" s="584"/>
      <c r="H59" s="584"/>
      <c r="I59" s="584"/>
      <c r="J59" s="584"/>
      <c r="K59" s="584"/>
      <c r="L59" s="584"/>
      <c r="M59" s="584"/>
      <c r="N59" s="840"/>
      <c r="O59" s="583"/>
      <c r="P59" s="583"/>
      <c r="Q59" s="583"/>
      <c r="R59" s="583"/>
      <c r="S59" s="583"/>
      <c r="AE59" s="582"/>
      <c r="AF59" s="582"/>
      <c r="AG59" s="582"/>
      <c r="AH59" s="582"/>
      <c r="AI59" s="582"/>
      <c r="AJ59" s="582"/>
      <c r="AK59" s="582"/>
      <c r="AL59" s="582"/>
      <c r="AM59" s="582"/>
      <c r="AN59" s="582"/>
      <c r="AO59" s="582"/>
      <c r="AP59" s="582"/>
      <c r="AQ59" s="582"/>
      <c r="AR59" s="582"/>
      <c r="AS59" s="582"/>
      <c r="AT59" s="582"/>
      <c r="AU59" s="582"/>
      <c r="AV59" s="582"/>
      <c r="AW59" s="582"/>
      <c r="AX59" s="582"/>
      <c r="AY59" s="582"/>
      <c r="AZ59" s="582"/>
      <c r="BA59" s="582"/>
      <c r="BB59" s="582"/>
      <c r="BC59" s="582"/>
      <c r="BD59" s="582"/>
      <c r="BE59" s="582"/>
      <c r="BF59" s="582"/>
      <c r="BG59" s="582"/>
      <c r="BH59" s="582"/>
      <c r="BI59" s="582"/>
      <c r="BJ59" s="582"/>
    </row>
    <row r="60" spans="1:62">
      <c r="A60" s="606"/>
      <c r="B60" s="77"/>
      <c r="C60" s="606"/>
      <c r="D60" s="546"/>
      <c r="E60" s="546"/>
      <c r="F60" s="546"/>
      <c r="G60" s="546"/>
      <c r="H60" s="546"/>
      <c r="I60" s="546"/>
      <c r="J60" s="546"/>
      <c r="K60" s="546"/>
      <c r="L60" s="546"/>
      <c r="M60" s="546"/>
    </row>
    <row r="61" spans="1:62">
      <c r="A61" s="606"/>
      <c r="B61" s="77"/>
      <c r="C61" s="606"/>
      <c r="D61" s="546"/>
      <c r="E61" s="546"/>
      <c r="F61" s="546"/>
      <c r="G61" s="546"/>
      <c r="H61" s="546"/>
      <c r="I61" s="546"/>
      <c r="J61" s="546"/>
      <c r="K61" s="546"/>
      <c r="L61" s="546"/>
      <c r="M61" s="546"/>
    </row>
    <row r="62" spans="1:62">
      <c r="A62" s="606"/>
      <c r="B62" s="77"/>
      <c r="C62" s="606"/>
      <c r="D62" s="546"/>
      <c r="E62" s="546"/>
      <c r="F62" s="546"/>
      <c r="G62" s="546"/>
      <c r="H62" s="546"/>
      <c r="I62" s="546"/>
      <c r="J62" s="546"/>
      <c r="K62" s="546"/>
      <c r="L62" s="546"/>
      <c r="M62" s="546"/>
    </row>
    <row r="63" spans="1:62">
      <c r="A63" s="606"/>
      <c r="B63" s="77"/>
      <c r="C63" s="606"/>
      <c r="D63" s="546"/>
      <c r="E63" s="546"/>
      <c r="F63" s="546"/>
      <c r="G63" s="546"/>
      <c r="H63" s="546"/>
      <c r="I63" s="546"/>
      <c r="J63" s="546"/>
      <c r="K63" s="546"/>
      <c r="L63" s="546"/>
      <c r="M63" s="546"/>
    </row>
    <row r="64" spans="1:62">
      <c r="A64" s="129"/>
      <c r="B64" s="77"/>
      <c r="C64" s="77"/>
      <c r="D64" s="546"/>
      <c r="E64" s="546"/>
      <c r="F64" s="546"/>
      <c r="G64" s="546"/>
      <c r="H64" s="546"/>
      <c r="I64" s="546"/>
      <c r="J64" s="546"/>
      <c r="K64" s="546"/>
      <c r="L64" s="546"/>
      <c r="M64" s="546"/>
    </row>
    <row r="65" spans="1:13">
      <c r="A65" s="546"/>
      <c r="B65" s="546"/>
      <c r="C65" s="546"/>
      <c r="D65" s="546"/>
      <c r="E65" s="546"/>
      <c r="F65" s="546"/>
      <c r="G65" s="546"/>
      <c r="H65" s="546"/>
      <c r="I65" s="546"/>
      <c r="J65" s="546"/>
      <c r="K65" s="546"/>
      <c r="L65" s="546"/>
      <c r="M65" s="546"/>
    </row>
  </sheetData>
  <mergeCells count="4">
    <mergeCell ref="A9:M9"/>
    <mergeCell ref="B11:F11"/>
    <mergeCell ref="G11:L11"/>
    <mergeCell ref="A55:M55"/>
  </mergeCells>
  <hyperlinks>
    <hyperlink ref="B7" location="BG!A1" display="BG" xr:uid="{617828FB-FBEC-454D-B38B-249E5A03F59B}"/>
  </hyperlinks>
  <pageMargins left="0.7" right="0.7" top="0.75" bottom="0.75" header="0.3" footer="0.3"/>
  <pageSetup orientation="portrait" r:id="rId1"/>
  <ignoredErrors>
    <ignoredError sqref="K18"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FB74"/>
  <sheetViews>
    <sheetView showGridLines="0" topLeftCell="A46" workbookViewId="0">
      <selection activeCell="B70" sqref="B70"/>
    </sheetView>
  </sheetViews>
  <sheetFormatPr baseColWidth="10" defaultColWidth="11.42578125" defaultRowHeight="15"/>
  <cols>
    <col min="1" max="1" width="77.7109375" style="355" customWidth="1"/>
    <col min="2" max="2" width="15.28515625" style="355" customWidth="1"/>
    <col min="3" max="3" width="15.140625" style="355" customWidth="1"/>
    <col min="4" max="4" width="0.28515625" style="355" customWidth="1"/>
    <col min="5" max="12" width="11.42578125" style="355" hidden="1" customWidth="1"/>
    <col min="13" max="13" width="0.140625" style="355" customWidth="1"/>
    <col min="14" max="14" width="13.42578125" style="355" customWidth="1"/>
    <col min="15" max="15" width="12.7109375" style="355" bestFit="1" customWidth="1"/>
    <col min="16" max="16384" width="11.42578125" style="355"/>
  </cols>
  <sheetData>
    <row r="1" spans="1:16382" s="546" customFormat="1" ht="18.75" customHeight="1">
      <c r="A1" s="277" t="str">
        <f>+Indice!C1</f>
        <v>NICOLAS GONZALEZ ODDONE S.A.E.C.A</v>
      </c>
      <c r="B1" s="922" t="s">
        <v>79</v>
      </c>
      <c r="C1" s="285"/>
      <c r="D1" s="104"/>
    </row>
    <row r="2" spans="1:16382">
      <c r="B2" s="285"/>
    </row>
    <row r="3" spans="1:16382" ht="17.25" customHeight="1">
      <c r="A3" s="282" t="s">
        <v>588</v>
      </c>
      <c r="B3" s="282"/>
      <c r="C3" s="282"/>
      <c r="D3" s="282"/>
      <c r="E3" s="1259"/>
      <c r="F3" s="1259"/>
      <c r="G3" s="1259"/>
      <c r="H3" s="1259"/>
      <c r="I3" s="1259"/>
      <c r="J3" s="1259"/>
      <c r="K3" s="1259"/>
      <c r="L3" s="1259"/>
      <c r="M3" s="1259"/>
      <c r="N3" s="1259"/>
      <c r="O3" s="1259"/>
      <c r="P3" s="1259"/>
      <c r="Q3" s="1259"/>
      <c r="R3" s="1259"/>
      <c r="S3" s="1259"/>
      <c r="T3" s="1259"/>
      <c r="U3" s="1259"/>
      <c r="V3" s="1259"/>
      <c r="W3" s="1259"/>
      <c r="X3" s="1259"/>
      <c r="Y3" s="1259"/>
      <c r="Z3" s="1259"/>
      <c r="AA3" s="1259"/>
      <c r="AB3" s="1259"/>
      <c r="AC3" s="1259"/>
      <c r="AD3" s="1259"/>
      <c r="AE3" s="1259"/>
      <c r="AF3" s="1259"/>
      <c r="AG3" s="1259"/>
      <c r="AH3" s="1259"/>
      <c r="AI3" s="1259"/>
      <c r="AJ3" s="1259"/>
      <c r="AK3" s="1259"/>
      <c r="AL3" s="1259"/>
      <c r="AM3" s="1259"/>
      <c r="AN3" s="1259"/>
      <c r="AO3" s="1259"/>
      <c r="AP3" s="1259"/>
      <c r="AQ3" s="1259"/>
      <c r="AR3" s="1259"/>
      <c r="AS3" s="1259"/>
      <c r="AT3" s="1259"/>
      <c r="AU3" s="1259"/>
      <c r="AV3" s="1259"/>
      <c r="AW3" s="1259"/>
      <c r="AX3" s="1259"/>
      <c r="AY3" s="1259"/>
      <c r="AZ3" s="1259"/>
      <c r="BA3" s="1259"/>
      <c r="BB3" s="1259"/>
      <c r="BC3" s="1259"/>
      <c r="BD3" s="1259"/>
      <c r="BE3" s="1259"/>
      <c r="BF3" s="1259"/>
      <c r="BG3" s="1259"/>
      <c r="BH3" s="1259"/>
      <c r="BI3" s="1259"/>
      <c r="BJ3" s="1259"/>
      <c r="BK3" s="1259"/>
      <c r="BL3" s="1259"/>
      <c r="BM3" s="1259"/>
      <c r="BN3" s="1259"/>
      <c r="BO3" s="1259"/>
      <c r="BP3" s="1259"/>
      <c r="BQ3" s="1259"/>
      <c r="BR3" s="1259"/>
      <c r="BS3" s="1259"/>
      <c r="BT3" s="1259"/>
      <c r="BU3" s="1259"/>
      <c r="BV3" s="1259"/>
      <c r="BW3" s="1259"/>
      <c r="BX3" s="1259"/>
      <c r="BY3" s="1259"/>
      <c r="BZ3" s="1259"/>
      <c r="CA3" s="1259"/>
      <c r="CB3" s="1259"/>
      <c r="CC3" s="1259"/>
      <c r="CD3" s="1259"/>
      <c r="CE3" s="1259"/>
      <c r="CF3" s="1259"/>
      <c r="CG3" s="1259"/>
      <c r="CH3" s="1259"/>
      <c r="CI3" s="1259"/>
      <c r="CJ3" s="1259"/>
      <c r="CK3" s="1259"/>
      <c r="CL3" s="1259"/>
      <c r="CM3" s="1259"/>
      <c r="CN3" s="1259"/>
      <c r="CO3" s="1259"/>
      <c r="CP3" s="1259"/>
      <c r="CQ3" s="1259"/>
      <c r="CR3" s="1259"/>
      <c r="CS3" s="1259"/>
      <c r="CT3" s="1259"/>
      <c r="CU3" s="1259"/>
      <c r="CV3" s="1259"/>
      <c r="CW3" s="1259"/>
      <c r="CX3" s="1259"/>
      <c r="CY3" s="1259"/>
      <c r="CZ3" s="1259"/>
      <c r="DA3" s="1259"/>
      <c r="DB3" s="1259"/>
      <c r="DC3" s="1259"/>
      <c r="DD3" s="1259"/>
      <c r="DE3" s="1259"/>
      <c r="DF3" s="1259"/>
      <c r="DG3" s="1259"/>
      <c r="DH3" s="1259"/>
      <c r="DI3" s="1259"/>
      <c r="DJ3" s="1259"/>
      <c r="DK3" s="1259"/>
      <c r="DL3" s="1259"/>
      <c r="DM3" s="1259"/>
      <c r="DN3" s="1259"/>
      <c r="DO3" s="1259"/>
      <c r="DP3" s="1259"/>
      <c r="DQ3" s="1259"/>
      <c r="DR3" s="1259"/>
      <c r="DS3" s="1259"/>
      <c r="DT3" s="1259"/>
      <c r="DU3" s="1259"/>
      <c r="DV3" s="1259"/>
      <c r="DW3" s="1259"/>
      <c r="DX3" s="1259"/>
      <c r="DY3" s="1259"/>
      <c r="DZ3" s="1259"/>
      <c r="EA3" s="1259"/>
      <c r="EB3" s="1259"/>
      <c r="EC3" s="1259"/>
      <c r="ED3" s="1259"/>
      <c r="EE3" s="1259"/>
      <c r="EF3" s="1259"/>
      <c r="EG3" s="1259"/>
      <c r="EH3" s="1259"/>
      <c r="EI3" s="1259"/>
      <c r="EJ3" s="1259"/>
      <c r="EK3" s="1259"/>
      <c r="EL3" s="1259"/>
      <c r="EM3" s="1259"/>
      <c r="EN3" s="1259"/>
      <c r="EO3" s="1259"/>
      <c r="EP3" s="1259"/>
      <c r="EQ3" s="1259"/>
      <c r="ER3" s="1259"/>
      <c r="ES3" s="1259"/>
      <c r="ET3" s="1259"/>
      <c r="EU3" s="1259"/>
      <c r="EV3" s="1259"/>
      <c r="EW3" s="1259"/>
      <c r="EX3" s="1259"/>
      <c r="EY3" s="1259"/>
      <c r="EZ3" s="1259"/>
      <c r="FA3" s="1259"/>
      <c r="FB3" s="1259"/>
      <c r="FC3" s="1259"/>
      <c r="FD3" s="1259"/>
      <c r="FE3" s="1259"/>
      <c r="FF3" s="1259"/>
      <c r="FG3" s="1259"/>
      <c r="FH3" s="1259"/>
      <c r="FI3" s="1259"/>
      <c r="FJ3" s="1259"/>
      <c r="FK3" s="1259"/>
      <c r="FL3" s="1259"/>
      <c r="FM3" s="1259"/>
      <c r="FN3" s="1259"/>
      <c r="FO3" s="1259"/>
      <c r="FP3" s="1259"/>
      <c r="FQ3" s="1259"/>
      <c r="FR3" s="1259"/>
      <c r="FS3" s="1259"/>
      <c r="FT3" s="1259"/>
      <c r="FU3" s="1259"/>
      <c r="FV3" s="1259"/>
      <c r="FW3" s="1259"/>
      <c r="FX3" s="1259"/>
      <c r="FY3" s="1259"/>
      <c r="FZ3" s="1259"/>
      <c r="GA3" s="1259"/>
      <c r="GB3" s="1259"/>
      <c r="GC3" s="1259"/>
      <c r="GD3" s="1259"/>
      <c r="GE3" s="1259"/>
      <c r="GF3" s="1259"/>
      <c r="GG3" s="1259"/>
      <c r="GH3" s="1259"/>
      <c r="GI3" s="1259"/>
      <c r="GJ3" s="1259"/>
      <c r="GK3" s="1259"/>
      <c r="GL3" s="1259"/>
      <c r="GM3" s="1259"/>
      <c r="GN3" s="1259"/>
      <c r="GO3" s="1259"/>
      <c r="GP3" s="1259"/>
      <c r="GQ3" s="1259"/>
      <c r="GR3" s="1259"/>
      <c r="GS3" s="1259"/>
      <c r="GT3" s="1259"/>
      <c r="GU3" s="1259"/>
      <c r="GV3" s="1259"/>
      <c r="GW3" s="1259"/>
      <c r="GX3" s="1259"/>
      <c r="GY3" s="1259"/>
      <c r="GZ3" s="1259"/>
      <c r="HA3" s="1259"/>
      <c r="HB3" s="1259"/>
      <c r="HC3" s="1259"/>
      <c r="HD3" s="1259"/>
      <c r="HE3" s="1259"/>
      <c r="HF3" s="1259"/>
      <c r="HG3" s="1259"/>
      <c r="HH3" s="1259"/>
      <c r="HI3" s="1259"/>
      <c r="HJ3" s="1259"/>
      <c r="HK3" s="1259"/>
      <c r="HL3" s="1259"/>
      <c r="HM3" s="1259"/>
      <c r="HN3" s="1259"/>
      <c r="HO3" s="1259"/>
      <c r="HP3" s="1259"/>
      <c r="HQ3" s="1259"/>
      <c r="HR3" s="1259"/>
      <c r="HS3" s="1259"/>
      <c r="HT3" s="1259"/>
      <c r="HU3" s="1259"/>
      <c r="HV3" s="1259"/>
      <c r="HW3" s="1259"/>
      <c r="HX3" s="1259"/>
      <c r="HY3" s="1259"/>
      <c r="HZ3" s="1259"/>
      <c r="IA3" s="1259"/>
      <c r="IB3" s="1259"/>
      <c r="IC3" s="1259"/>
      <c r="ID3" s="1259"/>
      <c r="IE3" s="1259"/>
      <c r="IF3" s="1259"/>
      <c r="IG3" s="1259"/>
      <c r="IH3" s="1259"/>
      <c r="II3" s="1259"/>
      <c r="IJ3" s="1259"/>
      <c r="IK3" s="1259"/>
      <c r="IL3" s="1259"/>
      <c r="IM3" s="1259"/>
      <c r="IN3" s="1259"/>
      <c r="IO3" s="1259"/>
      <c r="IP3" s="1259"/>
      <c r="IQ3" s="1259"/>
      <c r="IR3" s="1259"/>
      <c r="IS3" s="1259"/>
      <c r="IT3" s="1259"/>
      <c r="IU3" s="1259"/>
      <c r="IV3" s="1259"/>
      <c r="IW3" s="1259"/>
      <c r="IX3" s="1259"/>
      <c r="IY3" s="1259"/>
      <c r="IZ3" s="1259"/>
      <c r="JA3" s="1259"/>
      <c r="JB3" s="1259"/>
      <c r="JC3" s="1259"/>
      <c r="JD3" s="1259"/>
      <c r="JE3" s="1259"/>
      <c r="JF3" s="1259"/>
      <c r="JG3" s="1259"/>
      <c r="JH3" s="1259"/>
      <c r="JI3" s="1259"/>
      <c r="JJ3" s="1259"/>
      <c r="JK3" s="1259"/>
      <c r="JL3" s="1259"/>
      <c r="JM3" s="1259"/>
      <c r="JN3" s="1259"/>
      <c r="JO3" s="1259"/>
      <c r="JP3" s="1259"/>
      <c r="JQ3" s="1259"/>
      <c r="JR3" s="1259"/>
      <c r="JS3" s="1259"/>
      <c r="JT3" s="1259"/>
      <c r="JU3" s="1259"/>
      <c r="JV3" s="1259"/>
      <c r="JW3" s="1259"/>
      <c r="JX3" s="1259"/>
      <c r="JY3" s="1259"/>
      <c r="JZ3" s="1259"/>
      <c r="KA3" s="1259"/>
      <c r="KB3" s="1259"/>
      <c r="KC3" s="1259"/>
      <c r="KD3" s="1259"/>
      <c r="KE3" s="1259"/>
      <c r="KF3" s="1259"/>
      <c r="KG3" s="1259"/>
      <c r="KH3" s="1259"/>
      <c r="KI3" s="1259"/>
      <c r="KJ3" s="1259"/>
      <c r="KK3" s="1259"/>
      <c r="KL3" s="1259"/>
      <c r="KM3" s="1259"/>
      <c r="KN3" s="1259"/>
      <c r="KO3" s="1259"/>
      <c r="KP3" s="1259"/>
      <c r="KQ3" s="1259"/>
      <c r="KR3" s="1259"/>
      <c r="KS3" s="1259"/>
      <c r="KT3" s="1259"/>
      <c r="KU3" s="1259"/>
      <c r="KV3" s="1259"/>
      <c r="KW3" s="1259"/>
      <c r="KX3" s="1259"/>
      <c r="KY3" s="1259"/>
      <c r="KZ3" s="1259"/>
      <c r="LA3" s="1259"/>
      <c r="LB3" s="1259"/>
      <c r="LC3" s="1259"/>
      <c r="LD3" s="1259"/>
      <c r="LE3" s="1259"/>
      <c r="LF3" s="1259"/>
      <c r="LG3" s="1259"/>
      <c r="LH3" s="1259"/>
      <c r="LI3" s="1259"/>
      <c r="LJ3" s="1259"/>
      <c r="LK3" s="1259"/>
      <c r="LL3" s="1259"/>
      <c r="LM3" s="1259"/>
      <c r="LN3" s="1259"/>
      <c r="LO3" s="1259"/>
      <c r="LP3" s="1259"/>
      <c r="LQ3" s="1259"/>
      <c r="LR3" s="1259"/>
      <c r="LS3" s="1259"/>
      <c r="LT3" s="1259"/>
      <c r="LU3" s="1259"/>
      <c r="LV3" s="1259"/>
      <c r="LW3" s="1259"/>
      <c r="LX3" s="1259"/>
      <c r="LY3" s="1259"/>
      <c r="LZ3" s="1259"/>
      <c r="MA3" s="1259"/>
      <c r="MB3" s="1259"/>
      <c r="MC3" s="1259"/>
      <c r="MD3" s="1259"/>
      <c r="ME3" s="1259"/>
      <c r="MF3" s="1259"/>
      <c r="MG3" s="1259"/>
      <c r="MH3" s="1259"/>
      <c r="MI3" s="1259"/>
      <c r="MJ3" s="1259"/>
      <c r="MK3" s="1259"/>
      <c r="ML3" s="1259"/>
      <c r="MM3" s="1259"/>
      <c r="MN3" s="1259"/>
      <c r="MO3" s="1259"/>
      <c r="MP3" s="1259"/>
      <c r="MQ3" s="1259"/>
      <c r="MR3" s="1259"/>
      <c r="MS3" s="1259"/>
      <c r="MT3" s="1259"/>
      <c r="MU3" s="1259"/>
      <c r="MV3" s="1259"/>
      <c r="MW3" s="1259"/>
      <c r="MX3" s="1259"/>
      <c r="MY3" s="1259"/>
      <c r="MZ3" s="1259"/>
      <c r="NA3" s="1259"/>
      <c r="NB3" s="1259"/>
      <c r="NC3" s="1259"/>
      <c r="ND3" s="1259"/>
      <c r="NE3" s="1259"/>
      <c r="NF3" s="1259"/>
      <c r="NG3" s="1259"/>
      <c r="NH3" s="1259"/>
      <c r="NI3" s="1259"/>
      <c r="NJ3" s="1259"/>
      <c r="NK3" s="1259"/>
      <c r="NL3" s="1259"/>
      <c r="NM3" s="1259"/>
      <c r="NN3" s="1259"/>
      <c r="NO3" s="1259"/>
      <c r="NP3" s="1259"/>
      <c r="NQ3" s="1259"/>
      <c r="NR3" s="1259"/>
      <c r="NS3" s="1259"/>
      <c r="NT3" s="1259"/>
      <c r="NU3" s="1259"/>
      <c r="NV3" s="1259"/>
      <c r="NW3" s="1259"/>
      <c r="NX3" s="1259"/>
      <c r="NY3" s="1259"/>
      <c r="NZ3" s="1259"/>
      <c r="OA3" s="1259"/>
      <c r="OB3" s="1259"/>
      <c r="OC3" s="1259"/>
      <c r="OD3" s="1259"/>
      <c r="OE3" s="1259"/>
      <c r="OF3" s="1259"/>
      <c r="OG3" s="1259"/>
      <c r="OH3" s="1259"/>
      <c r="OI3" s="1259"/>
      <c r="OJ3" s="1259"/>
      <c r="OK3" s="1259"/>
      <c r="OL3" s="1259"/>
      <c r="OM3" s="1259"/>
      <c r="ON3" s="1259"/>
      <c r="OO3" s="1259"/>
      <c r="OP3" s="1259"/>
      <c r="OQ3" s="1259"/>
      <c r="OR3" s="1259"/>
      <c r="OS3" s="1259"/>
      <c r="OT3" s="1259"/>
      <c r="OU3" s="1259"/>
      <c r="OV3" s="1259"/>
      <c r="OW3" s="1259"/>
      <c r="OX3" s="1259"/>
      <c r="OY3" s="1259"/>
      <c r="OZ3" s="1259"/>
      <c r="PA3" s="1259"/>
      <c r="PB3" s="1259"/>
      <c r="PC3" s="1259"/>
      <c r="PD3" s="1259"/>
      <c r="PE3" s="1259"/>
      <c r="PF3" s="1259"/>
      <c r="PG3" s="1259"/>
      <c r="PH3" s="1259"/>
      <c r="PI3" s="1259"/>
      <c r="PJ3" s="1259"/>
      <c r="PK3" s="1259"/>
      <c r="PL3" s="1259"/>
      <c r="PM3" s="1259"/>
      <c r="PN3" s="1259"/>
      <c r="PO3" s="1259"/>
      <c r="PP3" s="1259"/>
      <c r="PQ3" s="1259"/>
      <c r="PR3" s="1259"/>
      <c r="PS3" s="1259"/>
      <c r="PT3" s="1259"/>
      <c r="PU3" s="1259"/>
      <c r="PV3" s="1259"/>
      <c r="PW3" s="1259"/>
      <c r="PX3" s="1259"/>
      <c r="PY3" s="1259"/>
      <c r="PZ3" s="1259"/>
      <c r="QA3" s="1259"/>
      <c r="QB3" s="1259"/>
      <c r="QC3" s="1259"/>
      <c r="QD3" s="1259"/>
      <c r="QE3" s="1259"/>
      <c r="QF3" s="1259"/>
      <c r="QG3" s="1259"/>
      <c r="QH3" s="1259"/>
      <c r="QI3" s="1259"/>
      <c r="QJ3" s="1259"/>
      <c r="QK3" s="1259"/>
      <c r="QL3" s="1259"/>
      <c r="QM3" s="1259"/>
      <c r="QN3" s="1259"/>
      <c r="QO3" s="1259"/>
      <c r="QP3" s="1259"/>
      <c r="QQ3" s="1259"/>
      <c r="QR3" s="1259"/>
      <c r="QS3" s="1259"/>
      <c r="QT3" s="1259"/>
      <c r="QU3" s="1259"/>
      <c r="QV3" s="1259"/>
      <c r="QW3" s="1259"/>
      <c r="QX3" s="1259"/>
      <c r="QY3" s="1259"/>
      <c r="QZ3" s="1259"/>
      <c r="RA3" s="1259"/>
      <c r="RB3" s="1259"/>
      <c r="RC3" s="1259"/>
      <c r="RD3" s="1259"/>
      <c r="RE3" s="1259"/>
      <c r="RF3" s="1259"/>
      <c r="RG3" s="1259"/>
      <c r="RH3" s="1259"/>
      <c r="RI3" s="1259"/>
      <c r="RJ3" s="1259"/>
      <c r="RK3" s="1259"/>
      <c r="RL3" s="1259"/>
      <c r="RM3" s="1259"/>
      <c r="RN3" s="1259"/>
      <c r="RO3" s="1259"/>
      <c r="RP3" s="1259"/>
      <c r="RQ3" s="1259"/>
      <c r="RR3" s="1259"/>
      <c r="RS3" s="1259"/>
      <c r="RT3" s="1259"/>
      <c r="RU3" s="1259"/>
      <c r="RV3" s="1259"/>
      <c r="RW3" s="1259"/>
      <c r="RX3" s="1259"/>
      <c r="RY3" s="1259"/>
      <c r="RZ3" s="1259"/>
      <c r="SA3" s="1259"/>
      <c r="SB3" s="1259"/>
      <c r="SC3" s="1259"/>
      <c r="SD3" s="1259"/>
      <c r="SE3" s="1259"/>
      <c r="SF3" s="1259"/>
      <c r="SG3" s="1259"/>
      <c r="SH3" s="1259"/>
      <c r="SI3" s="1259"/>
      <c r="SJ3" s="1259"/>
      <c r="SK3" s="1259"/>
      <c r="SL3" s="1259"/>
      <c r="SM3" s="1259"/>
      <c r="SN3" s="1259"/>
      <c r="SO3" s="1259"/>
      <c r="SP3" s="1259"/>
      <c r="SQ3" s="1259"/>
      <c r="SR3" s="1259"/>
      <c r="SS3" s="1259"/>
      <c r="ST3" s="1259"/>
      <c r="SU3" s="1259"/>
      <c r="SV3" s="1259"/>
      <c r="SW3" s="1259"/>
      <c r="SX3" s="1259"/>
      <c r="SY3" s="1259"/>
      <c r="SZ3" s="1259"/>
      <c r="TA3" s="1259"/>
      <c r="TB3" s="1259"/>
      <c r="TC3" s="1259"/>
      <c r="TD3" s="1259"/>
      <c r="TE3" s="1259"/>
      <c r="TF3" s="1259"/>
      <c r="TG3" s="1259"/>
      <c r="TH3" s="1259"/>
      <c r="TI3" s="1259"/>
      <c r="TJ3" s="1259"/>
      <c r="TK3" s="1259"/>
      <c r="TL3" s="1259"/>
      <c r="TM3" s="1259"/>
      <c r="TN3" s="1259"/>
      <c r="TO3" s="1259"/>
      <c r="TP3" s="1259"/>
      <c r="TQ3" s="1259"/>
      <c r="TR3" s="1259"/>
      <c r="TS3" s="1259"/>
      <c r="TT3" s="1259"/>
      <c r="TU3" s="1259"/>
      <c r="TV3" s="1259"/>
      <c r="TW3" s="1259"/>
      <c r="TX3" s="1259"/>
      <c r="TY3" s="1259"/>
      <c r="TZ3" s="1259"/>
      <c r="UA3" s="1259"/>
      <c r="UB3" s="1259"/>
      <c r="UC3" s="1259"/>
      <c r="UD3" s="1259"/>
      <c r="UE3" s="1259"/>
      <c r="UF3" s="1259"/>
      <c r="UG3" s="1259"/>
      <c r="UH3" s="1259"/>
      <c r="UI3" s="1259"/>
      <c r="UJ3" s="1259"/>
      <c r="UK3" s="1259"/>
      <c r="UL3" s="1259"/>
      <c r="UM3" s="1259"/>
      <c r="UN3" s="1259"/>
      <c r="UO3" s="1259"/>
      <c r="UP3" s="1259"/>
      <c r="UQ3" s="1259"/>
      <c r="UR3" s="1259"/>
      <c r="US3" s="1259"/>
      <c r="UT3" s="1259"/>
      <c r="UU3" s="1259"/>
      <c r="UV3" s="1259"/>
      <c r="UW3" s="1259"/>
      <c r="UX3" s="1259"/>
      <c r="UY3" s="1259"/>
      <c r="UZ3" s="1259"/>
      <c r="VA3" s="1259"/>
      <c r="VB3" s="1259"/>
      <c r="VC3" s="1259"/>
      <c r="VD3" s="1259"/>
      <c r="VE3" s="1259"/>
      <c r="VF3" s="1259"/>
      <c r="VG3" s="1259"/>
      <c r="VH3" s="1259"/>
      <c r="VI3" s="1259"/>
      <c r="VJ3" s="1259"/>
      <c r="VK3" s="1259"/>
      <c r="VL3" s="1259"/>
      <c r="VM3" s="1259"/>
      <c r="VN3" s="1259"/>
      <c r="VO3" s="1259"/>
      <c r="VP3" s="1259"/>
      <c r="VQ3" s="1259"/>
      <c r="VR3" s="1259"/>
      <c r="VS3" s="1259"/>
      <c r="VT3" s="1259"/>
      <c r="VU3" s="1259"/>
      <c r="VV3" s="1259"/>
      <c r="VW3" s="1259"/>
      <c r="VX3" s="1259"/>
      <c r="VY3" s="1259"/>
      <c r="VZ3" s="1259"/>
      <c r="WA3" s="1259"/>
      <c r="WB3" s="1259"/>
      <c r="WC3" s="1259"/>
      <c r="WD3" s="1259"/>
      <c r="WE3" s="1259"/>
      <c r="WF3" s="1259"/>
      <c r="WG3" s="1259"/>
      <c r="WH3" s="1259"/>
      <c r="WI3" s="1259"/>
      <c r="WJ3" s="1259"/>
      <c r="WK3" s="1259"/>
      <c r="WL3" s="1259"/>
      <c r="WM3" s="1259"/>
      <c r="WN3" s="1259"/>
      <c r="WO3" s="1259"/>
      <c r="WP3" s="1259"/>
      <c r="WQ3" s="1259"/>
      <c r="WR3" s="1259"/>
      <c r="WS3" s="1259"/>
      <c r="WT3" s="1259"/>
      <c r="WU3" s="1259"/>
      <c r="WV3" s="1259"/>
      <c r="WW3" s="1259"/>
      <c r="WX3" s="1259"/>
      <c r="WY3" s="1259"/>
      <c r="WZ3" s="1259"/>
      <c r="XA3" s="1259"/>
      <c r="XB3" s="1259"/>
      <c r="XC3" s="1259"/>
      <c r="XD3" s="1259"/>
      <c r="XE3" s="1259"/>
      <c r="XF3" s="1259"/>
      <c r="XG3" s="1259"/>
      <c r="XH3" s="1259"/>
      <c r="XI3" s="1259"/>
      <c r="XJ3" s="1259"/>
      <c r="XK3" s="1259"/>
      <c r="XL3" s="1259"/>
      <c r="XM3" s="1259"/>
      <c r="XN3" s="1259"/>
      <c r="XO3" s="1259"/>
      <c r="XP3" s="1259"/>
      <c r="XQ3" s="1259"/>
      <c r="XR3" s="1259"/>
      <c r="XS3" s="1259"/>
      <c r="XT3" s="1259"/>
      <c r="XU3" s="1259"/>
      <c r="XV3" s="1259"/>
      <c r="XW3" s="1259"/>
      <c r="XX3" s="1259"/>
      <c r="XY3" s="1259"/>
      <c r="XZ3" s="1259"/>
      <c r="YA3" s="1259"/>
      <c r="YB3" s="1259"/>
      <c r="YC3" s="1259"/>
      <c r="YD3" s="1259"/>
      <c r="YE3" s="1259"/>
      <c r="YF3" s="1259"/>
      <c r="YG3" s="1259"/>
      <c r="YH3" s="1259"/>
      <c r="YI3" s="1259"/>
      <c r="YJ3" s="1259"/>
      <c r="YK3" s="1259"/>
      <c r="YL3" s="1259"/>
      <c r="YM3" s="1259"/>
      <c r="YN3" s="1259"/>
      <c r="YO3" s="1259"/>
      <c r="YP3" s="1259"/>
      <c r="YQ3" s="1259"/>
      <c r="YR3" s="1259"/>
      <c r="YS3" s="1259"/>
      <c r="YT3" s="1259"/>
      <c r="YU3" s="1259"/>
      <c r="YV3" s="1259"/>
      <c r="YW3" s="1259"/>
      <c r="YX3" s="1259"/>
      <c r="YY3" s="1259"/>
      <c r="YZ3" s="1259"/>
      <c r="ZA3" s="1259"/>
      <c r="ZB3" s="1259"/>
      <c r="ZC3" s="1259"/>
      <c r="ZD3" s="1259"/>
      <c r="ZE3" s="1259"/>
      <c r="ZF3" s="1259"/>
      <c r="ZG3" s="1259"/>
      <c r="ZH3" s="1259"/>
      <c r="ZI3" s="1259"/>
      <c r="ZJ3" s="1259"/>
      <c r="ZK3" s="1259"/>
      <c r="ZL3" s="1259"/>
      <c r="ZM3" s="1259"/>
      <c r="ZN3" s="1259"/>
      <c r="ZO3" s="1259"/>
      <c r="ZP3" s="1259"/>
      <c r="ZQ3" s="1259"/>
      <c r="ZR3" s="1259"/>
      <c r="ZS3" s="1259"/>
      <c r="ZT3" s="1259"/>
      <c r="ZU3" s="1259"/>
      <c r="ZV3" s="1259"/>
      <c r="ZW3" s="1259"/>
      <c r="ZX3" s="1259"/>
      <c r="ZY3" s="1259"/>
      <c r="ZZ3" s="1259"/>
      <c r="AAA3" s="1259"/>
      <c r="AAB3" s="1259"/>
      <c r="AAC3" s="1259"/>
      <c r="AAD3" s="1259"/>
      <c r="AAE3" s="1259"/>
      <c r="AAF3" s="1259"/>
      <c r="AAG3" s="1259"/>
      <c r="AAH3" s="1259"/>
      <c r="AAI3" s="1259"/>
      <c r="AAJ3" s="1259"/>
      <c r="AAK3" s="1259"/>
      <c r="AAL3" s="1259"/>
      <c r="AAM3" s="1259"/>
      <c r="AAN3" s="1259"/>
      <c r="AAO3" s="1259"/>
      <c r="AAP3" s="1259"/>
      <c r="AAQ3" s="1259"/>
      <c r="AAR3" s="1259"/>
      <c r="AAS3" s="1259"/>
      <c r="AAT3" s="1259"/>
      <c r="AAU3" s="1259"/>
      <c r="AAV3" s="1259"/>
      <c r="AAW3" s="1259"/>
      <c r="AAX3" s="1259"/>
      <c r="AAY3" s="1259"/>
      <c r="AAZ3" s="1259"/>
      <c r="ABA3" s="1259"/>
      <c r="ABB3" s="1259"/>
      <c r="ABC3" s="1259"/>
      <c r="ABD3" s="1259"/>
      <c r="ABE3" s="1259"/>
      <c r="ABF3" s="1259"/>
      <c r="ABG3" s="1259"/>
      <c r="ABH3" s="1259"/>
      <c r="ABI3" s="1259"/>
      <c r="ABJ3" s="1259"/>
      <c r="ABK3" s="1259"/>
      <c r="ABL3" s="1259"/>
      <c r="ABM3" s="1259"/>
      <c r="ABN3" s="1259"/>
      <c r="ABO3" s="1259"/>
      <c r="ABP3" s="1259"/>
      <c r="ABQ3" s="1259"/>
      <c r="ABR3" s="1259"/>
      <c r="ABS3" s="1259"/>
      <c r="ABT3" s="1259"/>
      <c r="ABU3" s="1259"/>
      <c r="ABV3" s="1259"/>
      <c r="ABW3" s="1259"/>
      <c r="ABX3" s="1259"/>
      <c r="ABY3" s="1259"/>
      <c r="ABZ3" s="1259"/>
      <c r="ACA3" s="1259"/>
      <c r="ACB3" s="1259"/>
      <c r="ACC3" s="1259"/>
      <c r="ACD3" s="1259"/>
      <c r="ACE3" s="1259"/>
      <c r="ACF3" s="1259"/>
      <c r="ACG3" s="1259"/>
      <c r="ACH3" s="1259"/>
      <c r="ACI3" s="1259"/>
      <c r="ACJ3" s="1259"/>
      <c r="ACK3" s="1259"/>
      <c r="ACL3" s="1259"/>
      <c r="ACM3" s="1259"/>
      <c r="ACN3" s="1259"/>
      <c r="ACO3" s="1259"/>
      <c r="ACP3" s="1259"/>
      <c r="ACQ3" s="1259"/>
      <c r="ACR3" s="1259"/>
      <c r="ACS3" s="1259"/>
      <c r="ACT3" s="1259"/>
      <c r="ACU3" s="1259"/>
      <c r="ACV3" s="1259"/>
      <c r="ACW3" s="1259"/>
      <c r="ACX3" s="1259"/>
      <c r="ACY3" s="1259"/>
      <c r="ACZ3" s="1259"/>
      <c r="ADA3" s="1259"/>
      <c r="ADB3" s="1259"/>
      <c r="ADC3" s="1259"/>
      <c r="ADD3" s="1259"/>
      <c r="ADE3" s="1259"/>
      <c r="ADF3" s="1259"/>
      <c r="ADG3" s="1259"/>
      <c r="ADH3" s="1259"/>
      <c r="ADI3" s="1259"/>
      <c r="ADJ3" s="1259"/>
      <c r="ADK3" s="1259"/>
      <c r="ADL3" s="1259"/>
      <c r="ADM3" s="1259"/>
      <c r="ADN3" s="1259"/>
      <c r="ADO3" s="1259"/>
      <c r="ADP3" s="1259"/>
      <c r="ADQ3" s="1259"/>
      <c r="ADR3" s="1259"/>
      <c r="ADS3" s="1259"/>
      <c r="ADT3" s="1259"/>
      <c r="ADU3" s="1259"/>
      <c r="ADV3" s="1259"/>
      <c r="ADW3" s="1259"/>
      <c r="ADX3" s="1259"/>
      <c r="ADY3" s="1259"/>
      <c r="ADZ3" s="1259"/>
      <c r="AEA3" s="1259"/>
      <c r="AEB3" s="1259"/>
      <c r="AEC3" s="1259"/>
      <c r="AED3" s="1259"/>
      <c r="AEE3" s="1259"/>
      <c r="AEF3" s="1259"/>
      <c r="AEG3" s="1259"/>
      <c r="AEH3" s="1259"/>
      <c r="AEI3" s="1259"/>
      <c r="AEJ3" s="1259"/>
      <c r="AEK3" s="1259"/>
      <c r="AEL3" s="1259"/>
      <c r="AEM3" s="1259"/>
      <c r="AEN3" s="1259"/>
      <c r="AEO3" s="1259"/>
      <c r="AEP3" s="1259"/>
      <c r="AEQ3" s="1259"/>
      <c r="AER3" s="1259"/>
      <c r="AES3" s="1259"/>
      <c r="AET3" s="1259"/>
      <c r="AEU3" s="1259"/>
      <c r="AEV3" s="1259"/>
      <c r="AEW3" s="1259"/>
      <c r="AEX3" s="1259"/>
      <c r="AEY3" s="1259"/>
      <c r="AEZ3" s="1259"/>
      <c r="AFA3" s="1259"/>
      <c r="AFB3" s="1259"/>
      <c r="AFC3" s="1259"/>
      <c r="AFD3" s="1259"/>
      <c r="AFE3" s="1259"/>
      <c r="AFF3" s="1259"/>
      <c r="AFG3" s="1259"/>
      <c r="AFH3" s="1259"/>
      <c r="AFI3" s="1259"/>
      <c r="AFJ3" s="1259"/>
      <c r="AFK3" s="1259"/>
      <c r="AFL3" s="1259"/>
      <c r="AFM3" s="1259"/>
      <c r="AFN3" s="1259"/>
      <c r="AFO3" s="1259"/>
      <c r="AFP3" s="1259"/>
      <c r="AFQ3" s="1259"/>
      <c r="AFR3" s="1259"/>
      <c r="AFS3" s="1259"/>
      <c r="AFT3" s="1259"/>
      <c r="AFU3" s="1259"/>
      <c r="AFV3" s="1259"/>
      <c r="AFW3" s="1259"/>
      <c r="AFX3" s="1259"/>
      <c r="AFY3" s="1259"/>
      <c r="AFZ3" s="1259"/>
      <c r="AGA3" s="1259"/>
      <c r="AGB3" s="1259"/>
      <c r="AGC3" s="1259"/>
      <c r="AGD3" s="1259"/>
      <c r="AGE3" s="1259"/>
      <c r="AGF3" s="1259"/>
      <c r="AGG3" s="1259"/>
      <c r="AGH3" s="1259"/>
      <c r="AGI3" s="1259"/>
      <c r="AGJ3" s="1259"/>
      <c r="AGK3" s="1259"/>
      <c r="AGL3" s="1259"/>
      <c r="AGM3" s="1259"/>
      <c r="AGN3" s="1259"/>
      <c r="AGO3" s="1259"/>
      <c r="AGP3" s="1259"/>
      <c r="AGQ3" s="1259"/>
      <c r="AGR3" s="1259"/>
      <c r="AGS3" s="1259"/>
      <c r="AGT3" s="1259"/>
      <c r="AGU3" s="1259"/>
      <c r="AGV3" s="1259"/>
      <c r="AGW3" s="1259"/>
      <c r="AGX3" s="1259"/>
      <c r="AGY3" s="1259"/>
      <c r="AGZ3" s="1259"/>
      <c r="AHA3" s="1259"/>
      <c r="AHB3" s="1259"/>
      <c r="AHC3" s="1259"/>
      <c r="AHD3" s="1259"/>
      <c r="AHE3" s="1259"/>
      <c r="AHF3" s="1259"/>
      <c r="AHG3" s="1259"/>
      <c r="AHH3" s="1259"/>
      <c r="AHI3" s="1259"/>
      <c r="AHJ3" s="1259"/>
      <c r="AHK3" s="1259"/>
      <c r="AHL3" s="1259"/>
      <c r="AHM3" s="1259"/>
      <c r="AHN3" s="1259"/>
      <c r="AHO3" s="1259"/>
      <c r="AHP3" s="1259"/>
      <c r="AHQ3" s="1259"/>
      <c r="AHR3" s="1259"/>
      <c r="AHS3" s="1259"/>
      <c r="AHT3" s="1259"/>
      <c r="AHU3" s="1259"/>
      <c r="AHV3" s="1259"/>
      <c r="AHW3" s="1259"/>
      <c r="AHX3" s="1259"/>
      <c r="AHY3" s="1259"/>
      <c r="AHZ3" s="1259"/>
      <c r="AIA3" s="1259"/>
      <c r="AIB3" s="1259"/>
      <c r="AIC3" s="1259"/>
      <c r="AID3" s="1259"/>
      <c r="AIE3" s="1259"/>
      <c r="AIF3" s="1259"/>
      <c r="AIG3" s="1259"/>
      <c r="AIH3" s="1259"/>
      <c r="AII3" s="1259"/>
      <c r="AIJ3" s="1259"/>
      <c r="AIK3" s="1259"/>
      <c r="AIL3" s="1259"/>
      <c r="AIM3" s="1259"/>
      <c r="AIN3" s="1259"/>
      <c r="AIO3" s="1259"/>
      <c r="AIP3" s="1259"/>
      <c r="AIQ3" s="1259"/>
      <c r="AIR3" s="1259"/>
      <c r="AIS3" s="1259"/>
      <c r="AIT3" s="1259"/>
      <c r="AIU3" s="1259"/>
      <c r="AIV3" s="1259"/>
      <c r="AIW3" s="1259"/>
      <c r="AIX3" s="1259"/>
      <c r="AIY3" s="1259"/>
      <c r="AIZ3" s="1259"/>
      <c r="AJA3" s="1259"/>
      <c r="AJB3" s="1259"/>
      <c r="AJC3" s="1259"/>
      <c r="AJD3" s="1259"/>
      <c r="AJE3" s="1259"/>
      <c r="AJF3" s="1259"/>
      <c r="AJG3" s="1259"/>
      <c r="AJH3" s="1259"/>
      <c r="AJI3" s="1259"/>
      <c r="AJJ3" s="1259"/>
      <c r="AJK3" s="1259"/>
      <c r="AJL3" s="1259"/>
      <c r="AJM3" s="1259"/>
      <c r="AJN3" s="1259"/>
      <c r="AJO3" s="1259"/>
      <c r="AJP3" s="1259"/>
      <c r="AJQ3" s="1259"/>
      <c r="AJR3" s="1259"/>
      <c r="AJS3" s="1259"/>
      <c r="AJT3" s="1259"/>
      <c r="AJU3" s="1259"/>
      <c r="AJV3" s="1259"/>
      <c r="AJW3" s="1259"/>
      <c r="AJX3" s="1259"/>
      <c r="AJY3" s="1259"/>
      <c r="AJZ3" s="1259"/>
      <c r="AKA3" s="1259"/>
      <c r="AKB3" s="1259"/>
      <c r="AKC3" s="1259"/>
      <c r="AKD3" s="1259"/>
      <c r="AKE3" s="1259"/>
      <c r="AKF3" s="1259"/>
      <c r="AKG3" s="1259"/>
      <c r="AKH3" s="1259"/>
      <c r="AKI3" s="1259"/>
      <c r="AKJ3" s="1259"/>
      <c r="AKK3" s="1259"/>
      <c r="AKL3" s="1259"/>
      <c r="AKM3" s="1259"/>
      <c r="AKN3" s="1259"/>
      <c r="AKO3" s="1259"/>
      <c r="AKP3" s="1259"/>
      <c r="AKQ3" s="1259"/>
      <c r="AKR3" s="1259"/>
      <c r="AKS3" s="1259"/>
      <c r="AKT3" s="1259"/>
      <c r="AKU3" s="1259"/>
      <c r="AKV3" s="1259"/>
      <c r="AKW3" s="1259"/>
      <c r="AKX3" s="1259"/>
      <c r="AKY3" s="1259"/>
      <c r="AKZ3" s="1259"/>
      <c r="ALA3" s="1259"/>
      <c r="ALB3" s="1259"/>
      <c r="ALC3" s="1259"/>
      <c r="ALD3" s="1259"/>
      <c r="ALE3" s="1259"/>
      <c r="ALF3" s="1259"/>
      <c r="ALG3" s="1259"/>
      <c r="ALH3" s="1259"/>
      <c r="ALI3" s="1259"/>
      <c r="ALJ3" s="1259"/>
      <c r="ALK3" s="1259"/>
      <c r="ALL3" s="1259"/>
      <c r="ALM3" s="1259"/>
      <c r="ALN3" s="1259"/>
      <c r="ALO3" s="1259"/>
      <c r="ALP3" s="1259"/>
      <c r="ALQ3" s="1259"/>
      <c r="ALR3" s="1259"/>
      <c r="ALS3" s="1259"/>
      <c r="ALT3" s="1259"/>
      <c r="ALU3" s="1259"/>
      <c r="ALV3" s="1259"/>
      <c r="ALW3" s="1259"/>
      <c r="ALX3" s="1259"/>
      <c r="ALY3" s="1259"/>
      <c r="ALZ3" s="1259"/>
      <c r="AMA3" s="1259"/>
      <c r="AMB3" s="1259"/>
      <c r="AMC3" s="1259"/>
      <c r="AMD3" s="1259"/>
      <c r="AME3" s="1259"/>
      <c r="AMF3" s="1259"/>
      <c r="AMG3" s="1259"/>
      <c r="AMH3" s="1259"/>
      <c r="AMI3" s="1259"/>
      <c r="AMJ3" s="1259"/>
      <c r="AMK3" s="1259"/>
      <c r="AML3" s="1259"/>
      <c r="AMM3" s="1259"/>
      <c r="AMN3" s="1259"/>
      <c r="AMO3" s="1259"/>
      <c r="AMP3" s="1259"/>
      <c r="AMQ3" s="1259"/>
      <c r="AMR3" s="1259"/>
      <c r="AMS3" s="1259"/>
      <c r="AMT3" s="1259"/>
      <c r="AMU3" s="1259"/>
      <c r="AMV3" s="1259"/>
      <c r="AMW3" s="1259"/>
      <c r="AMX3" s="1259"/>
      <c r="AMY3" s="1259"/>
      <c r="AMZ3" s="1259"/>
      <c r="ANA3" s="1259"/>
      <c r="ANB3" s="1259"/>
      <c r="ANC3" s="1259"/>
      <c r="AND3" s="1259"/>
      <c r="ANE3" s="1259"/>
      <c r="ANF3" s="1259"/>
      <c r="ANG3" s="1259"/>
      <c r="ANH3" s="1259"/>
      <c r="ANI3" s="1259"/>
      <c r="ANJ3" s="1259"/>
      <c r="ANK3" s="1259"/>
      <c r="ANL3" s="1259"/>
      <c r="ANM3" s="1259"/>
      <c r="ANN3" s="1259"/>
      <c r="ANO3" s="1259"/>
      <c r="ANP3" s="1259"/>
      <c r="ANQ3" s="1259"/>
      <c r="ANR3" s="1259"/>
      <c r="ANS3" s="1259"/>
      <c r="ANT3" s="1259"/>
      <c r="ANU3" s="1259"/>
      <c r="ANV3" s="1259"/>
      <c r="ANW3" s="1259"/>
      <c r="ANX3" s="1259"/>
      <c r="ANY3" s="1259"/>
      <c r="ANZ3" s="1259"/>
      <c r="AOA3" s="1259"/>
      <c r="AOB3" s="1259"/>
      <c r="AOC3" s="1259"/>
      <c r="AOD3" s="1259"/>
      <c r="AOE3" s="1259"/>
      <c r="AOF3" s="1259"/>
      <c r="AOG3" s="1259"/>
      <c r="AOH3" s="1259"/>
      <c r="AOI3" s="1259"/>
      <c r="AOJ3" s="1259"/>
      <c r="AOK3" s="1259"/>
      <c r="AOL3" s="1259"/>
      <c r="AOM3" s="1259"/>
      <c r="AON3" s="1259"/>
      <c r="AOO3" s="1259"/>
      <c r="AOP3" s="1259"/>
      <c r="AOQ3" s="1259"/>
      <c r="AOR3" s="1259"/>
      <c r="AOS3" s="1259"/>
      <c r="AOT3" s="1259"/>
      <c r="AOU3" s="1259"/>
      <c r="AOV3" s="1259"/>
      <c r="AOW3" s="1259"/>
      <c r="AOX3" s="1259"/>
      <c r="AOY3" s="1259"/>
      <c r="AOZ3" s="1259"/>
      <c r="APA3" s="1259"/>
      <c r="APB3" s="1259"/>
      <c r="APC3" s="1259"/>
      <c r="APD3" s="1259"/>
      <c r="APE3" s="1259"/>
      <c r="APF3" s="1259"/>
      <c r="APG3" s="1259"/>
      <c r="APH3" s="1259"/>
      <c r="API3" s="1259"/>
      <c r="APJ3" s="1259"/>
      <c r="APK3" s="1259"/>
      <c r="APL3" s="1259"/>
      <c r="APM3" s="1259"/>
      <c r="APN3" s="1259"/>
      <c r="APO3" s="1259"/>
      <c r="APP3" s="1259"/>
      <c r="APQ3" s="1259"/>
      <c r="APR3" s="1259"/>
      <c r="APS3" s="1259"/>
      <c r="APT3" s="1259"/>
      <c r="APU3" s="1259"/>
      <c r="APV3" s="1259"/>
      <c r="APW3" s="1259"/>
      <c r="APX3" s="1259"/>
      <c r="APY3" s="1259"/>
      <c r="APZ3" s="1259"/>
      <c r="AQA3" s="1259"/>
      <c r="AQB3" s="1259"/>
      <c r="AQC3" s="1259"/>
      <c r="AQD3" s="1259"/>
      <c r="AQE3" s="1259"/>
      <c r="AQF3" s="1259"/>
      <c r="AQG3" s="1259"/>
      <c r="AQH3" s="1259"/>
      <c r="AQI3" s="1259"/>
      <c r="AQJ3" s="1259"/>
      <c r="AQK3" s="1259"/>
      <c r="AQL3" s="1259"/>
      <c r="AQM3" s="1259"/>
      <c r="AQN3" s="1259"/>
      <c r="AQO3" s="1259"/>
      <c r="AQP3" s="1259"/>
      <c r="AQQ3" s="1259"/>
      <c r="AQR3" s="1259"/>
      <c r="AQS3" s="1259"/>
      <c r="AQT3" s="1259"/>
      <c r="AQU3" s="1259"/>
      <c r="AQV3" s="1259"/>
      <c r="AQW3" s="1259"/>
      <c r="AQX3" s="1259"/>
      <c r="AQY3" s="1259"/>
      <c r="AQZ3" s="1259"/>
      <c r="ARA3" s="1259"/>
      <c r="ARB3" s="1259"/>
      <c r="ARC3" s="1259"/>
      <c r="ARD3" s="1259"/>
      <c r="ARE3" s="1259"/>
      <c r="ARF3" s="1259"/>
      <c r="ARG3" s="1259"/>
      <c r="ARH3" s="1259"/>
      <c r="ARI3" s="1259"/>
      <c r="ARJ3" s="1259"/>
      <c r="ARK3" s="1259"/>
      <c r="ARL3" s="1259"/>
      <c r="ARM3" s="1259"/>
      <c r="ARN3" s="1259"/>
      <c r="ARO3" s="1259"/>
      <c r="ARP3" s="1259"/>
      <c r="ARQ3" s="1259"/>
      <c r="ARR3" s="1259"/>
      <c r="ARS3" s="1259"/>
      <c r="ART3" s="1259"/>
      <c r="ARU3" s="1259"/>
      <c r="ARV3" s="1259"/>
      <c r="ARW3" s="1259"/>
      <c r="ARX3" s="1259"/>
      <c r="ARY3" s="1259"/>
      <c r="ARZ3" s="1259"/>
      <c r="ASA3" s="1259"/>
      <c r="ASB3" s="1259"/>
      <c r="ASC3" s="1259"/>
      <c r="ASD3" s="1259"/>
      <c r="ASE3" s="1259"/>
      <c r="ASF3" s="1259"/>
      <c r="ASG3" s="1259"/>
      <c r="ASH3" s="1259"/>
      <c r="ASI3" s="1259"/>
      <c r="ASJ3" s="1259"/>
      <c r="ASK3" s="1259"/>
      <c r="ASL3" s="1259"/>
      <c r="ASM3" s="1259"/>
      <c r="ASN3" s="1259"/>
      <c r="ASO3" s="1259"/>
      <c r="ASP3" s="1259"/>
      <c r="ASQ3" s="1259"/>
      <c r="ASR3" s="1259"/>
      <c r="ASS3" s="1259"/>
      <c r="AST3" s="1259"/>
      <c r="ASU3" s="1259"/>
      <c r="ASV3" s="1259"/>
      <c r="ASW3" s="1259"/>
      <c r="ASX3" s="1259"/>
      <c r="ASY3" s="1259"/>
      <c r="ASZ3" s="1259"/>
      <c r="ATA3" s="1259"/>
      <c r="ATB3" s="1259"/>
      <c r="ATC3" s="1259"/>
      <c r="ATD3" s="1259"/>
      <c r="ATE3" s="1259"/>
      <c r="ATF3" s="1259"/>
      <c r="ATG3" s="1259"/>
      <c r="ATH3" s="1259"/>
      <c r="ATI3" s="1259"/>
      <c r="ATJ3" s="1259"/>
      <c r="ATK3" s="1259"/>
      <c r="ATL3" s="1259"/>
      <c r="ATM3" s="1259"/>
      <c r="ATN3" s="1259"/>
      <c r="ATO3" s="1259"/>
      <c r="ATP3" s="1259"/>
      <c r="ATQ3" s="1259"/>
      <c r="ATR3" s="1259"/>
      <c r="ATS3" s="1259"/>
      <c r="ATT3" s="1259"/>
      <c r="ATU3" s="1259"/>
      <c r="ATV3" s="1259"/>
      <c r="ATW3" s="1259"/>
      <c r="ATX3" s="1259"/>
      <c r="ATY3" s="1259"/>
      <c r="ATZ3" s="1259"/>
      <c r="AUA3" s="1259"/>
      <c r="AUB3" s="1259"/>
      <c r="AUC3" s="1259"/>
      <c r="AUD3" s="1259"/>
      <c r="AUE3" s="1259"/>
      <c r="AUF3" s="1259"/>
      <c r="AUG3" s="1259"/>
      <c r="AUH3" s="1259"/>
      <c r="AUI3" s="1259"/>
      <c r="AUJ3" s="1259"/>
      <c r="AUK3" s="1259"/>
      <c r="AUL3" s="1259"/>
      <c r="AUM3" s="1259"/>
      <c r="AUN3" s="1259"/>
      <c r="AUO3" s="1259"/>
      <c r="AUP3" s="1259"/>
      <c r="AUQ3" s="1259"/>
      <c r="AUR3" s="1259"/>
      <c r="AUS3" s="1259"/>
      <c r="AUT3" s="1259"/>
      <c r="AUU3" s="1259"/>
      <c r="AUV3" s="1259"/>
      <c r="AUW3" s="1259"/>
      <c r="AUX3" s="1259"/>
      <c r="AUY3" s="1259"/>
      <c r="AUZ3" s="1259"/>
      <c r="AVA3" s="1259"/>
      <c r="AVB3" s="1259"/>
      <c r="AVC3" s="1259"/>
      <c r="AVD3" s="1259"/>
      <c r="AVE3" s="1259"/>
      <c r="AVF3" s="1259"/>
      <c r="AVG3" s="1259"/>
      <c r="AVH3" s="1259"/>
      <c r="AVI3" s="1259"/>
      <c r="AVJ3" s="1259"/>
      <c r="AVK3" s="1259"/>
      <c r="AVL3" s="1259"/>
      <c r="AVM3" s="1259"/>
      <c r="AVN3" s="1259"/>
      <c r="AVO3" s="1259"/>
      <c r="AVP3" s="1259"/>
      <c r="AVQ3" s="1259"/>
      <c r="AVR3" s="1259"/>
      <c r="AVS3" s="1259"/>
      <c r="AVT3" s="1259"/>
      <c r="AVU3" s="1259"/>
      <c r="AVV3" s="1259"/>
      <c r="AVW3" s="1259"/>
      <c r="AVX3" s="1259"/>
      <c r="AVY3" s="1259"/>
      <c r="AVZ3" s="1259"/>
      <c r="AWA3" s="1259"/>
      <c r="AWB3" s="1259"/>
      <c r="AWC3" s="1259"/>
      <c r="AWD3" s="1259"/>
      <c r="AWE3" s="1259"/>
      <c r="AWF3" s="1259"/>
      <c r="AWG3" s="1259"/>
      <c r="AWH3" s="1259"/>
      <c r="AWI3" s="1259"/>
      <c r="AWJ3" s="1259"/>
      <c r="AWK3" s="1259"/>
      <c r="AWL3" s="1259"/>
      <c r="AWM3" s="1259"/>
      <c r="AWN3" s="1259"/>
      <c r="AWO3" s="1259"/>
      <c r="AWP3" s="1259"/>
      <c r="AWQ3" s="1259"/>
      <c r="AWR3" s="1259"/>
      <c r="AWS3" s="1259"/>
      <c r="AWT3" s="1259"/>
      <c r="AWU3" s="1259"/>
      <c r="AWV3" s="1259"/>
      <c r="AWW3" s="1259"/>
      <c r="AWX3" s="1259"/>
      <c r="AWY3" s="1259"/>
      <c r="AWZ3" s="1259"/>
      <c r="AXA3" s="1259"/>
      <c r="AXB3" s="1259"/>
      <c r="AXC3" s="1259"/>
      <c r="AXD3" s="1259"/>
      <c r="AXE3" s="1259"/>
      <c r="AXF3" s="1259"/>
      <c r="AXG3" s="1259"/>
      <c r="AXH3" s="1259"/>
      <c r="AXI3" s="1259"/>
      <c r="AXJ3" s="1259"/>
      <c r="AXK3" s="1259"/>
      <c r="AXL3" s="1259"/>
      <c r="AXM3" s="1259"/>
      <c r="AXN3" s="1259"/>
      <c r="AXO3" s="1259"/>
      <c r="AXP3" s="1259"/>
      <c r="AXQ3" s="1259"/>
      <c r="AXR3" s="1259"/>
      <c r="AXS3" s="1259"/>
      <c r="AXT3" s="1259"/>
      <c r="AXU3" s="1259"/>
      <c r="AXV3" s="1259"/>
      <c r="AXW3" s="1259"/>
      <c r="AXX3" s="1259"/>
      <c r="AXY3" s="1259"/>
      <c r="AXZ3" s="1259"/>
      <c r="AYA3" s="1259"/>
      <c r="AYB3" s="1259"/>
      <c r="AYC3" s="1259"/>
      <c r="AYD3" s="1259"/>
      <c r="AYE3" s="1259"/>
      <c r="AYF3" s="1259"/>
      <c r="AYG3" s="1259"/>
      <c r="AYH3" s="1259"/>
      <c r="AYI3" s="1259"/>
      <c r="AYJ3" s="1259"/>
      <c r="AYK3" s="1259"/>
      <c r="AYL3" s="1259"/>
      <c r="AYM3" s="1259"/>
      <c r="AYN3" s="1259"/>
      <c r="AYO3" s="1259"/>
      <c r="AYP3" s="1259"/>
      <c r="AYQ3" s="1259"/>
      <c r="AYR3" s="1259"/>
      <c r="AYS3" s="1259"/>
      <c r="AYT3" s="1259"/>
      <c r="AYU3" s="1259"/>
      <c r="AYV3" s="1259"/>
      <c r="AYW3" s="1259"/>
      <c r="AYX3" s="1259"/>
      <c r="AYY3" s="1259"/>
      <c r="AYZ3" s="1259"/>
      <c r="AZA3" s="1259"/>
      <c r="AZB3" s="1259"/>
      <c r="AZC3" s="1259"/>
      <c r="AZD3" s="1259"/>
      <c r="AZE3" s="1259"/>
      <c r="AZF3" s="1259"/>
      <c r="AZG3" s="1259"/>
      <c r="AZH3" s="1259"/>
      <c r="AZI3" s="1259"/>
      <c r="AZJ3" s="1259"/>
      <c r="AZK3" s="1259"/>
      <c r="AZL3" s="1259"/>
      <c r="AZM3" s="1259"/>
      <c r="AZN3" s="1259"/>
      <c r="AZO3" s="1259"/>
      <c r="AZP3" s="1259"/>
      <c r="AZQ3" s="1259"/>
      <c r="AZR3" s="1259"/>
      <c r="AZS3" s="1259"/>
      <c r="AZT3" s="1259"/>
      <c r="AZU3" s="1259"/>
      <c r="AZV3" s="1259"/>
      <c r="AZW3" s="1259"/>
      <c r="AZX3" s="1259"/>
      <c r="AZY3" s="1259"/>
      <c r="AZZ3" s="1259"/>
      <c r="BAA3" s="1259"/>
      <c r="BAB3" s="1259"/>
      <c r="BAC3" s="1259"/>
      <c r="BAD3" s="1259"/>
      <c r="BAE3" s="1259"/>
      <c r="BAF3" s="1259"/>
      <c r="BAG3" s="1259"/>
      <c r="BAH3" s="1259"/>
      <c r="BAI3" s="1259"/>
      <c r="BAJ3" s="1259"/>
      <c r="BAK3" s="1259"/>
      <c r="BAL3" s="1259"/>
      <c r="BAM3" s="1259"/>
      <c r="BAN3" s="1259"/>
      <c r="BAO3" s="1259"/>
      <c r="BAP3" s="1259"/>
      <c r="BAQ3" s="1259"/>
      <c r="BAR3" s="1259"/>
      <c r="BAS3" s="1259"/>
      <c r="BAT3" s="1259"/>
      <c r="BAU3" s="1259"/>
      <c r="BAV3" s="1259"/>
      <c r="BAW3" s="1259"/>
      <c r="BAX3" s="1259"/>
      <c r="BAY3" s="1259"/>
      <c r="BAZ3" s="1259"/>
      <c r="BBA3" s="1259"/>
      <c r="BBB3" s="1259"/>
      <c r="BBC3" s="1259"/>
      <c r="BBD3" s="1259"/>
      <c r="BBE3" s="1259"/>
      <c r="BBF3" s="1259"/>
      <c r="BBG3" s="1259"/>
      <c r="BBH3" s="1259"/>
      <c r="BBI3" s="1259"/>
      <c r="BBJ3" s="1259"/>
      <c r="BBK3" s="1259"/>
      <c r="BBL3" s="1259"/>
      <c r="BBM3" s="1259"/>
      <c r="BBN3" s="1259"/>
      <c r="BBO3" s="1259"/>
      <c r="BBP3" s="1259"/>
      <c r="BBQ3" s="1259"/>
      <c r="BBR3" s="1259"/>
      <c r="BBS3" s="1259"/>
      <c r="BBT3" s="1259"/>
      <c r="BBU3" s="1259"/>
      <c r="BBV3" s="1259"/>
      <c r="BBW3" s="1259"/>
      <c r="BBX3" s="1259"/>
      <c r="BBY3" s="1259"/>
      <c r="BBZ3" s="1259"/>
      <c r="BCA3" s="1259"/>
      <c r="BCB3" s="1259"/>
      <c r="BCC3" s="1259"/>
      <c r="BCD3" s="1259"/>
      <c r="BCE3" s="1259"/>
      <c r="BCF3" s="1259"/>
      <c r="BCG3" s="1259"/>
      <c r="BCH3" s="1259"/>
      <c r="BCI3" s="1259"/>
      <c r="BCJ3" s="1259"/>
      <c r="BCK3" s="1259"/>
      <c r="BCL3" s="1259"/>
      <c r="BCM3" s="1259"/>
      <c r="BCN3" s="1259"/>
      <c r="BCO3" s="1259"/>
      <c r="BCP3" s="1259"/>
      <c r="BCQ3" s="1259"/>
      <c r="BCR3" s="1259"/>
      <c r="BCS3" s="1259"/>
      <c r="BCT3" s="1259"/>
      <c r="BCU3" s="1259"/>
      <c r="BCV3" s="1259"/>
      <c r="BCW3" s="1259"/>
      <c r="BCX3" s="1259"/>
      <c r="BCY3" s="1259"/>
      <c r="BCZ3" s="1259"/>
      <c r="BDA3" s="1259"/>
      <c r="BDB3" s="1259"/>
      <c r="BDC3" s="1259"/>
      <c r="BDD3" s="1259"/>
      <c r="BDE3" s="1259"/>
      <c r="BDF3" s="1259"/>
      <c r="BDG3" s="1259"/>
      <c r="BDH3" s="1259"/>
      <c r="BDI3" s="1259"/>
      <c r="BDJ3" s="1259"/>
      <c r="BDK3" s="1259"/>
      <c r="BDL3" s="1259"/>
      <c r="BDM3" s="1259"/>
      <c r="BDN3" s="1259"/>
      <c r="BDO3" s="1259"/>
      <c r="BDP3" s="1259"/>
      <c r="BDQ3" s="1259"/>
      <c r="BDR3" s="1259"/>
      <c r="BDS3" s="1259"/>
      <c r="BDT3" s="1259"/>
      <c r="BDU3" s="1259"/>
      <c r="BDV3" s="1259"/>
      <c r="BDW3" s="1259"/>
      <c r="BDX3" s="1259"/>
      <c r="BDY3" s="1259"/>
      <c r="BDZ3" s="1259"/>
      <c r="BEA3" s="1259"/>
      <c r="BEB3" s="1259"/>
      <c r="BEC3" s="1259"/>
      <c r="BED3" s="1259"/>
      <c r="BEE3" s="1259"/>
      <c r="BEF3" s="1259"/>
      <c r="BEG3" s="1259"/>
      <c r="BEH3" s="1259"/>
      <c r="BEI3" s="1259"/>
      <c r="BEJ3" s="1259"/>
      <c r="BEK3" s="1259"/>
      <c r="BEL3" s="1259"/>
      <c r="BEM3" s="1259"/>
      <c r="BEN3" s="1259"/>
      <c r="BEO3" s="1259"/>
      <c r="BEP3" s="1259"/>
      <c r="BEQ3" s="1259"/>
      <c r="BER3" s="1259"/>
      <c r="BES3" s="1259"/>
      <c r="BET3" s="1259"/>
      <c r="BEU3" s="1259"/>
      <c r="BEV3" s="1259"/>
      <c r="BEW3" s="1259"/>
      <c r="BEX3" s="1259"/>
      <c r="BEY3" s="1259"/>
      <c r="BEZ3" s="1259"/>
      <c r="BFA3" s="1259"/>
      <c r="BFB3" s="1259"/>
      <c r="BFC3" s="1259"/>
      <c r="BFD3" s="1259"/>
      <c r="BFE3" s="1259"/>
      <c r="BFF3" s="1259"/>
      <c r="BFG3" s="1259"/>
      <c r="BFH3" s="1259"/>
      <c r="BFI3" s="1259"/>
      <c r="BFJ3" s="1259"/>
      <c r="BFK3" s="1259"/>
      <c r="BFL3" s="1259"/>
      <c r="BFM3" s="1259"/>
      <c r="BFN3" s="1259"/>
      <c r="BFO3" s="1259"/>
      <c r="BFP3" s="1259"/>
      <c r="BFQ3" s="1259"/>
      <c r="BFR3" s="1259"/>
      <c r="BFS3" s="1259"/>
      <c r="BFT3" s="1259"/>
      <c r="BFU3" s="1259"/>
      <c r="BFV3" s="1259"/>
      <c r="BFW3" s="1259"/>
      <c r="BFX3" s="1259"/>
      <c r="BFY3" s="1259"/>
      <c r="BFZ3" s="1259"/>
      <c r="BGA3" s="1259"/>
      <c r="BGB3" s="1259"/>
      <c r="BGC3" s="1259"/>
      <c r="BGD3" s="1259"/>
      <c r="BGE3" s="1259"/>
      <c r="BGF3" s="1259"/>
      <c r="BGG3" s="1259"/>
      <c r="BGH3" s="1259"/>
      <c r="BGI3" s="1259"/>
      <c r="BGJ3" s="1259"/>
      <c r="BGK3" s="1259"/>
      <c r="BGL3" s="1259"/>
      <c r="BGM3" s="1259"/>
      <c r="BGN3" s="1259"/>
      <c r="BGO3" s="1259"/>
      <c r="BGP3" s="1259"/>
      <c r="BGQ3" s="1259"/>
      <c r="BGR3" s="1259"/>
      <c r="BGS3" s="1259"/>
      <c r="BGT3" s="1259"/>
      <c r="BGU3" s="1259"/>
      <c r="BGV3" s="1259"/>
      <c r="BGW3" s="1259"/>
      <c r="BGX3" s="1259"/>
      <c r="BGY3" s="1259"/>
      <c r="BGZ3" s="1259"/>
      <c r="BHA3" s="1259"/>
      <c r="BHB3" s="1259"/>
      <c r="BHC3" s="1259"/>
      <c r="BHD3" s="1259"/>
      <c r="BHE3" s="1259"/>
      <c r="BHF3" s="1259"/>
      <c r="BHG3" s="1259"/>
      <c r="BHH3" s="1259"/>
      <c r="BHI3" s="1259"/>
      <c r="BHJ3" s="1259"/>
      <c r="BHK3" s="1259"/>
      <c r="BHL3" s="1259"/>
      <c r="BHM3" s="1259"/>
      <c r="BHN3" s="1259"/>
      <c r="BHO3" s="1259"/>
      <c r="BHP3" s="1259"/>
      <c r="BHQ3" s="1259"/>
      <c r="BHR3" s="1259"/>
      <c r="BHS3" s="1259"/>
      <c r="BHT3" s="1259"/>
      <c r="BHU3" s="1259"/>
      <c r="BHV3" s="1259"/>
      <c r="BHW3" s="1259"/>
      <c r="BHX3" s="1259"/>
      <c r="BHY3" s="1259"/>
      <c r="BHZ3" s="1259"/>
      <c r="BIA3" s="1259"/>
      <c r="BIB3" s="1259"/>
      <c r="BIC3" s="1259"/>
      <c r="BID3" s="1259"/>
      <c r="BIE3" s="1259"/>
      <c r="BIF3" s="1259"/>
      <c r="BIG3" s="1259"/>
      <c r="BIH3" s="1259"/>
      <c r="BII3" s="1259"/>
      <c r="BIJ3" s="1259"/>
      <c r="BIK3" s="1259"/>
      <c r="BIL3" s="1259"/>
      <c r="BIM3" s="1259"/>
      <c r="BIN3" s="1259"/>
      <c r="BIO3" s="1259"/>
      <c r="BIP3" s="1259"/>
      <c r="BIQ3" s="1259"/>
      <c r="BIR3" s="1259"/>
      <c r="BIS3" s="1259"/>
      <c r="BIT3" s="1259"/>
      <c r="BIU3" s="1259"/>
      <c r="BIV3" s="1259"/>
      <c r="BIW3" s="1259"/>
      <c r="BIX3" s="1259"/>
      <c r="BIY3" s="1259"/>
      <c r="BIZ3" s="1259"/>
      <c r="BJA3" s="1259"/>
      <c r="BJB3" s="1259"/>
      <c r="BJC3" s="1259"/>
      <c r="BJD3" s="1259"/>
      <c r="BJE3" s="1259"/>
      <c r="BJF3" s="1259"/>
      <c r="BJG3" s="1259"/>
      <c r="BJH3" s="1259"/>
      <c r="BJI3" s="1259"/>
      <c r="BJJ3" s="1259"/>
      <c r="BJK3" s="1259"/>
      <c r="BJL3" s="1259"/>
      <c r="BJM3" s="1259"/>
      <c r="BJN3" s="1259"/>
      <c r="BJO3" s="1259"/>
      <c r="BJP3" s="1259"/>
      <c r="BJQ3" s="1259"/>
      <c r="BJR3" s="1259"/>
      <c r="BJS3" s="1259"/>
      <c r="BJT3" s="1259"/>
      <c r="BJU3" s="1259"/>
      <c r="BJV3" s="1259"/>
      <c r="BJW3" s="1259"/>
      <c r="BJX3" s="1259"/>
      <c r="BJY3" s="1259"/>
      <c r="BJZ3" s="1259"/>
      <c r="BKA3" s="1259"/>
      <c r="BKB3" s="1259"/>
      <c r="BKC3" s="1259"/>
      <c r="BKD3" s="1259"/>
      <c r="BKE3" s="1259"/>
      <c r="BKF3" s="1259"/>
      <c r="BKG3" s="1259"/>
      <c r="BKH3" s="1259"/>
      <c r="BKI3" s="1259"/>
      <c r="BKJ3" s="1259"/>
      <c r="BKK3" s="1259"/>
      <c r="BKL3" s="1259"/>
      <c r="BKM3" s="1259"/>
      <c r="BKN3" s="1259"/>
      <c r="BKO3" s="1259"/>
      <c r="BKP3" s="1259"/>
      <c r="BKQ3" s="1259"/>
      <c r="BKR3" s="1259"/>
      <c r="BKS3" s="1259"/>
      <c r="BKT3" s="1259"/>
      <c r="BKU3" s="1259"/>
      <c r="BKV3" s="1259"/>
      <c r="BKW3" s="1259"/>
      <c r="BKX3" s="1259"/>
      <c r="BKY3" s="1259"/>
      <c r="BKZ3" s="1259"/>
      <c r="BLA3" s="1259"/>
      <c r="BLB3" s="1259"/>
      <c r="BLC3" s="1259"/>
      <c r="BLD3" s="1259"/>
      <c r="BLE3" s="1259"/>
      <c r="BLF3" s="1259"/>
      <c r="BLG3" s="1259"/>
      <c r="BLH3" s="1259"/>
      <c r="BLI3" s="1259"/>
      <c r="BLJ3" s="1259"/>
      <c r="BLK3" s="1259"/>
      <c r="BLL3" s="1259"/>
      <c r="BLM3" s="1259"/>
      <c r="BLN3" s="1259"/>
      <c r="BLO3" s="1259"/>
      <c r="BLP3" s="1259"/>
      <c r="BLQ3" s="1259"/>
      <c r="BLR3" s="1259"/>
      <c r="BLS3" s="1259"/>
      <c r="BLT3" s="1259"/>
      <c r="BLU3" s="1259"/>
      <c r="BLV3" s="1259"/>
      <c r="BLW3" s="1259"/>
      <c r="BLX3" s="1259"/>
      <c r="BLY3" s="1259"/>
      <c r="BLZ3" s="1259"/>
      <c r="BMA3" s="1259"/>
      <c r="BMB3" s="1259"/>
      <c r="BMC3" s="1259"/>
      <c r="BMD3" s="1259"/>
      <c r="BME3" s="1259"/>
      <c r="BMF3" s="1259"/>
      <c r="BMG3" s="1259"/>
      <c r="BMH3" s="1259"/>
      <c r="BMI3" s="1259"/>
      <c r="BMJ3" s="1259"/>
      <c r="BMK3" s="1259"/>
      <c r="BML3" s="1259"/>
      <c r="BMM3" s="1259"/>
      <c r="BMN3" s="1259"/>
      <c r="BMO3" s="1259"/>
      <c r="BMP3" s="1259"/>
      <c r="BMQ3" s="1259"/>
      <c r="BMR3" s="1259"/>
      <c r="BMS3" s="1259"/>
      <c r="BMT3" s="1259"/>
      <c r="BMU3" s="1259"/>
      <c r="BMV3" s="1259"/>
      <c r="BMW3" s="1259"/>
      <c r="BMX3" s="1259"/>
      <c r="BMY3" s="1259"/>
      <c r="BMZ3" s="1259"/>
      <c r="BNA3" s="1259"/>
      <c r="BNB3" s="1259"/>
      <c r="BNC3" s="1259"/>
      <c r="BND3" s="1259"/>
      <c r="BNE3" s="1259"/>
      <c r="BNF3" s="1259"/>
      <c r="BNG3" s="1259"/>
      <c r="BNH3" s="1259"/>
      <c r="BNI3" s="1259"/>
      <c r="BNJ3" s="1259"/>
      <c r="BNK3" s="1259"/>
      <c r="BNL3" s="1259"/>
      <c r="BNM3" s="1259"/>
      <c r="BNN3" s="1259"/>
      <c r="BNO3" s="1259"/>
      <c r="BNP3" s="1259"/>
      <c r="BNQ3" s="1259"/>
      <c r="BNR3" s="1259"/>
      <c r="BNS3" s="1259"/>
      <c r="BNT3" s="1259"/>
      <c r="BNU3" s="1259"/>
      <c r="BNV3" s="1259"/>
      <c r="BNW3" s="1259"/>
      <c r="BNX3" s="1259"/>
      <c r="BNY3" s="1259"/>
      <c r="BNZ3" s="1259"/>
      <c r="BOA3" s="1259"/>
      <c r="BOB3" s="1259"/>
      <c r="BOC3" s="1259"/>
      <c r="BOD3" s="1259"/>
      <c r="BOE3" s="1259"/>
      <c r="BOF3" s="1259"/>
      <c r="BOG3" s="1259"/>
      <c r="BOH3" s="1259"/>
      <c r="BOI3" s="1259"/>
      <c r="BOJ3" s="1259"/>
      <c r="BOK3" s="1259"/>
      <c r="BOL3" s="1259"/>
      <c r="BOM3" s="1259"/>
      <c r="BON3" s="1259"/>
      <c r="BOO3" s="1259"/>
      <c r="BOP3" s="1259"/>
      <c r="BOQ3" s="1259"/>
      <c r="BOR3" s="1259"/>
      <c r="BOS3" s="1259"/>
      <c r="BOT3" s="1259"/>
      <c r="BOU3" s="1259"/>
      <c r="BOV3" s="1259"/>
      <c r="BOW3" s="1259"/>
      <c r="BOX3" s="1259"/>
      <c r="BOY3" s="1259"/>
      <c r="BOZ3" s="1259"/>
      <c r="BPA3" s="1259"/>
      <c r="BPB3" s="1259"/>
      <c r="BPC3" s="1259"/>
      <c r="BPD3" s="1259"/>
      <c r="BPE3" s="1259"/>
      <c r="BPF3" s="1259"/>
      <c r="BPG3" s="1259"/>
      <c r="BPH3" s="1259"/>
      <c r="BPI3" s="1259"/>
      <c r="BPJ3" s="1259"/>
      <c r="BPK3" s="1259"/>
      <c r="BPL3" s="1259"/>
      <c r="BPM3" s="1259"/>
      <c r="BPN3" s="1259"/>
      <c r="BPO3" s="1259"/>
      <c r="BPP3" s="1259"/>
      <c r="BPQ3" s="1259"/>
      <c r="BPR3" s="1259"/>
      <c r="BPS3" s="1259"/>
      <c r="BPT3" s="1259"/>
      <c r="BPU3" s="1259"/>
      <c r="BPV3" s="1259"/>
      <c r="BPW3" s="1259"/>
      <c r="BPX3" s="1259"/>
      <c r="BPY3" s="1259"/>
      <c r="BPZ3" s="1259"/>
      <c r="BQA3" s="1259"/>
      <c r="BQB3" s="1259"/>
      <c r="BQC3" s="1259"/>
      <c r="BQD3" s="1259"/>
      <c r="BQE3" s="1259"/>
      <c r="BQF3" s="1259"/>
      <c r="BQG3" s="1259"/>
      <c r="BQH3" s="1259"/>
      <c r="BQI3" s="1259"/>
      <c r="BQJ3" s="1259"/>
      <c r="BQK3" s="1259"/>
      <c r="BQL3" s="1259"/>
      <c r="BQM3" s="1259"/>
      <c r="BQN3" s="1259"/>
      <c r="BQO3" s="1259"/>
      <c r="BQP3" s="1259"/>
      <c r="BQQ3" s="1259"/>
      <c r="BQR3" s="1259"/>
      <c r="BQS3" s="1259"/>
      <c r="BQT3" s="1259"/>
      <c r="BQU3" s="1259"/>
      <c r="BQV3" s="1259"/>
      <c r="BQW3" s="1259"/>
      <c r="BQX3" s="1259"/>
      <c r="BQY3" s="1259"/>
      <c r="BQZ3" s="1259"/>
      <c r="BRA3" s="1259"/>
      <c r="BRB3" s="1259"/>
      <c r="BRC3" s="1259"/>
      <c r="BRD3" s="1259"/>
      <c r="BRE3" s="1259"/>
      <c r="BRF3" s="1259"/>
      <c r="BRG3" s="1259"/>
      <c r="BRH3" s="1259"/>
      <c r="BRI3" s="1259"/>
      <c r="BRJ3" s="1259"/>
      <c r="BRK3" s="1259"/>
      <c r="BRL3" s="1259"/>
      <c r="BRM3" s="1259"/>
      <c r="BRN3" s="1259"/>
      <c r="BRO3" s="1259"/>
      <c r="BRP3" s="1259"/>
      <c r="BRQ3" s="1259"/>
      <c r="BRR3" s="1259"/>
      <c r="BRS3" s="1259"/>
      <c r="BRT3" s="1259"/>
      <c r="BRU3" s="1259"/>
      <c r="BRV3" s="1259"/>
      <c r="BRW3" s="1259"/>
      <c r="BRX3" s="1259"/>
      <c r="BRY3" s="1259"/>
      <c r="BRZ3" s="1259"/>
      <c r="BSA3" s="1259"/>
      <c r="BSB3" s="1259"/>
      <c r="BSC3" s="1259"/>
      <c r="BSD3" s="1259"/>
      <c r="BSE3" s="1259"/>
      <c r="BSF3" s="1259"/>
      <c r="BSG3" s="1259"/>
      <c r="BSH3" s="1259"/>
      <c r="BSI3" s="1259"/>
      <c r="BSJ3" s="1259"/>
      <c r="BSK3" s="1259"/>
      <c r="BSL3" s="1259"/>
      <c r="BSM3" s="1259"/>
      <c r="BSN3" s="1259"/>
      <c r="BSO3" s="1259"/>
      <c r="BSP3" s="1259"/>
      <c r="BSQ3" s="1259"/>
      <c r="BSR3" s="1259"/>
      <c r="BSS3" s="1259"/>
      <c r="BST3" s="1259"/>
      <c r="BSU3" s="1259"/>
      <c r="BSV3" s="1259"/>
      <c r="BSW3" s="1259"/>
      <c r="BSX3" s="1259"/>
      <c r="BSY3" s="1259"/>
      <c r="BSZ3" s="1259"/>
      <c r="BTA3" s="1259"/>
      <c r="BTB3" s="1259"/>
      <c r="BTC3" s="1259"/>
      <c r="BTD3" s="1259"/>
      <c r="BTE3" s="1259"/>
      <c r="BTF3" s="1259"/>
      <c r="BTG3" s="1259"/>
      <c r="BTH3" s="1259"/>
      <c r="BTI3" s="1259"/>
      <c r="BTJ3" s="1259"/>
      <c r="BTK3" s="1259"/>
      <c r="BTL3" s="1259"/>
      <c r="BTM3" s="1259"/>
      <c r="BTN3" s="1259"/>
      <c r="BTO3" s="1259"/>
      <c r="BTP3" s="1259"/>
      <c r="BTQ3" s="1259"/>
      <c r="BTR3" s="1259"/>
      <c r="BTS3" s="1259"/>
      <c r="BTT3" s="1259"/>
      <c r="BTU3" s="1259"/>
      <c r="BTV3" s="1259"/>
      <c r="BTW3" s="1259"/>
      <c r="BTX3" s="1259"/>
      <c r="BTY3" s="1259"/>
      <c r="BTZ3" s="1259"/>
      <c r="BUA3" s="1259"/>
      <c r="BUB3" s="1259"/>
      <c r="BUC3" s="1259"/>
      <c r="BUD3" s="1259"/>
      <c r="BUE3" s="1259"/>
      <c r="BUF3" s="1259"/>
      <c r="BUG3" s="1259"/>
      <c r="BUH3" s="1259"/>
      <c r="BUI3" s="1259"/>
      <c r="BUJ3" s="1259"/>
      <c r="BUK3" s="1259"/>
      <c r="BUL3" s="1259"/>
      <c r="BUM3" s="1259"/>
      <c r="BUN3" s="1259"/>
      <c r="BUO3" s="1259"/>
      <c r="BUP3" s="1259"/>
      <c r="BUQ3" s="1259"/>
      <c r="BUR3" s="1259"/>
      <c r="BUS3" s="1259"/>
      <c r="BUT3" s="1259"/>
      <c r="BUU3" s="1259"/>
      <c r="BUV3" s="1259"/>
      <c r="BUW3" s="1259"/>
      <c r="BUX3" s="1259"/>
      <c r="BUY3" s="1259"/>
      <c r="BUZ3" s="1259"/>
      <c r="BVA3" s="1259"/>
      <c r="BVB3" s="1259"/>
      <c r="BVC3" s="1259"/>
      <c r="BVD3" s="1259"/>
      <c r="BVE3" s="1259"/>
      <c r="BVF3" s="1259"/>
      <c r="BVG3" s="1259"/>
      <c r="BVH3" s="1259"/>
      <c r="BVI3" s="1259"/>
      <c r="BVJ3" s="1259"/>
      <c r="BVK3" s="1259"/>
      <c r="BVL3" s="1259"/>
      <c r="BVM3" s="1259"/>
      <c r="BVN3" s="1259"/>
      <c r="BVO3" s="1259"/>
      <c r="BVP3" s="1259"/>
      <c r="BVQ3" s="1259"/>
      <c r="BVR3" s="1259"/>
      <c r="BVS3" s="1259"/>
      <c r="BVT3" s="1259"/>
      <c r="BVU3" s="1259"/>
      <c r="BVV3" s="1259"/>
      <c r="BVW3" s="1259"/>
      <c r="BVX3" s="1259"/>
      <c r="BVY3" s="1259"/>
      <c r="BVZ3" s="1259"/>
      <c r="BWA3" s="1259"/>
      <c r="BWB3" s="1259"/>
      <c r="BWC3" s="1259"/>
      <c r="BWD3" s="1259"/>
      <c r="BWE3" s="1259"/>
      <c r="BWF3" s="1259"/>
      <c r="BWG3" s="1259"/>
      <c r="BWH3" s="1259"/>
      <c r="BWI3" s="1259"/>
      <c r="BWJ3" s="1259"/>
      <c r="BWK3" s="1259"/>
      <c r="BWL3" s="1259"/>
      <c r="BWM3" s="1259"/>
      <c r="BWN3" s="1259"/>
      <c r="BWO3" s="1259"/>
      <c r="BWP3" s="1259"/>
      <c r="BWQ3" s="1259"/>
      <c r="BWR3" s="1259"/>
      <c r="BWS3" s="1259"/>
      <c r="BWT3" s="1259"/>
      <c r="BWU3" s="1259"/>
      <c r="BWV3" s="1259"/>
      <c r="BWW3" s="1259"/>
      <c r="BWX3" s="1259"/>
      <c r="BWY3" s="1259"/>
      <c r="BWZ3" s="1259"/>
      <c r="BXA3" s="1259"/>
      <c r="BXB3" s="1259"/>
      <c r="BXC3" s="1259"/>
      <c r="BXD3" s="1259"/>
      <c r="BXE3" s="1259"/>
      <c r="BXF3" s="1259"/>
      <c r="BXG3" s="1259"/>
      <c r="BXH3" s="1259"/>
      <c r="BXI3" s="1259"/>
      <c r="BXJ3" s="1259"/>
      <c r="BXK3" s="1259"/>
      <c r="BXL3" s="1259"/>
      <c r="BXM3" s="1259"/>
      <c r="BXN3" s="1259"/>
      <c r="BXO3" s="1259"/>
      <c r="BXP3" s="1259"/>
      <c r="BXQ3" s="1259"/>
      <c r="BXR3" s="1259"/>
      <c r="BXS3" s="1259"/>
      <c r="BXT3" s="1259"/>
      <c r="BXU3" s="1259"/>
      <c r="BXV3" s="1259"/>
      <c r="BXW3" s="1259"/>
      <c r="BXX3" s="1259"/>
      <c r="BXY3" s="1259"/>
      <c r="BXZ3" s="1259"/>
      <c r="BYA3" s="1259"/>
      <c r="BYB3" s="1259"/>
      <c r="BYC3" s="1259"/>
      <c r="BYD3" s="1259"/>
      <c r="BYE3" s="1259"/>
      <c r="BYF3" s="1259"/>
      <c r="BYG3" s="1259"/>
      <c r="BYH3" s="1259"/>
      <c r="BYI3" s="1259"/>
      <c r="BYJ3" s="1259"/>
      <c r="BYK3" s="1259"/>
      <c r="BYL3" s="1259"/>
      <c r="BYM3" s="1259"/>
      <c r="BYN3" s="1259"/>
      <c r="BYO3" s="1259"/>
      <c r="BYP3" s="1259"/>
      <c r="BYQ3" s="1259"/>
      <c r="BYR3" s="1259"/>
      <c r="BYS3" s="1259"/>
      <c r="BYT3" s="1259"/>
      <c r="BYU3" s="1259"/>
      <c r="BYV3" s="1259"/>
      <c r="BYW3" s="1259"/>
      <c r="BYX3" s="1259"/>
      <c r="BYY3" s="1259"/>
      <c r="BYZ3" s="1259"/>
      <c r="BZA3" s="1259"/>
      <c r="BZB3" s="1259"/>
      <c r="BZC3" s="1259"/>
      <c r="BZD3" s="1259"/>
      <c r="BZE3" s="1259"/>
      <c r="BZF3" s="1259"/>
      <c r="BZG3" s="1259"/>
      <c r="BZH3" s="1259"/>
      <c r="BZI3" s="1259"/>
      <c r="BZJ3" s="1259"/>
      <c r="BZK3" s="1259"/>
      <c r="BZL3" s="1259"/>
      <c r="BZM3" s="1259"/>
      <c r="BZN3" s="1259"/>
      <c r="BZO3" s="1259"/>
      <c r="BZP3" s="1259"/>
      <c r="BZQ3" s="1259"/>
      <c r="BZR3" s="1259"/>
      <c r="BZS3" s="1259"/>
      <c r="BZT3" s="1259"/>
      <c r="BZU3" s="1259"/>
      <c r="BZV3" s="1259"/>
      <c r="BZW3" s="1259"/>
      <c r="BZX3" s="1259"/>
      <c r="BZY3" s="1259"/>
      <c r="BZZ3" s="1259"/>
      <c r="CAA3" s="1259"/>
      <c r="CAB3" s="1259"/>
      <c r="CAC3" s="1259"/>
      <c r="CAD3" s="1259"/>
      <c r="CAE3" s="1259"/>
      <c r="CAF3" s="1259"/>
      <c r="CAG3" s="1259"/>
      <c r="CAH3" s="1259"/>
      <c r="CAI3" s="1259"/>
      <c r="CAJ3" s="1259"/>
      <c r="CAK3" s="1259"/>
      <c r="CAL3" s="1259"/>
      <c r="CAM3" s="1259"/>
      <c r="CAN3" s="1259"/>
      <c r="CAO3" s="1259"/>
      <c r="CAP3" s="1259"/>
      <c r="CAQ3" s="1259"/>
      <c r="CAR3" s="1259"/>
      <c r="CAS3" s="1259"/>
      <c r="CAT3" s="1259"/>
      <c r="CAU3" s="1259"/>
      <c r="CAV3" s="1259"/>
      <c r="CAW3" s="1259"/>
      <c r="CAX3" s="1259"/>
      <c r="CAY3" s="1259"/>
      <c r="CAZ3" s="1259"/>
      <c r="CBA3" s="1259"/>
      <c r="CBB3" s="1259"/>
      <c r="CBC3" s="1259"/>
      <c r="CBD3" s="1259"/>
      <c r="CBE3" s="1259"/>
      <c r="CBF3" s="1259"/>
      <c r="CBG3" s="1259"/>
      <c r="CBH3" s="1259"/>
      <c r="CBI3" s="1259"/>
      <c r="CBJ3" s="1259"/>
      <c r="CBK3" s="1259"/>
      <c r="CBL3" s="1259"/>
      <c r="CBM3" s="1259"/>
      <c r="CBN3" s="1259"/>
      <c r="CBO3" s="1259"/>
      <c r="CBP3" s="1259"/>
      <c r="CBQ3" s="1259"/>
      <c r="CBR3" s="1259"/>
      <c r="CBS3" s="1259"/>
      <c r="CBT3" s="1259"/>
      <c r="CBU3" s="1259"/>
      <c r="CBV3" s="1259"/>
      <c r="CBW3" s="1259"/>
      <c r="CBX3" s="1259"/>
      <c r="CBY3" s="1259"/>
      <c r="CBZ3" s="1259"/>
      <c r="CCA3" s="1259"/>
      <c r="CCB3" s="1259"/>
      <c r="CCC3" s="1259"/>
      <c r="CCD3" s="1259"/>
      <c r="CCE3" s="1259"/>
      <c r="CCF3" s="1259"/>
      <c r="CCG3" s="1259"/>
      <c r="CCH3" s="1259"/>
      <c r="CCI3" s="1259"/>
      <c r="CCJ3" s="1259"/>
      <c r="CCK3" s="1259"/>
      <c r="CCL3" s="1259"/>
      <c r="CCM3" s="1259"/>
      <c r="CCN3" s="1259"/>
      <c r="CCO3" s="1259"/>
      <c r="CCP3" s="1259"/>
      <c r="CCQ3" s="1259"/>
      <c r="CCR3" s="1259"/>
      <c r="CCS3" s="1259"/>
      <c r="CCT3" s="1259"/>
      <c r="CCU3" s="1259"/>
      <c r="CCV3" s="1259"/>
      <c r="CCW3" s="1259"/>
      <c r="CCX3" s="1259"/>
      <c r="CCY3" s="1259"/>
      <c r="CCZ3" s="1259"/>
      <c r="CDA3" s="1259"/>
      <c r="CDB3" s="1259"/>
      <c r="CDC3" s="1259"/>
      <c r="CDD3" s="1259"/>
      <c r="CDE3" s="1259"/>
      <c r="CDF3" s="1259"/>
      <c r="CDG3" s="1259"/>
      <c r="CDH3" s="1259"/>
      <c r="CDI3" s="1259"/>
      <c r="CDJ3" s="1259"/>
      <c r="CDK3" s="1259"/>
      <c r="CDL3" s="1259"/>
      <c r="CDM3" s="1259"/>
      <c r="CDN3" s="1259"/>
      <c r="CDO3" s="1259"/>
      <c r="CDP3" s="1259"/>
      <c r="CDQ3" s="1259"/>
      <c r="CDR3" s="1259"/>
      <c r="CDS3" s="1259"/>
      <c r="CDT3" s="1259"/>
      <c r="CDU3" s="1259"/>
      <c r="CDV3" s="1259"/>
      <c r="CDW3" s="1259"/>
      <c r="CDX3" s="1259"/>
      <c r="CDY3" s="1259"/>
      <c r="CDZ3" s="1259"/>
      <c r="CEA3" s="1259"/>
      <c r="CEB3" s="1259"/>
      <c r="CEC3" s="1259"/>
      <c r="CED3" s="1259"/>
      <c r="CEE3" s="1259"/>
      <c r="CEF3" s="1259"/>
      <c r="CEG3" s="1259"/>
      <c r="CEH3" s="1259"/>
      <c r="CEI3" s="1259"/>
      <c r="CEJ3" s="1259"/>
      <c r="CEK3" s="1259"/>
      <c r="CEL3" s="1259"/>
      <c r="CEM3" s="1259"/>
      <c r="CEN3" s="1259"/>
      <c r="CEO3" s="1259"/>
      <c r="CEP3" s="1259"/>
      <c r="CEQ3" s="1259"/>
      <c r="CER3" s="1259"/>
      <c r="CES3" s="1259"/>
      <c r="CET3" s="1259"/>
      <c r="CEU3" s="1259"/>
      <c r="CEV3" s="1259"/>
      <c r="CEW3" s="1259"/>
      <c r="CEX3" s="1259"/>
      <c r="CEY3" s="1259"/>
      <c r="CEZ3" s="1259"/>
      <c r="CFA3" s="1259"/>
      <c r="CFB3" s="1259"/>
      <c r="CFC3" s="1259"/>
      <c r="CFD3" s="1259"/>
      <c r="CFE3" s="1259"/>
      <c r="CFF3" s="1259"/>
      <c r="CFG3" s="1259"/>
      <c r="CFH3" s="1259"/>
      <c r="CFI3" s="1259"/>
      <c r="CFJ3" s="1259"/>
      <c r="CFK3" s="1259"/>
      <c r="CFL3" s="1259"/>
      <c r="CFM3" s="1259"/>
      <c r="CFN3" s="1259"/>
      <c r="CFO3" s="1259"/>
      <c r="CFP3" s="1259"/>
      <c r="CFQ3" s="1259"/>
      <c r="CFR3" s="1259"/>
      <c r="CFS3" s="1259"/>
      <c r="CFT3" s="1259"/>
      <c r="CFU3" s="1259"/>
      <c r="CFV3" s="1259"/>
      <c r="CFW3" s="1259"/>
      <c r="CFX3" s="1259"/>
      <c r="CFY3" s="1259"/>
      <c r="CFZ3" s="1259"/>
      <c r="CGA3" s="1259"/>
      <c r="CGB3" s="1259"/>
      <c r="CGC3" s="1259"/>
      <c r="CGD3" s="1259"/>
      <c r="CGE3" s="1259"/>
      <c r="CGF3" s="1259"/>
      <c r="CGG3" s="1259"/>
      <c r="CGH3" s="1259"/>
      <c r="CGI3" s="1259"/>
      <c r="CGJ3" s="1259"/>
      <c r="CGK3" s="1259"/>
      <c r="CGL3" s="1259"/>
      <c r="CGM3" s="1259"/>
      <c r="CGN3" s="1259"/>
      <c r="CGO3" s="1259"/>
      <c r="CGP3" s="1259"/>
      <c r="CGQ3" s="1259"/>
      <c r="CGR3" s="1259"/>
      <c r="CGS3" s="1259"/>
      <c r="CGT3" s="1259"/>
      <c r="CGU3" s="1259"/>
      <c r="CGV3" s="1259"/>
      <c r="CGW3" s="1259"/>
      <c r="CGX3" s="1259"/>
      <c r="CGY3" s="1259"/>
      <c r="CGZ3" s="1259"/>
      <c r="CHA3" s="1259"/>
      <c r="CHB3" s="1259"/>
      <c r="CHC3" s="1259"/>
      <c r="CHD3" s="1259"/>
      <c r="CHE3" s="1259"/>
      <c r="CHF3" s="1259"/>
      <c r="CHG3" s="1259"/>
      <c r="CHH3" s="1259"/>
      <c r="CHI3" s="1259"/>
      <c r="CHJ3" s="1259"/>
      <c r="CHK3" s="1259"/>
      <c r="CHL3" s="1259"/>
      <c r="CHM3" s="1259"/>
      <c r="CHN3" s="1259"/>
      <c r="CHO3" s="1259"/>
      <c r="CHP3" s="1259"/>
      <c r="CHQ3" s="1259"/>
      <c r="CHR3" s="1259"/>
      <c r="CHS3" s="1259"/>
      <c r="CHT3" s="1259"/>
      <c r="CHU3" s="1259"/>
      <c r="CHV3" s="1259"/>
      <c r="CHW3" s="1259"/>
      <c r="CHX3" s="1259"/>
      <c r="CHY3" s="1259"/>
      <c r="CHZ3" s="1259"/>
      <c r="CIA3" s="1259"/>
      <c r="CIB3" s="1259"/>
      <c r="CIC3" s="1259"/>
      <c r="CID3" s="1259"/>
      <c r="CIE3" s="1259"/>
      <c r="CIF3" s="1259"/>
      <c r="CIG3" s="1259"/>
      <c r="CIH3" s="1259"/>
      <c r="CII3" s="1259"/>
      <c r="CIJ3" s="1259"/>
      <c r="CIK3" s="1259"/>
      <c r="CIL3" s="1259"/>
      <c r="CIM3" s="1259"/>
      <c r="CIN3" s="1259"/>
      <c r="CIO3" s="1259"/>
      <c r="CIP3" s="1259"/>
      <c r="CIQ3" s="1259"/>
      <c r="CIR3" s="1259"/>
      <c r="CIS3" s="1259"/>
      <c r="CIT3" s="1259"/>
      <c r="CIU3" s="1259"/>
      <c r="CIV3" s="1259"/>
      <c r="CIW3" s="1259"/>
      <c r="CIX3" s="1259"/>
      <c r="CIY3" s="1259"/>
      <c r="CIZ3" s="1259"/>
      <c r="CJA3" s="1259"/>
      <c r="CJB3" s="1259"/>
      <c r="CJC3" s="1259"/>
      <c r="CJD3" s="1259"/>
      <c r="CJE3" s="1259"/>
      <c r="CJF3" s="1259"/>
      <c r="CJG3" s="1259"/>
      <c r="CJH3" s="1259"/>
      <c r="CJI3" s="1259"/>
      <c r="CJJ3" s="1259"/>
      <c r="CJK3" s="1259"/>
      <c r="CJL3" s="1259"/>
      <c r="CJM3" s="1259"/>
      <c r="CJN3" s="1259"/>
      <c r="CJO3" s="1259"/>
      <c r="CJP3" s="1259"/>
      <c r="CJQ3" s="1259"/>
      <c r="CJR3" s="1259"/>
      <c r="CJS3" s="1259"/>
      <c r="CJT3" s="1259"/>
      <c r="CJU3" s="1259"/>
      <c r="CJV3" s="1259"/>
      <c r="CJW3" s="1259"/>
      <c r="CJX3" s="1259"/>
      <c r="CJY3" s="1259"/>
      <c r="CJZ3" s="1259"/>
      <c r="CKA3" s="1259"/>
      <c r="CKB3" s="1259"/>
      <c r="CKC3" s="1259"/>
      <c r="CKD3" s="1259"/>
      <c r="CKE3" s="1259"/>
      <c r="CKF3" s="1259"/>
      <c r="CKG3" s="1259"/>
      <c r="CKH3" s="1259"/>
      <c r="CKI3" s="1259"/>
      <c r="CKJ3" s="1259"/>
      <c r="CKK3" s="1259"/>
      <c r="CKL3" s="1259"/>
      <c r="CKM3" s="1259"/>
      <c r="CKN3" s="1259"/>
      <c r="CKO3" s="1259"/>
      <c r="CKP3" s="1259"/>
      <c r="CKQ3" s="1259"/>
      <c r="CKR3" s="1259"/>
      <c r="CKS3" s="1259"/>
      <c r="CKT3" s="1259"/>
      <c r="CKU3" s="1259"/>
      <c r="CKV3" s="1259"/>
      <c r="CKW3" s="1259"/>
      <c r="CKX3" s="1259"/>
      <c r="CKY3" s="1259"/>
      <c r="CKZ3" s="1259"/>
      <c r="CLA3" s="1259"/>
      <c r="CLB3" s="1259"/>
      <c r="CLC3" s="1259"/>
      <c r="CLD3" s="1259"/>
      <c r="CLE3" s="1259"/>
      <c r="CLF3" s="1259"/>
      <c r="CLG3" s="1259"/>
      <c r="CLH3" s="1259"/>
      <c r="CLI3" s="1259"/>
      <c r="CLJ3" s="1259"/>
      <c r="CLK3" s="1259"/>
      <c r="CLL3" s="1259"/>
      <c r="CLM3" s="1259"/>
      <c r="CLN3" s="1259"/>
      <c r="CLO3" s="1259"/>
      <c r="CLP3" s="1259"/>
      <c r="CLQ3" s="1259"/>
      <c r="CLR3" s="1259"/>
      <c r="CLS3" s="1259"/>
      <c r="CLT3" s="1259"/>
      <c r="CLU3" s="1259"/>
      <c r="CLV3" s="1259"/>
      <c r="CLW3" s="1259"/>
      <c r="CLX3" s="1259"/>
      <c r="CLY3" s="1259"/>
      <c r="CLZ3" s="1259"/>
      <c r="CMA3" s="1259"/>
      <c r="CMB3" s="1259"/>
      <c r="CMC3" s="1259"/>
      <c r="CMD3" s="1259"/>
      <c r="CME3" s="1259"/>
      <c r="CMF3" s="1259"/>
      <c r="CMG3" s="1259"/>
      <c r="CMH3" s="1259"/>
      <c r="CMI3" s="1259"/>
      <c r="CMJ3" s="1259"/>
      <c r="CMK3" s="1259"/>
      <c r="CML3" s="1259"/>
      <c r="CMM3" s="1259"/>
      <c r="CMN3" s="1259"/>
      <c r="CMO3" s="1259"/>
      <c r="CMP3" s="1259"/>
      <c r="CMQ3" s="1259"/>
      <c r="CMR3" s="1259"/>
      <c r="CMS3" s="1259"/>
      <c r="CMT3" s="1259"/>
      <c r="CMU3" s="1259"/>
      <c r="CMV3" s="1259"/>
      <c r="CMW3" s="1259"/>
      <c r="CMX3" s="1259"/>
      <c r="CMY3" s="1259"/>
      <c r="CMZ3" s="1259"/>
      <c r="CNA3" s="1259"/>
      <c r="CNB3" s="1259"/>
      <c r="CNC3" s="1259"/>
      <c r="CND3" s="1259"/>
      <c r="CNE3" s="1259"/>
      <c r="CNF3" s="1259"/>
      <c r="CNG3" s="1259"/>
      <c r="CNH3" s="1259"/>
      <c r="CNI3" s="1259"/>
      <c r="CNJ3" s="1259"/>
      <c r="CNK3" s="1259"/>
      <c r="CNL3" s="1259"/>
      <c r="CNM3" s="1259"/>
      <c r="CNN3" s="1259"/>
      <c r="CNO3" s="1259"/>
      <c r="CNP3" s="1259"/>
      <c r="CNQ3" s="1259"/>
      <c r="CNR3" s="1259"/>
      <c r="CNS3" s="1259"/>
      <c r="CNT3" s="1259"/>
      <c r="CNU3" s="1259"/>
      <c r="CNV3" s="1259"/>
      <c r="CNW3" s="1259"/>
      <c r="CNX3" s="1259"/>
      <c r="CNY3" s="1259"/>
      <c r="CNZ3" s="1259"/>
      <c r="COA3" s="1259"/>
      <c r="COB3" s="1259"/>
      <c r="COC3" s="1259"/>
      <c r="COD3" s="1259"/>
      <c r="COE3" s="1259"/>
      <c r="COF3" s="1259"/>
      <c r="COG3" s="1259"/>
      <c r="COH3" s="1259"/>
      <c r="COI3" s="1259"/>
      <c r="COJ3" s="1259"/>
      <c r="COK3" s="1259"/>
      <c r="COL3" s="1259"/>
      <c r="COM3" s="1259"/>
      <c r="CON3" s="1259"/>
      <c r="COO3" s="1259"/>
      <c r="COP3" s="1259"/>
      <c r="COQ3" s="1259"/>
      <c r="COR3" s="1259"/>
      <c r="COS3" s="1259"/>
      <c r="COT3" s="1259"/>
      <c r="COU3" s="1259"/>
      <c r="COV3" s="1259"/>
      <c r="COW3" s="1259"/>
      <c r="COX3" s="1259"/>
      <c r="COY3" s="1259"/>
      <c r="COZ3" s="1259"/>
      <c r="CPA3" s="1259"/>
      <c r="CPB3" s="1259"/>
      <c r="CPC3" s="1259"/>
      <c r="CPD3" s="1259"/>
      <c r="CPE3" s="1259"/>
      <c r="CPF3" s="1259"/>
      <c r="CPG3" s="1259"/>
      <c r="CPH3" s="1259"/>
      <c r="CPI3" s="1259"/>
      <c r="CPJ3" s="1259"/>
      <c r="CPK3" s="1259"/>
      <c r="CPL3" s="1259"/>
      <c r="CPM3" s="1259"/>
      <c r="CPN3" s="1259"/>
      <c r="CPO3" s="1259"/>
      <c r="CPP3" s="1259"/>
      <c r="CPQ3" s="1259"/>
      <c r="CPR3" s="1259"/>
      <c r="CPS3" s="1259"/>
      <c r="CPT3" s="1259"/>
      <c r="CPU3" s="1259"/>
      <c r="CPV3" s="1259"/>
      <c r="CPW3" s="1259"/>
      <c r="CPX3" s="1259"/>
      <c r="CPY3" s="1259"/>
      <c r="CPZ3" s="1259"/>
      <c r="CQA3" s="1259"/>
      <c r="CQB3" s="1259"/>
      <c r="CQC3" s="1259"/>
      <c r="CQD3" s="1259"/>
      <c r="CQE3" s="1259"/>
      <c r="CQF3" s="1259"/>
      <c r="CQG3" s="1259"/>
      <c r="CQH3" s="1259"/>
      <c r="CQI3" s="1259"/>
      <c r="CQJ3" s="1259"/>
      <c r="CQK3" s="1259"/>
      <c r="CQL3" s="1259"/>
      <c r="CQM3" s="1259"/>
      <c r="CQN3" s="1259"/>
      <c r="CQO3" s="1259"/>
      <c r="CQP3" s="1259"/>
      <c r="CQQ3" s="1259"/>
      <c r="CQR3" s="1259"/>
      <c r="CQS3" s="1259"/>
      <c r="CQT3" s="1259"/>
      <c r="CQU3" s="1259"/>
      <c r="CQV3" s="1259"/>
      <c r="CQW3" s="1259"/>
      <c r="CQX3" s="1259"/>
      <c r="CQY3" s="1259"/>
      <c r="CQZ3" s="1259"/>
      <c r="CRA3" s="1259"/>
      <c r="CRB3" s="1259"/>
      <c r="CRC3" s="1259"/>
      <c r="CRD3" s="1259"/>
      <c r="CRE3" s="1259"/>
      <c r="CRF3" s="1259"/>
      <c r="CRG3" s="1259"/>
      <c r="CRH3" s="1259"/>
      <c r="CRI3" s="1259"/>
      <c r="CRJ3" s="1259"/>
      <c r="CRK3" s="1259"/>
      <c r="CRL3" s="1259"/>
      <c r="CRM3" s="1259"/>
      <c r="CRN3" s="1259"/>
      <c r="CRO3" s="1259"/>
      <c r="CRP3" s="1259"/>
      <c r="CRQ3" s="1259"/>
      <c r="CRR3" s="1259"/>
      <c r="CRS3" s="1259"/>
      <c r="CRT3" s="1259"/>
      <c r="CRU3" s="1259"/>
      <c r="CRV3" s="1259"/>
      <c r="CRW3" s="1259"/>
      <c r="CRX3" s="1259"/>
      <c r="CRY3" s="1259"/>
      <c r="CRZ3" s="1259"/>
      <c r="CSA3" s="1259"/>
      <c r="CSB3" s="1259"/>
      <c r="CSC3" s="1259"/>
      <c r="CSD3" s="1259"/>
      <c r="CSE3" s="1259"/>
      <c r="CSF3" s="1259"/>
      <c r="CSG3" s="1259"/>
      <c r="CSH3" s="1259"/>
      <c r="CSI3" s="1259"/>
      <c r="CSJ3" s="1259"/>
      <c r="CSK3" s="1259"/>
      <c r="CSL3" s="1259"/>
      <c r="CSM3" s="1259"/>
      <c r="CSN3" s="1259"/>
      <c r="CSO3" s="1259"/>
      <c r="CSP3" s="1259"/>
      <c r="CSQ3" s="1259"/>
      <c r="CSR3" s="1259"/>
      <c r="CSS3" s="1259"/>
      <c r="CST3" s="1259"/>
      <c r="CSU3" s="1259"/>
      <c r="CSV3" s="1259"/>
      <c r="CSW3" s="1259"/>
      <c r="CSX3" s="1259"/>
      <c r="CSY3" s="1259"/>
      <c r="CSZ3" s="1259"/>
      <c r="CTA3" s="1259"/>
      <c r="CTB3" s="1259"/>
      <c r="CTC3" s="1259"/>
      <c r="CTD3" s="1259"/>
      <c r="CTE3" s="1259"/>
      <c r="CTF3" s="1259"/>
      <c r="CTG3" s="1259"/>
      <c r="CTH3" s="1259"/>
      <c r="CTI3" s="1259"/>
      <c r="CTJ3" s="1259"/>
      <c r="CTK3" s="1259"/>
      <c r="CTL3" s="1259"/>
      <c r="CTM3" s="1259"/>
      <c r="CTN3" s="1259"/>
      <c r="CTO3" s="1259"/>
      <c r="CTP3" s="1259"/>
      <c r="CTQ3" s="1259"/>
      <c r="CTR3" s="1259"/>
      <c r="CTS3" s="1259"/>
      <c r="CTT3" s="1259"/>
      <c r="CTU3" s="1259"/>
      <c r="CTV3" s="1259"/>
      <c r="CTW3" s="1259"/>
      <c r="CTX3" s="1259"/>
      <c r="CTY3" s="1259"/>
      <c r="CTZ3" s="1259"/>
      <c r="CUA3" s="1259"/>
      <c r="CUB3" s="1259"/>
      <c r="CUC3" s="1259"/>
      <c r="CUD3" s="1259"/>
      <c r="CUE3" s="1259"/>
      <c r="CUF3" s="1259"/>
      <c r="CUG3" s="1259"/>
      <c r="CUH3" s="1259"/>
      <c r="CUI3" s="1259"/>
      <c r="CUJ3" s="1259"/>
      <c r="CUK3" s="1259"/>
      <c r="CUL3" s="1259"/>
      <c r="CUM3" s="1259"/>
      <c r="CUN3" s="1259"/>
      <c r="CUO3" s="1259"/>
      <c r="CUP3" s="1259"/>
      <c r="CUQ3" s="1259"/>
      <c r="CUR3" s="1259"/>
      <c r="CUS3" s="1259"/>
      <c r="CUT3" s="1259"/>
      <c r="CUU3" s="1259"/>
      <c r="CUV3" s="1259"/>
      <c r="CUW3" s="1259"/>
      <c r="CUX3" s="1259"/>
      <c r="CUY3" s="1259"/>
      <c r="CUZ3" s="1259"/>
      <c r="CVA3" s="1259"/>
      <c r="CVB3" s="1259"/>
      <c r="CVC3" s="1259"/>
      <c r="CVD3" s="1259"/>
      <c r="CVE3" s="1259"/>
      <c r="CVF3" s="1259"/>
      <c r="CVG3" s="1259"/>
      <c r="CVH3" s="1259"/>
      <c r="CVI3" s="1259"/>
      <c r="CVJ3" s="1259"/>
      <c r="CVK3" s="1259"/>
      <c r="CVL3" s="1259"/>
      <c r="CVM3" s="1259"/>
      <c r="CVN3" s="1259"/>
      <c r="CVO3" s="1259"/>
      <c r="CVP3" s="1259"/>
      <c r="CVQ3" s="1259"/>
      <c r="CVR3" s="1259"/>
      <c r="CVS3" s="1259"/>
      <c r="CVT3" s="1259"/>
      <c r="CVU3" s="1259"/>
      <c r="CVV3" s="1259"/>
      <c r="CVW3" s="1259"/>
      <c r="CVX3" s="1259"/>
      <c r="CVY3" s="1259"/>
      <c r="CVZ3" s="1259"/>
      <c r="CWA3" s="1259"/>
      <c r="CWB3" s="1259"/>
      <c r="CWC3" s="1259"/>
      <c r="CWD3" s="1259"/>
      <c r="CWE3" s="1259"/>
      <c r="CWF3" s="1259"/>
      <c r="CWG3" s="1259"/>
      <c r="CWH3" s="1259"/>
      <c r="CWI3" s="1259"/>
      <c r="CWJ3" s="1259"/>
      <c r="CWK3" s="1259"/>
      <c r="CWL3" s="1259"/>
      <c r="CWM3" s="1259"/>
      <c r="CWN3" s="1259"/>
      <c r="CWO3" s="1259"/>
      <c r="CWP3" s="1259"/>
      <c r="CWQ3" s="1259"/>
      <c r="CWR3" s="1259"/>
      <c r="CWS3" s="1259"/>
      <c r="CWT3" s="1259"/>
      <c r="CWU3" s="1259"/>
      <c r="CWV3" s="1259"/>
      <c r="CWW3" s="1259"/>
      <c r="CWX3" s="1259"/>
      <c r="CWY3" s="1259"/>
      <c r="CWZ3" s="1259"/>
      <c r="CXA3" s="1259"/>
      <c r="CXB3" s="1259"/>
      <c r="CXC3" s="1259"/>
      <c r="CXD3" s="1259"/>
      <c r="CXE3" s="1259"/>
      <c r="CXF3" s="1259"/>
      <c r="CXG3" s="1259"/>
      <c r="CXH3" s="1259"/>
      <c r="CXI3" s="1259"/>
      <c r="CXJ3" s="1259"/>
      <c r="CXK3" s="1259"/>
      <c r="CXL3" s="1259"/>
      <c r="CXM3" s="1259"/>
      <c r="CXN3" s="1259"/>
      <c r="CXO3" s="1259"/>
      <c r="CXP3" s="1259"/>
      <c r="CXQ3" s="1259"/>
      <c r="CXR3" s="1259"/>
      <c r="CXS3" s="1259"/>
      <c r="CXT3" s="1259"/>
      <c r="CXU3" s="1259"/>
      <c r="CXV3" s="1259"/>
      <c r="CXW3" s="1259"/>
      <c r="CXX3" s="1259"/>
      <c r="CXY3" s="1259"/>
      <c r="CXZ3" s="1259"/>
      <c r="CYA3" s="1259"/>
      <c r="CYB3" s="1259"/>
      <c r="CYC3" s="1259"/>
      <c r="CYD3" s="1259"/>
      <c r="CYE3" s="1259"/>
      <c r="CYF3" s="1259"/>
      <c r="CYG3" s="1259"/>
      <c r="CYH3" s="1259"/>
      <c r="CYI3" s="1259"/>
      <c r="CYJ3" s="1259"/>
      <c r="CYK3" s="1259"/>
      <c r="CYL3" s="1259"/>
      <c r="CYM3" s="1259"/>
      <c r="CYN3" s="1259"/>
      <c r="CYO3" s="1259"/>
      <c r="CYP3" s="1259"/>
      <c r="CYQ3" s="1259"/>
      <c r="CYR3" s="1259"/>
      <c r="CYS3" s="1259"/>
      <c r="CYT3" s="1259"/>
      <c r="CYU3" s="1259"/>
      <c r="CYV3" s="1259"/>
      <c r="CYW3" s="1259"/>
      <c r="CYX3" s="1259"/>
      <c r="CYY3" s="1259"/>
      <c r="CYZ3" s="1259"/>
      <c r="CZA3" s="1259"/>
      <c r="CZB3" s="1259"/>
      <c r="CZC3" s="1259"/>
      <c r="CZD3" s="1259"/>
      <c r="CZE3" s="1259"/>
      <c r="CZF3" s="1259"/>
      <c r="CZG3" s="1259"/>
      <c r="CZH3" s="1259"/>
      <c r="CZI3" s="1259"/>
      <c r="CZJ3" s="1259"/>
      <c r="CZK3" s="1259"/>
      <c r="CZL3" s="1259"/>
      <c r="CZM3" s="1259"/>
      <c r="CZN3" s="1259"/>
      <c r="CZO3" s="1259"/>
      <c r="CZP3" s="1259"/>
      <c r="CZQ3" s="1259"/>
      <c r="CZR3" s="1259"/>
      <c r="CZS3" s="1259"/>
      <c r="CZT3" s="1259"/>
      <c r="CZU3" s="1259"/>
      <c r="CZV3" s="1259"/>
      <c r="CZW3" s="1259"/>
      <c r="CZX3" s="1259"/>
      <c r="CZY3" s="1259"/>
      <c r="CZZ3" s="1259"/>
      <c r="DAA3" s="1259"/>
      <c r="DAB3" s="1259"/>
      <c r="DAC3" s="1259"/>
      <c r="DAD3" s="1259"/>
      <c r="DAE3" s="1259"/>
      <c r="DAF3" s="1259"/>
      <c r="DAG3" s="1259"/>
      <c r="DAH3" s="1259"/>
      <c r="DAI3" s="1259"/>
      <c r="DAJ3" s="1259"/>
      <c r="DAK3" s="1259"/>
      <c r="DAL3" s="1259"/>
      <c r="DAM3" s="1259"/>
      <c r="DAN3" s="1259"/>
      <c r="DAO3" s="1259"/>
      <c r="DAP3" s="1259"/>
      <c r="DAQ3" s="1259"/>
      <c r="DAR3" s="1259"/>
      <c r="DAS3" s="1259"/>
      <c r="DAT3" s="1259"/>
      <c r="DAU3" s="1259"/>
      <c r="DAV3" s="1259"/>
      <c r="DAW3" s="1259"/>
      <c r="DAX3" s="1259"/>
      <c r="DAY3" s="1259"/>
      <c r="DAZ3" s="1259"/>
      <c r="DBA3" s="1259"/>
      <c r="DBB3" s="1259"/>
      <c r="DBC3" s="1259"/>
      <c r="DBD3" s="1259"/>
      <c r="DBE3" s="1259"/>
      <c r="DBF3" s="1259"/>
      <c r="DBG3" s="1259"/>
      <c r="DBH3" s="1259"/>
      <c r="DBI3" s="1259"/>
      <c r="DBJ3" s="1259"/>
      <c r="DBK3" s="1259"/>
      <c r="DBL3" s="1259"/>
      <c r="DBM3" s="1259"/>
      <c r="DBN3" s="1259"/>
      <c r="DBO3" s="1259"/>
      <c r="DBP3" s="1259"/>
      <c r="DBQ3" s="1259"/>
      <c r="DBR3" s="1259"/>
      <c r="DBS3" s="1259"/>
      <c r="DBT3" s="1259"/>
      <c r="DBU3" s="1259"/>
      <c r="DBV3" s="1259"/>
      <c r="DBW3" s="1259"/>
      <c r="DBX3" s="1259"/>
      <c r="DBY3" s="1259"/>
      <c r="DBZ3" s="1259"/>
      <c r="DCA3" s="1259"/>
      <c r="DCB3" s="1259"/>
      <c r="DCC3" s="1259"/>
      <c r="DCD3" s="1259"/>
      <c r="DCE3" s="1259"/>
      <c r="DCF3" s="1259"/>
      <c r="DCG3" s="1259"/>
      <c r="DCH3" s="1259"/>
      <c r="DCI3" s="1259"/>
      <c r="DCJ3" s="1259"/>
      <c r="DCK3" s="1259"/>
      <c r="DCL3" s="1259"/>
      <c r="DCM3" s="1259"/>
      <c r="DCN3" s="1259"/>
      <c r="DCO3" s="1259"/>
      <c r="DCP3" s="1259"/>
      <c r="DCQ3" s="1259"/>
      <c r="DCR3" s="1259"/>
      <c r="DCS3" s="1259"/>
      <c r="DCT3" s="1259"/>
      <c r="DCU3" s="1259"/>
      <c r="DCV3" s="1259"/>
      <c r="DCW3" s="1259"/>
      <c r="DCX3" s="1259"/>
      <c r="DCY3" s="1259"/>
      <c r="DCZ3" s="1259"/>
      <c r="DDA3" s="1259"/>
      <c r="DDB3" s="1259"/>
      <c r="DDC3" s="1259"/>
      <c r="DDD3" s="1259"/>
      <c r="DDE3" s="1259"/>
      <c r="DDF3" s="1259"/>
      <c r="DDG3" s="1259"/>
      <c r="DDH3" s="1259"/>
      <c r="DDI3" s="1259"/>
      <c r="DDJ3" s="1259"/>
      <c r="DDK3" s="1259"/>
      <c r="DDL3" s="1259"/>
      <c r="DDM3" s="1259"/>
      <c r="DDN3" s="1259"/>
      <c r="DDO3" s="1259"/>
      <c r="DDP3" s="1259"/>
      <c r="DDQ3" s="1259"/>
      <c r="DDR3" s="1259"/>
      <c r="DDS3" s="1259"/>
      <c r="DDT3" s="1259"/>
      <c r="DDU3" s="1259"/>
      <c r="DDV3" s="1259"/>
      <c r="DDW3" s="1259"/>
      <c r="DDX3" s="1259"/>
      <c r="DDY3" s="1259"/>
      <c r="DDZ3" s="1259"/>
      <c r="DEA3" s="1259"/>
      <c r="DEB3" s="1259"/>
      <c r="DEC3" s="1259"/>
      <c r="DED3" s="1259"/>
      <c r="DEE3" s="1259"/>
      <c r="DEF3" s="1259"/>
      <c r="DEG3" s="1259"/>
      <c r="DEH3" s="1259"/>
      <c r="DEI3" s="1259"/>
      <c r="DEJ3" s="1259"/>
      <c r="DEK3" s="1259"/>
      <c r="DEL3" s="1259"/>
      <c r="DEM3" s="1259"/>
      <c r="DEN3" s="1259"/>
      <c r="DEO3" s="1259"/>
      <c r="DEP3" s="1259"/>
      <c r="DEQ3" s="1259"/>
      <c r="DER3" s="1259"/>
      <c r="DES3" s="1259"/>
      <c r="DET3" s="1259"/>
      <c r="DEU3" s="1259"/>
      <c r="DEV3" s="1259"/>
      <c r="DEW3" s="1259"/>
      <c r="DEX3" s="1259"/>
      <c r="DEY3" s="1259"/>
      <c r="DEZ3" s="1259"/>
      <c r="DFA3" s="1259"/>
      <c r="DFB3" s="1259"/>
      <c r="DFC3" s="1259"/>
      <c r="DFD3" s="1259"/>
      <c r="DFE3" s="1259"/>
      <c r="DFF3" s="1259"/>
      <c r="DFG3" s="1259"/>
      <c r="DFH3" s="1259"/>
      <c r="DFI3" s="1259"/>
      <c r="DFJ3" s="1259"/>
      <c r="DFK3" s="1259"/>
      <c r="DFL3" s="1259"/>
      <c r="DFM3" s="1259"/>
      <c r="DFN3" s="1259"/>
      <c r="DFO3" s="1259"/>
      <c r="DFP3" s="1259"/>
      <c r="DFQ3" s="1259"/>
      <c r="DFR3" s="1259"/>
      <c r="DFS3" s="1259"/>
      <c r="DFT3" s="1259"/>
      <c r="DFU3" s="1259"/>
      <c r="DFV3" s="1259"/>
      <c r="DFW3" s="1259"/>
      <c r="DFX3" s="1259"/>
      <c r="DFY3" s="1259"/>
      <c r="DFZ3" s="1259"/>
      <c r="DGA3" s="1259"/>
      <c r="DGB3" s="1259"/>
      <c r="DGC3" s="1259"/>
      <c r="DGD3" s="1259"/>
      <c r="DGE3" s="1259"/>
      <c r="DGF3" s="1259"/>
      <c r="DGG3" s="1259"/>
      <c r="DGH3" s="1259"/>
      <c r="DGI3" s="1259"/>
      <c r="DGJ3" s="1259"/>
      <c r="DGK3" s="1259"/>
      <c r="DGL3" s="1259"/>
      <c r="DGM3" s="1259"/>
      <c r="DGN3" s="1259"/>
      <c r="DGO3" s="1259"/>
      <c r="DGP3" s="1259"/>
      <c r="DGQ3" s="1259"/>
      <c r="DGR3" s="1259"/>
      <c r="DGS3" s="1259"/>
      <c r="DGT3" s="1259"/>
      <c r="DGU3" s="1259"/>
      <c r="DGV3" s="1259"/>
      <c r="DGW3" s="1259"/>
      <c r="DGX3" s="1259"/>
      <c r="DGY3" s="1259"/>
      <c r="DGZ3" s="1259"/>
      <c r="DHA3" s="1259"/>
      <c r="DHB3" s="1259"/>
      <c r="DHC3" s="1259"/>
      <c r="DHD3" s="1259"/>
      <c r="DHE3" s="1259"/>
      <c r="DHF3" s="1259"/>
      <c r="DHG3" s="1259"/>
      <c r="DHH3" s="1259"/>
      <c r="DHI3" s="1259"/>
      <c r="DHJ3" s="1259"/>
      <c r="DHK3" s="1259"/>
      <c r="DHL3" s="1259"/>
      <c r="DHM3" s="1259"/>
      <c r="DHN3" s="1259"/>
      <c r="DHO3" s="1259"/>
      <c r="DHP3" s="1259"/>
      <c r="DHQ3" s="1259"/>
      <c r="DHR3" s="1259"/>
      <c r="DHS3" s="1259"/>
      <c r="DHT3" s="1259"/>
      <c r="DHU3" s="1259"/>
      <c r="DHV3" s="1259"/>
      <c r="DHW3" s="1259"/>
      <c r="DHX3" s="1259"/>
      <c r="DHY3" s="1259"/>
      <c r="DHZ3" s="1259"/>
      <c r="DIA3" s="1259"/>
      <c r="DIB3" s="1259"/>
      <c r="DIC3" s="1259"/>
      <c r="DID3" s="1259"/>
      <c r="DIE3" s="1259"/>
      <c r="DIF3" s="1259"/>
      <c r="DIG3" s="1259"/>
      <c r="DIH3" s="1259"/>
      <c r="DII3" s="1259"/>
      <c r="DIJ3" s="1259"/>
      <c r="DIK3" s="1259"/>
      <c r="DIL3" s="1259"/>
      <c r="DIM3" s="1259"/>
      <c r="DIN3" s="1259"/>
      <c r="DIO3" s="1259"/>
      <c r="DIP3" s="1259"/>
      <c r="DIQ3" s="1259"/>
      <c r="DIR3" s="1259"/>
      <c r="DIS3" s="1259"/>
      <c r="DIT3" s="1259"/>
      <c r="DIU3" s="1259"/>
      <c r="DIV3" s="1259"/>
      <c r="DIW3" s="1259"/>
      <c r="DIX3" s="1259"/>
      <c r="DIY3" s="1259"/>
      <c r="DIZ3" s="1259"/>
      <c r="DJA3" s="1259"/>
      <c r="DJB3" s="1259"/>
      <c r="DJC3" s="1259"/>
      <c r="DJD3" s="1259"/>
      <c r="DJE3" s="1259"/>
      <c r="DJF3" s="1259"/>
      <c r="DJG3" s="1259"/>
      <c r="DJH3" s="1259"/>
      <c r="DJI3" s="1259"/>
      <c r="DJJ3" s="1259"/>
      <c r="DJK3" s="1259"/>
      <c r="DJL3" s="1259"/>
      <c r="DJM3" s="1259"/>
      <c r="DJN3" s="1259"/>
      <c r="DJO3" s="1259"/>
      <c r="DJP3" s="1259"/>
      <c r="DJQ3" s="1259"/>
      <c r="DJR3" s="1259"/>
      <c r="DJS3" s="1259"/>
      <c r="DJT3" s="1259"/>
      <c r="DJU3" s="1259"/>
      <c r="DJV3" s="1259"/>
      <c r="DJW3" s="1259"/>
      <c r="DJX3" s="1259"/>
      <c r="DJY3" s="1259"/>
      <c r="DJZ3" s="1259"/>
      <c r="DKA3" s="1259"/>
      <c r="DKB3" s="1259"/>
      <c r="DKC3" s="1259"/>
      <c r="DKD3" s="1259"/>
      <c r="DKE3" s="1259"/>
      <c r="DKF3" s="1259"/>
      <c r="DKG3" s="1259"/>
      <c r="DKH3" s="1259"/>
      <c r="DKI3" s="1259"/>
      <c r="DKJ3" s="1259"/>
      <c r="DKK3" s="1259"/>
      <c r="DKL3" s="1259"/>
      <c r="DKM3" s="1259"/>
      <c r="DKN3" s="1259"/>
      <c r="DKO3" s="1259"/>
      <c r="DKP3" s="1259"/>
      <c r="DKQ3" s="1259"/>
      <c r="DKR3" s="1259"/>
      <c r="DKS3" s="1259"/>
      <c r="DKT3" s="1259"/>
      <c r="DKU3" s="1259"/>
      <c r="DKV3" s="1259"/>
      <c r="DKW3" s="1259"/>
      <c r="DKX3" s="1259"/>
      <c r="DKY3" s="1259"/>
      <c r="DKZ3" s="1259"/>
      <c r="DLA3" s="1259"/>
      <c r="DLB3" s="1259"/>
      <c r="DLC3" s="1259"/>
      <c r="DLD3" s="1259"/>
      <c r="DLE3" s="1259"/>
      <c r="DLF3" s="1259"/>
      <c r="DLG3" s="1259"/>
      <c r="DLH3" s="1259"/>
      <c r="DLI3" s="1259"/>
      <c r="DLJ3" s="1259"/>
      <c r="DLK3" s="1259"/>
      <c r="DLL3" s="1259"/>
      <c r="DLM3" s="1259"/>
      <c r="DLN3" s="1259"/>
      <c r="DLO3" s="1259"/>
      <c r="DLP3" s="1259"/>
      <c r="DLQ3" s="1259"/>
      <c r="DLR3" s="1259"/>
      <c r="DLS3" s="1259"/>
      <c r="DLT3" s="1259"/>
      <c r="DLU3" s="1259"/>
      <c r="DLV3" s="1259"/>
      <c r="DLW3" s="1259"/>
      <c r="DLX3" s="1259"/>
      <c r="DLY3" s="1259"/>
      <c r="DLZ3" s="1259"/>
      <c r="DMA3" s="1259"/>
      <c r="DMB3" s="1259"/>
      <c r="DMC3" s="1259"/>
      <c r="DMD3" s="1259"/>
      <c r="DME3" s="1259"/>
      <c r="DMF3" s="1259"/>
      <c r="DMG3" s="1259"/>
      <c r="DMH3" s="1259"/>
      <c r="DMI3" s="1259"/>
      <c r="DMJ3" s="1259"/>
      <c r="DMK3" s="1259"/>
      <c r="DML3" s="1259"/>
      <c r="DMM3" s="1259"/>
      <c r="DMN3" s="1259"/>
      <c r="DMO3" s="1259"/>
      <c r="DMP3" s="1259"/>
      <c r="DMQ3" s="1259"/>
      <c r="DMR3" s="1259"/>
      <c r="DMS3" s="1259"/>
      <c r="DMT3" s="1259"/>
      <c r="DMU3" s="1259"/>
      <c r="DMV3" s="1259"/>
      <c r="DMW3" s="1259"/>
      <c r="DMX3" s="1259"/>
      <c r="DMY3" s="1259"/>
      <c r="DMZ3" s="1259"/>
      <c r="DNA3" s="1259"/>
      <c r="DNB3" s="1259"/>
      <c r="DNC3" s="1259"/>
      <c r="DND3" s="1259"/>
      <c r="DNE3" s="1259"/>
      <c r="DNF3" s="1259"/>
      <c r="DNG3" s="1259"/>
      <c r="DNH3" s="1259"/>
      <c r="DNI3" s="1259"/>
      <c r="DNJ3" s="1259"/>
      <c r="DNK3" s="1259"/>
      <c r="DNL3" s="1259"/>
      <c r="DNM3" s="1259"/>
      <c r="DNN3" s="1259"/>
      <c r="DNO3" s="1259"/>
      <c r="DNP3" s="1259"/>
      <c r="DNQ3" s="1259"/>
      <c r="DNR3" s="1259"/>
      <c r="DNS3" s="1259"/>
      <c r="DNT3" s="1259"/>
      <c r="DNU3" s="1259"/>
      <c r="DNV3" s="1259"/>
      <c r="DNW3" s="1259"/>
      <c r="DNX3" s="1259"/>
      <c r="DNY3" s="1259"/>
      <c r="DNZ3" s="1259"/>
      <c r="DOA3" s="1259"/>
      <c r="DOB3" s="1259"/>
      <c r="DOC3" s="1259"/>
      <c r="DOD3" s="1259"/>
      <c r="DOE3" s="1259"/>
      <c r="DOF3" s="1259"/>
      <c r="DOG3" s="1259"/>
      <c r="DOH3" s="1259"/>
      <c r="DOI3" s="1259"/>
      <c r="DOJ3" s="1259"/>
      <c r="DOK3" s="1259"/>
      <c r="DOL3" s="1259"/>
      <c r="DOM3" s="1259"/>
      <c r="DON3" s="1259"/>
      <c r="DOO3" s="1259"/>
      <c r="DOP3" s="1259"/>
      <c r="DOQ3" s="1259"/>
      <c r="DOR3" s="1259"/>
      <c r="DOS3" s="1259"/>
      <c r="DOT3" s="1259"/>
      <c r="DOU3" s="1259"/>
      <c r="DOV3" s="1259"/>
      <c r="DOW3" s="1259"/>
      <c r="DOX3" s="1259"/>
      <c r="DOY3" s="1259"/>
      <c r="DOZ3" s="1259"/>
      <c r="DPA3" s="1259"/>
      <c r="DPB3" s="1259"/>
      <c r="DPC3" s="1259"/>
      <c r="DPD3" s="1259"/>
      <c r="DPE3" s="1259"/>
      <c r="DPF3" s="1259"/>
      <c r="DPG3" s="1259"/>
      <c r="DPH3" s="1259"/>
      <c r="DPI3" s="1259"/>
      <c r="DPJ3" s="1259"/>
      <c r="DPK3" s="1259"/>
      <c r="DPL3" s="1259"/>
      <c r="DPM3" s="1259"/>
      <c r="DPN3" s="1259"/>
      <c r="DPO3" s="1259"/>
      <c r="DPP3" s="1259"/>
      <c r="DPQ3" s="1259"/>
      <c r="DPR3" s="1259"/>
      <c r="DPS3" s="1259"/>
      <c r="DPT3" s="1259"/>
      <c r="DPU3" s="1259"/>
      <c r="DPV3" s="1259"/>
      <c r="DPW3" s="1259"/>
      <c r="DPX3" s="1259"/>
      <c r="DPY3" s="1259"/>
      <c r="DPZ3" s="1259"/>
      <c r="DQA3" s="1259"/>
      <c r="DQB3" s="1259"/>
      <c r="DQC3" s="1259"/>
      <c r="DQD3" s="1259"/>
      <c r="DQE3" s="1259"/>
      <c r="DQF3" s="1259"/>
      <c r="DQG3" s="1259"/>
      <c r="DQH3" s="1259"/>
      <c r="DQI3" s="1259"/>
      <c r="DQJ3" s="1259"/>
      <c r="DQK3" s="1259"/>
      <c r="DQL3" s="1259"/>
      <c r="DQM3" s="1259"/>
      <c r="DQN3" s="1259"/>
      <c r="DQO3" s="1259"/>
      <c r="DQP3" s="1259"/>
      <c r="DQQ3" s="1259"/>
      <c r="DQR3" s="1259"/>
      <c r="DQS3" s="1259"/>
      <c r="DQT3" s="1259"/>
      <c r="DQU3" s="1259"/>
      <c r="DQV3" s="1259"/>
      <c r="DQW3" s="1259"/>
      <c r="DQX3" s="1259"/>
      <c r="DQY3" s="1259"/>
      <c r="DQZ3" s="1259"/>
      <c r="DRA3" s="1259"/>
      <c r="DRB3" s="1259"/>
      <c r="DRC3" s="1259"/>
      <c r="DRD3" s="1259"/>
      <c r="DRE3" s="1259"/>
      <c r="DRF3" s="1259"/>
      <c r="DRG3" s="1259"/>
      <c r="DRH3" s="1259"/>
      <c r="DRI3" s="1259"/>
      <c r="DRJ3" s="1259"/>
      <c r="DRK3" s="1259"/>
      <c r="DRL3" s="1259"/>
      <c r="DRM3" s="1259"/>
      <c r="DRN3" s="1259"/>
      <c r="DRO3" s="1259"/>
      <c r="DRP3" s="1259"/>
      <c r="DRQ3" s="1259"/>
      <c r="DRR3" s="1259"/>
      <c r="DRS3" s="1259"/>
      <c r="DRT3" s="1259"/>
      <c r="DRU3" s="1259"/>
      <c r="DRV3" s="1259"/>
      <c r="DRW3" s="1259"/>
      <c r="DRX3" s="1259"/>
      <c r="DRY3" s="1259"/>
      <c r="DRZ3" s="1259"/>
      <c r="DSA3" s="1259"/>
      <c r="DSB3" s="1259"/>
      <c r="DSC3" s="1259"/>
      <c r="DSD3" s="1259"/>
      <c r="DSE3" s="1259"/>
      <c r="DSF3" s="1259"/>
      <c r="DSG3" s="1259"/>
      <c r="DSH3" s="1259"/>
      <c r="DSI3" s="1259"/>
      <c r="DSJ3" s="1259"/>
      <c r="DSK3" s="1259"/>
      <c r="DSL3" s="1259"/>
      <c r="DSM3" s="1259"/>
      <c r="DSN3" s="1259"/>
      <c r="DSO3" s="1259"/>
      <c r="DSP3" s="1259"/>
      <c r="DSQ3" s="1259"/>
      <c r="DSR3" s="1259"/>
      <c r="DSS3" s="1259"/>
      <c r="DST3" s="1259"/>
      <c r="DSU3" s="1259"/>
      <c r="DSV3" s="1259"/>
      <c r="DSW3" s="1259"/>
      <c r="DSX3" s="1259"/>
      <c r="DSY3" s="1259"/>
      <c r="DSZ3" s="1259"/>
      <c r="DTA3" s="1259"/>
      <c r="DTB3" s="1259"/>
      <c r="DTC3" s="1259"/>
      <c r="DTD3" s="1259"/>
      <c r="DTE3" s="1259"/>
      <c r="DTF3" s="1259"/>
      <c r="DTG3" s="1259"/>
      <c r="DTH3" s="1259"/>
      <c r="DTI3" s="1259"/>
      <c r="DTJ3" s="1259"/>
      <c r="DTK3" s="1259"/>
      <c r="DTL3" s="1259"/>
      <c r="DTM3" s="1259"/>
      <c r="DTN3" s="1259"/>
      <c r="DTO3" s="1259"/>
      <c r="DTP3" s="1259"/>
      <c r="DTQ3" s="1259"/>
      <c r="DTR3" s="1259"/>
      <c r="DTS3" s="1259"/>
      <c r="DTT3" s="1259"/>
      <c r="DTU3" s="1259"/>
      <c r="DTV3" s="1259"/>
      <c r="DTW3" s="1259"/>
      <c r="DTX3" s="1259"/>
      <c r="DTY3" s="1259"/>
      <c r="DTZ3" s="1259"/>
      <c r="DUA3" s="1259"/>
      <c r="DUB3" s="1259"/>
      <c r="DUC3" s="1259"/>
      <c r="DUD3" s="1259"/>
      <c r="DUE3" s="1259"/>
      <c r="DUF3" s="1259"/>
      <c r="DUG3" s="1259"/>
      <c r="DUH3" s="1259"/>
      <c r="DUI3" s="1259"/>
      <c r="DUJ3" s="1259"/>
      <c r="DUK3" s="1259"/>
      <c r="DUL3" s="1259"/>
      <c r="DUM3" s="1259"/>
      <c r="DUN3" s="1259"/>
      <c r="DUO3" s="1259"/>
      <c r="DUP3" s="1259"/>
      <c r="DUQ3" s="1259"/>
      <c r="DUR3" s="1259"/>
      <c r="DUS3" s="1259"/>
      <c r="DUT3" s="1259"/>
      <c r="DUU3" s="1259"/>
      <c r="DUV3" s="1259"/>
      <c r="DUW3" s="1259"/>
      <c r="DUX3" s="1259"/>
      <c r="DUY3" s="1259"/>
      <c r="DUZ3" s="1259"/>
      <c r="DVA3" s="1259"/>
      <c r="DVB3" s="1259"/>
      <c r="DVC3" s="1259"/>
      <c r="DVD3" s="1259"/>
      <c r="DVE3" s="1259"/>
      <c r="DVF3" s="1259"/>
      <c r="DVG3" s="1259"/>
      <c r="DVH3" s="1259"/>
      <c r="DVI3" s="1259"/>
      <c r="DVJ3" s="1259"/>
      <c r="DVK3" s="1259"/>
      <c r="DVL3" s="1259"/>
      <c r="DVM3" s="1259"/>
      <c r="DVN3" s="1259"/>
      <c r="DVO3" s="1259"/>
      <c r="DVP3" s="1259"/>
      <c r="DVQ3" s="1259"/>
      <c r="DVR3" s="1259"/>
      <c r="DVS3" s="1259"/>
      <c r="DVT3" s="1259"/>
      <c r="DVU3" s="1259"/>
      <c r="DVV3" s="1259"/>
      <c r="DVW3" s="1259"/>
      <c r="DVX3" s="1259"/>
      <c r="DVY3" s="1259"/>
      <c r="DVZ3" s="1259"/>
      <c r="DWA3" s="1259"/>
      <c r="DWB3" s="1259"/>
      <c r="DWC3" s="1259"/>
      <c r="DWD3" s="1259"/>
      <c r="DWE3" s="1259"/>
      <c r="DWF3" s="1259"/>
      <c r="DWG3" s="1259"/>
      <c r="DWH3" s="1259"/>
      <c r="DWI3" s="1259"/>
      <c r="DWJ3" s="1259"/>
      <c r="DWK3" s="1259"/>
      <c r="DWL3" s="1259"/>
      <c r="DWM3" s="1259"/>
      <c r="DWN3" s="1259"/>
      <c r="DWO3" s="1259"/>
      <c r="DWP3" s="1259"/>
      <c r="DWQ3" s="1259"/>
      <c r="DWR3" s="1259"/>
      <c r="DWS3" s="1259"/>
      <c r="DWT3" s="1259"/>
      <c r="DWU3" s="1259"/>
      <c r="DWV3" s="1259"/>
      <c r="DWW3" s="1259"/>
      <c r="DWX3" s="1259"/>
      <c r="DWY3" s="1259"/>
      <c r="DWZ3" s="1259"/>
      <c r="DXA3" s="1259"/>
      <c r="DXB3" s="1259"/>
      <c r="DXC3" s="1259"/>
      <c r="DXD3" s="1259"/>
      <c r="DXE3" s="1259"/>
      <c r="DXF3" s="1259"/>
      <c r="DXG3" s="1259"/>
      <c r="DXH3" s="1259"/>
      <c r="DXI3" s="1259"/>
      <c r="DXJ3" s="1259"/>
      <c r="DXK3" s="1259"/>
      <c r="DXL3" s="1259"/>
      <c r="DXM3" s="1259"/>
      <c r="DXN3" s="1259"/>
      <c r="DXO3" s="1259"/>
      <c r="DXP3" s="1259"/>
      <c r="DXQ3" s="1259"/>
      <c r="DXR3" s="1259"/>
      <c r="DXS3" s="1259"/>
      <c r="DXT3" s="1259"/>
      <c r="DXU3" s="1259"/>
      <c r="DXV3" s="1259"/>
      <c r="DXW3" s="1259"/>
      <c r="DXX3" s="1259"/>
      <c r="DXY3" s="1259"/>
      <c r="DXZ3" s="1259"/>
      <c r="DYA3" s="1259"/>
      <c r="DYB3" s="1259"/>
      <c r="DYC3" s="1259"/>
      <c r="DYD3" s="1259"/>
      <c r="DYE3" s="1259"/>
      <c r="DYF3" s="1259"/>
      <c r="DYG3" s="1259"/>
      <c r="DYH3" s="1259"/>
      <c r="DYI3" s="1259"/>
      <c r="DYJ3" s="1259"/>
      <c r="DYK3" s="1259"/>
      <c r="DYL3" s="1259"/>
      <c r="DYM3" s="1259"/>
      <c r="DYN3" s="1259"/>
      <c r="DYO3" s="1259"/>
      <c r="DYP3" s="1259"/>
      <c r="DYQ3" s="1259"/>
      <c r="DYR3" s="1259"/>
      <c r="DYS3" s="1259"/>
      <c r="DYT3" s="1259"/>
      <c r="DYU3" s="1259"/>
      <c r="DYV3" s="1259"/>
      <c r="DYW3" s="1259"/>
      <c r="DYX3" s="1259"/>
      <c r="DYY3" s="1259"/>
      <c r="DYZ3" s="1259"/>
      <c r="DZA3" s="1259"/>
      <c r="DZB3" s="1259"/>
      <c r="DZC3" s="1259"/>
      <c r="DZD3" s="1259"/>
      <c r="DZE3" s="1259"/>
      <c r="DZF3" s="1259"/>
      <c r="DZG3" s="1259"/>
      <c r="DZH3" s="1259"/>
      <c r="DZI3" s="1259"/>
      <c r="DZJ3" s="1259"/>
      <c r="DZK3" s="1259"/>
      <c r="DZL3" s="1259"/>
      <c r="DZM3" s="1259"/>
      <c r="DZN3" s="1259"/>
      <c r="DZO3" s="1259"/>
      <c r="DZP3" s="1259"/>
      <c r="DZQ3" s="1259"/>
      <c r="DZR3" s="1259"/>
      <c r="DZS3" s="1259"/>
      <c r="DZT3" s="1259"/>
      <c r="DZU3" s="1259"/>
      <c r="DZV3" s="1259"/>
      <c r="DZW3" s="1259"/>
      <c r="DZX3" s="1259"/>
      <c r="DZY3" s="1259"/>
      <c r="DZZ3" s="1259"/>
      <c r="EAA3" s="1259"/>
      <c r="EAB3" s="1259"/>
      <c r="EAC3" s="1259"/>
      <c r="EAD3" s="1259"/>
      <c r="EAE3" s="1259"/>
      <c r="EAF3" s="1259"/>
      <c r="EAG3" s="1259"/>
      <c r="EAH3" s="1259"/>
      <c r="EAI3" s="1259"/>
      <c r="EAJ3" s="1259"/>
      <c r="EAK3" s="1259"/>
      <c r="EAL3" s="1259"/>
      <c r="EAM3" s="1259"/>
      <c r="EAN3" s="1259"/>
      <c r="EAO3" s="1259"/>
      <c r="EAP3" s="1259"/>
      <c r="EAQ3" s="1259"/>
      <c r="EAR3" s="1259"/>
      <c r="EAS3" s="1259"/>
      <c r="EAT3" s="1259"/>
      <c r="EAU3" s="1259"/>
      <c r="EAV3" s="1259"/>
      <c r="EAW3" s="1259"/>
      <c r="EAX3" s="1259"/>
      <c r="EAY3" s="1259"/>
      <c r="EAZ3" s="1259"/>
      <c r="EBA3" s="1259"/>
      <c r="EBB3" s="1259"/>
      <c r="EBC3" s="1259"/>
      <c r="EBD3" s="1259"/>
      <c r="EBE3" s="1259"/>
      <c r="EBF3" s="1259"/>
      <c r="EBG3" s="1259"/>
      <c r="EBH3" s="1259"/>
      <c r="EBI3" s="1259"/>
      <c r="EBJ3" s="1259"/>
      <c r="EBK3" s="1259"/>
      <c r="EBL3" s="1259"/>
      <c r="EBM3" s="1259"/>
      <c r="EBN3" s="1259"/>
      <c r="EBO3" s="1259"/>
      <c r="EBP3" s="1259"/>
      <c r="EBQ3" s="1259"/>
      <c r="EBR3" s="1259"/>
      <c r="EBS3" s="1259"/>
      <c r="EBT3" s="1259"/>
      <c r="EBU3" s="1259"/>
      <c r="EBV3" s="1259"/>
      <c r="EBW3" s="1259"/>
      <c r="EBX3" s="1259"/>
      <c r="EBY3" s="1259"/>
      <c r="EBZ3" s="1259"/>
      <c r="ECA3" s="1259"/>
      <c r="ECB3" s="1259"/>
      <c r="ECC3" s="1259"/>
      <c r="ECD3" s="1259"/>
      <c r="ECE3" s="1259"/>
      <c r="ECF3" s="1259"/>
      <c r="ECG3" s="1259"/>
      <c r="ECH3" s="1259"/>
      <c r="ECI3" s="1259"/>
      <c r="ECJ3" s="1259"/>
      <c r="ECK3" s="1259"/>
      <c r="ECL3" s="1259"/>
      <c r="ECM3" s="1259"/>
      <c r="ECN3" s="1259"/>
      <c r="ECO3" s="1259"/>
      <c r="ECP3" s="1259"/>
      <c r="ECQ3" s="1259"/>
      <c r="ECR3" s="1259"/>
      <c r="ECS3" s="1259"/>
      <c r="ECT3" s="1259"/>
      <c r="ECU3" s="1259"/>
      <c r="ECV3" s="1259"/>
      <c r="ECW3" s="1259"/>
      <c r="ECX3" s="1259"/>
      <c r="ECY3" s="1259"/>
      <c r="ECZ3" s="1259"/>
      <c r="EDA3" s="1259"/>
      <c r="EDB3" s="1259"/>
      <c r="EDC3" s="1259"/>
      <c r="EDD3" s="1259"/>
      <c r="EDE3" s="1259"/>
      <c r="EDF3" s="1259"/>
      <c r="EDG3" s="1259"/>
      <c r="EDH3" s="1259"/>
      <c r="EDI3" s="1259"/>
      <c r="EDJ3" s="1259"/>
      <c r="EDK3" s="1259"/>
      <c r="EDL3" s="1259"/>
      <c r="EDM3" s="1259"/>
      <c r="EDN3" s="1259"/>
      <c r="EDO3" s="1259"/>
      <c r="EDP3" s="1259"/>
      <c r="EDQ3" s="1259"/>
      <c r="EDR3" s="1259"/>
      <c r="EDS3" s="1259"/>
      <c r="EDT3" s="1259"/>
      <c r="EDU3" s="1259"/>
      <c r="EDV3" s="1259"/>
      <c r="EDW3" s="1259"/>
      <c r="EDX3" s="1259"/>
      <c r="EDY3" s="1259"/>
      <c r="EDZ3" s="1259"/>
      <c r="EEA3" s="1259"/>
      <c r="EEB3" s="1259"/>
      <c r="EEC3" s="1259"/>
      <c r="EED3" s="1259"/>
      <c r="EEE3" s="1259"/>
      <c r="EEF3" s="1259"/>
      <c r="EEG3" s="1259"/>
      <c r="EEH3" s="1259"/>
      <c r="EEI3" s="1259"/>
      <c r="EEJ3" s="1259"/>
      <c r="EEK3" s="1259"/>
      <c r="EEL3" s="1259"/>
      <c r="EEM3" s="1259"/>
      <c r="EEN3" s="1259"/>
      <c r="EEO3" s="1259"/>
      <c r="EEP3" s="1259"/>
      <c r="EEQ3" s="1259"/>
      <c r="EER3" s="1259"/>
      <c r="EES3" s="1259"/>
      <c r="EET3" s="1259"/>
      <c r="EEU3" s="1259"/>
      <c r="EEV3" s="1259"/>
      <c r="EEW3" s="1259"/>
      <c r="EEX3" s="1259"/>
      <c r="EEY3" s="1259"/>
      <c r="EEZ3" s="1259"/>
      <c r="EFA3" s="1259"/>
      <c r="EFB3" s="1259"/>
      <c r="EFC3" s="1259"/>
      <c r="EFD3" s="1259"/>
      <c r="EFE3" s="1259"/>
      <c r="EFF3" s="1259"/>
      <c r="EFG3" s="1259"/>
      <c r="EFH3" s="1259"/>
      <c r="EFI3" s="1259"/>
      <c r="EFJ3" s="1259"/>
      <c r="EFK3" s="1259"/>
      <c r="EFL3" s="1259"/>
      <c r="EFM3" s="1259"/>
      <c r="EFN3" s="1259"/>
      <c r="EFO3" s="1259"/>
      <c r="EFP3" s="1259"/>
      <c r="EFQ3" s="1259"/>
      <c r="EFR3" s="1259"/>
      <c r="EFS3" s="1259"/>
      <c r="EFT3" s="1259"/>
      <c r="EFU3" s="1259"/>
      <c r="EFV3" s="1259"/>
      <c r="EFW3" s="1259"/>
      <c r="EFX3" s="1259"/>
      <c r="EFY3" s="1259"/>
      <c r="EFZ3" s="1259"/>
      <c r="EGA3" s="1259"/>
      <c r="EGB3" s="1259"/>
      <c r="EGC3" s="1259"/>
      <c r="EGD3" s="1259"/>
      <c r="EGE3" s="1259"/>
      <c r="EGF3" s="1259"/>
      <c r="EGG3" s="1259"/>
      <c r="EGH3" s="1259"/>
      <c r="EGI3" s="1259"/>
      <c r="EGJ3" s="1259"/>
      <c r="EGK3" s="1259"/>
      <c r="EGL3" s="1259"/>
      <c r="EGM3" s="1259"/>
      <c r="EGN3" s="1259"/>
      <c r="EGO3" s="1259"/>
      <c r="EGP3" s="1259"/>
      <c r="EGQ3" s="1259"/>
      <c r="EGR3" s="1259"/>
      <c r="EGS3" s="1259"/>
      <c r="EGT3" s="1259"/>
      <c r="EGU3" s="1259"/>
      <c r="EGV3" s="1259"/>
      <c r="EGW3" s="1259"/>
      <c r="EGX3" s="1259"/>
      <c r="EGY3" s="1259"/>
      <c r="EGZ3" s="1259"/>
      <c r="EHA3" s="1259"/>
      <c r="EHB3" s="1259"/>
      <c r="EHC3" s="1259"/>
      <c r="EHD3" s="1259"/>
      <c r="EHE3" s="1259"/>
      <c r="EHF3" s="1259"/>
      <c r="EHG3" s="1259"/>
      <c r="EHH3" s="1259"/>
      <c r="EHI3" s="1259"/>
      <c r="EHJ3" s="1259"/>
      <c r="EHK3" s="1259"/>
      <c r="EHL3" s="1259"/>
      <c r="EHM3" s="1259"/>
      <c r="EHN3" s="1259"/>
      <c r="EHO3" s="1259"/>
      <c r="EHP3" s="1259"/>
      <c r="EHQ3" s="1259"/>
      <c r="EHR3" s="1259"/>
      <c r="EHS3" s="1259"/>
      <c r="EHT3" s="1259"/>
      <c r="EHU3" s="1259"/>
      <c r="EHV3" s="1259"/>
      <c r="EHW3" s="1259"/>
      <c r="EHX3" s="1259"/>
      <c r="EHY3" s="1259"/>
      <c r="EHZ3" s="1259"/>
      <c r="EIA3" s="1259"/>
      <c r="EIB3" s="1259"/>
      <c r="EIC3" s="1259"/>
      <c r="EID3" s="1259"/>
      <c r="EIE3" s="1259"/>
      <c r="EIF3" s="1259"/>
      <c r="EIG3" s="1259"/>
      <c r="EIH3" s="1259"/>
      <c r="EII3" s="1259"/>
      <c r="EIJ3" s="1259"/>
      <c r="EIK3" s="1259"/>
      <c r="EIL3" s="1259"/>
      <c r="EIM3" s="1259"/>
      <c r="EIN3" s="1259"/>
      <c r="EIO3" s="1259"/>
      <c r="EIP3" s="1259"/>
      <c r="EIQ3" s="1259"/>
      <c r="EIR3" s="1259"/>
      <c r="EIS3" s="1259"/>
      <c r="EIT3" s="1259"/>
      <c r="EIU3" s="1259"/>
      <c r="EIV3" s="1259"/>
      <c r="EIW3" s="1259"/>
      <c r="EIX3" s="1259"/>
      <c r="EIY3" s="1259"/>
      <c r="EIZ3" s="1259"/>
      <c r="EJA3" s="1259"/>
      <c r="EJB3" s="1259"/>
      <c r="EJC3" s="1259"/>
      <c r="EJD3" s="1259"/>
      <c r="EJE3" s="1259"/>
      <c r="EJF3" s="1259"/>
      <c r="EJG3" s="1259"/>
      <c r="EJH3" s="1259"/>
      <c r="EJI3" s="1259"/>
      <c r="EJJ3" s="1259"/>
      <c r="EJK3" s="1259"/>
      <c r="EJL3" s="1259"/>
      <c r="EJM3" s="1259"/>
      <c r="EJN3" s="1259"/>
      <c r="EJO3" s="1259"/>
      <c r="EJP3" s="1259"/>
      <c r="EJQ3" s="1259"/>
      <c r="EJR3" s="1259"/>
      <c r="EJS3" s="1259"/>
      <c r="EJT3" s="1259"/>
      <c r="EJU3" s="1259"/>
      <c r="EJV3" s="1259"/>
      <c r="EJW3" s="1259"/>
      <c r="EJX3" s="1259"/>
      <c r="EJY3" s="1259"/>
      <c r="EJZ3" s="1259"/>
      <c r="EKA3" s="1259"/>
      <c r="EKB3" s="1259"/>
      <c r="EKC3" s="1259"/>
      <c r="EKD3" s="1259"/>
      <c r="EKE3" s="1259"/>
      <c r="EKF3" s="1259"/>
      <c r="EKG3" s="1259"/>
      <c r="EKH3" s="1259"/>
      <c r="EKI3" s="1259"/>
      <c r="EKJ3" s="1259"/>
      <c r="EKK3" s="1259"/>
      <c r="EKL3" s="1259"/>
      <c r="EKM3" s="1259"/>
      <c r="EKN3" s="1259"/>
      <c r="EKO3" s="1259"/>
      <c r="EKP3" s="1259"/>
      <c r="EKQ3" s="1259"/>
      <c r="EKR3" s="1259"/>
      <c r="EKS3" s="1259"/>
      <c r="EKT3" s="1259"/>
      <c r="EKU3" s="1259"/>
      <c r="EKV3" s="1259"/>
      <c r="EKW3" s="1259"/>
      <c r="EKX3" s="1259"/>
      <c r="EKY3" s="1259"/>
      <c r="EKZ3" s="1259"/>
      <c r="ELA3" s="1259"/>
      <c r="ELB3" s="1259"/>
      <c r="ELC3" s="1259"/>
      <c r="ELD3" s="1259"/>
      <c r="ELE3" s="1259"/>
      <c r="ELF3" s="1259"/>
      <c r="ELG3" s="1259"/>
      <c r="ELH3" s="1259"/>
      <c r="ELI3" s="1259"/>
      <c r="ELJ3" s="1259"/>
      <c r="ELK3" s="1259"/>
      <c r="ELL3" s="1259"/>
      <c r="ELM3" s="1259"/>
      <c r="ELN3" s="1259"/>
      <c r="ELO3" s="1259"/>
      <c r="ELP3" s="1259"/>
      <c r="ELQ3" s="1259"/>
      <c r="ELR3" s="1259"/>
      <c r="ELS3" s="1259"/>
      <c r="ELT3" s="1259"/>
      <c r="ELU3" s="1259"/>
      <c r="ELV3" s="1259"/>
      <c r="ELW3" s="1259"/>
      <c r="ELX3" s="1259"/>
      <c r="ELY3" s="1259"/>
      <c r="ELZ3" s="1259"/>
      <c r="EMA3" s="1259"/>
      <c r="EMB3" s="1259"/>
      <c r="EMC3" s="1259"/>
      <c r="EMD3" s="1259"/>
      <c r="EME3" s="1259"/>
      <c r="EMF3" s="1259"/>
      <c r="EMG3" s="1259"/>
      <c r="EMH3" s="1259"/>
      <c r="EMI3" s="1259"/>
      <c r="EMJ3" s="1259"/>
      <c r="EMK3" s="1259"/>
      <c r="EML3" s="1259"/>
      <c r="EMM3" s="1259"/>
      <c r="EMN3" s="1259"/>
      <c r="EMO3" s="1259"/>
      <c r="EMP3" s="1259"/>
      <c r="EMQ3" s="1259"/>
      <c r="EMR3" s="1259"/>
      <c r="EMS3" s="1259"/>
      <c r="EMT3" s="1259"/>
      <c r="EMU3" s="1259"/>
      <c r="EMV3" s="1259"/>
      <c r="EMW3" s="1259"/>
      <c r="EMX3" s="1259"/>
      <c r="EMY3" s="1259"/>
      <c r="EMZ3" s="1259"/>
      <c r="ENA3" s="1259"/>
      <c r="ENB3" s="1259"/>
      <c r="ENC3" s="1259"/>
      <c r="END3" s="1259"/>
      <c r="ENE3" s="1259"/>
      <c r="ENF3" s="1259"/>
      <c r="ENG3" s="1259"/>
      <c r="ENH3" s="1259"/>
      <c r="ENI3" s="1259"/>
      <c r="ENJ3" s="1259"/>
      <c r="ENK3" s="1259"/>
      <c r="ENL3" s="1259"/>
      <c r="ENM3" s="1259"/>
      <c r="ENN3" s="1259"/>
      <c r="ENO3" s="1259"/>
      <c r="ENP3" s="1259"/>
      <c r="ENQ3" s="1259"/>
      <c r="ENR3" s="1259"/>
      <c r="ENS3" s="1259"/>
      <c r="ENT3" s="1259"/>
      <c r="ENU3" s="1259"/>
      <c r="ENV3" s="1259"/>
      <c r="ENW3" s="1259"/>
      <c r="ENX3" s="1259"/>
      <c r="ENY3" s="1259"/>
      <c r="ENZ3" s="1259"/>
      <c r="EOA3" s="1259"/>
      <c r="EOB3" s="1259"/>
      <c r="EOC3" s="1259"/>
      <c r="EOD3" s="1259"/>
      <c r="EOE3" s="1259"/>
      <c r="EOF3" s="1259"/>
      <c r="EOG3" s="1259"/>
      <c r="EOH3" s="1259"/>
      <c r="EOI3" s="1259"/>
      <c r="EOJ3" s="1259"/>
      <c r="EOK3" s="1259"/>
      <c r="EOL3" s="1259"/>
      <c r="EOM3" s="1259"/>
      <c r="EON3" s="1259"/>
      <c r="EOO3" s="1259"/>
      <c r="EOP3" s="1259"/>
      <c r="EOQ3" s="1259"/>
      <c r="EOR3" s="1259"/>
      <c r="EOS3" s="1259"/>
      <c r="EOT3" s="1259"/>
      <c r="EOU3" s="1259"/>
      <c r="EOV3" s="1259"/>
      <c r="EOW3" s="1259"/>
      <c r="EOX3" s="1259"/>
      <c r="EOY3" s="1259"/>
      <c r="EOZ3" s="1259"/>
      <c r="EPA3" s="1259"/>
      <c r="EPB3" s="1259"/>
      <c r="EPC3" s="1259"/>
      <c r="EPD3" s="1259"/>
      <c r="EPE3" s="1259"/>
      <c r="EPF3" s="1259"/>
      <c r="EPG3" s="1259"/>
      <c r="EPH3" s="1259"/>
      <c r="EPI3" s="1259"/>
      <c r="EPJ3" s="1259"/>
      <c r="EPK3" s="1259"/>
      <c r="EPL3" s="1259"/>
      <c r="EPM3" s="1259"/>
      <c r="EPN3" s="1259"/>
      <c r="EPO3" s="1259"/>
      <c r="EPP3" s="1259"/>
      <c r="EPQ3" s="1259"/>
      <c r="EPR3" s="1259"/>
      <c r="EPS3" s="1259"/>
      <c r="EPT3" s="1259"/>
      <c r="EPU3" s="1259"/>
      <c r="EPV3" s="1259"/>
      <c r="EPW3" s="1259"/>
      <c r="EPX3" s="1259"/>
      <c r="EPY3" s="1259"/>
      <c r="EPZ3" s="1259"/>
      <c r="EQA3" s="1259"/>
      <c r="EQB3" s="1259"/>
      <c r="EQC3" s="1259"/>
      <c r="EQD3" s="1259"/>
      <c r="EQE3" s="1259"/>
      <c r="EQF3" s="1259"/>
      <c r="EQG3" s="1259"/>
      <c r="EQH3" s="1259"/>
      <c r="EQI3" s="1259"/>
      <c r="EQJ3" s="1259"/>
      <c r="EQK3" s="1259"/>
      <c r="EQL3" s="1259"/>
      <c r="EQM3" s="1259"/>
      <c r="EQN3" s="1259"/>
      <c r="EQO3" s="1259"/>
      <c r="EQP3" s="1259"/>
      <c r="EQQ3" s="1259"/>
      <c r="EQR3" s="1259"/>
      <c r="EQS3" s="1259"/>
      <c r="EQT3" s="1259"/>
      <c r="EQU3" s="1259"/>
      <c r="EQV3" s="1259"/>
      <c r="EQW3" s="1259"/>
      <c r="EQX3" s="1259"/>
      <c r="EQY3" s="1259"/>
      <c r="EQZ3" s="1259"/>
      <c r="ERA3" s="1259"/>
      <c r="ERB3" s="1259"/>
      <c r="ERC3" s="1259"/>
      <c r="ERD3" s="1259"/>
      <c r="ERE3" s="1259"/>
      <c r="ERF3" s="1259"/>
      <c r="ERG3" s="1259"/>
      <c r="ERH3" s="1259"/>
      <c r="ERI3" s="1259"/>
      <c r="ERJ3" s="1259"/>
      <c r="ERK3" s="1259"/>
      <c r="ERL3" s="1259"/>
      <c r="ERM3" s="1259"/>
      <c r="ERN3" s="1259"/>
      <c r="ERO3" s="1259"/>
      <c r="ERP3" s="1259"/>
      <c r="ERQ3" s="1259"/>
      <c r="ERR3" s="1259"/>
      <c r="ERS3" s="1259"/>
      <c r="ERT3" s="1259"/>
      <c r="ERU3" s="1259"/>
      <c r="ERV3" s="1259"/>
      <c r="ERW3" s="1259"/>
      <c r="ERX3" s="1259"/>
      <c r="ERY3" s="1259"/>
      <c r="ERZ3" s="1259"/>
      <c r="ESA3" s="1259"/>
      <c r="ESB3" s="1259"/>
      <c r="ESC3" s="1259"/>
      <c r="ESD3" s="1259"/>
      <c r="ESE3" s="1259"/>
      <c r="ESF3" s="1259"/>
      <c r="ESG3" s="1259"/>
      <c r="ESH3" s="1259"/>
      <c r="ESI3" s="1259"/>
      <c r="ESJ3" s="1259"/>
      <c r="ESK3" s="1259"/>
      <c r="ESL3" s="1259"/>
      <c r="ESM3" s="1259"/>
      <c r="ESN3" s="1259"/>
      <c r="ESO3" s="1259"/>
      <c r="ESP3" s="1259"/>
      <c r="ESQ3" s="1259"/>
      <c r="ESR3" s="1259"/>
      <c r="ESS3" s="1259"/>
      <c r="EST3" s="1259"/>
      <c r="ESU3" s="1259"/>
      <c r="ESV3" s="1259"/>
      <c r="ESW3" s="1259"/>
      <c r="ESX3" s="1259"/>
      <c r="ESY3" s="1259"/>
      <c r="ESZ3" s="1259"/>
      <c r="ETA3" s="1259"/>
      <c r="ETB3" s="1259"/>
      <c r="ETC3" s="1259"/>
      <c r="ETD3" s="1259"/>
      <c r="ETE3" s="1259"/>
      <c r="ETF3" s="1259"/>
      <c r="ETG3" s="1259"/>
      <c r="ETH3" s="1259"/>
      <c r="ETI3" s="1259"/>
      <c r="ETJ3" s="1259"/>
      <c r="ETK3" s="1259"/>
      <c r="ETL3" s="1259"/>
      <c r="ETM3" s="1259"/>
      <c r="ETN3" s="1259"/>
      <c r="ETO3" s="1259"/>
      <c r="ETP3" s="1259"/>
      <c r="ETQ3" s="1259"/>
      <c r="ETR3" s="1259"/>
      <c r="ETS3" s="1259"/>
      <c r="ETT3" s="1259"/>
      <c r="ETU3" s="1259"/>
      <c r="ETV3" s="1259"/>
      <c r="ETW3" s="1259"/>
      <c r="ETX3" s="1259"/>
      <c r="ETY3" s="1259"/>
      <c r="ETZ3" s="1259"/>
      <c r="EUA3" s="1259"/>
      <c r="EUB3" s="1259"/>
      <c r="EUC3" s="1259"/>
      <c r="EUD3" s="1259"/>
      <c r="EUE3" s="1259"/>
      <c r="EUF3" s="1259"/>
      <c r="EUG3" s="1259"/>
      <c r="EUH3" s="1259"/>
      <c r="EUI3" s="1259"/>
      <c r="EUJ3" s="1259"/>
      <c r="EUK3" s="1259"/>
      <c r="EUL3" s="1259"/>
      <c r="EUM3" s="1259"/>
      <c r="EUN3" s="1259"/>
      <c r="EUO3" s="1259"/>
      <c r="EUP3" s="1259"/>
      <c r="EUQ3" s="1259"/>
      <c r="EUR3" s="1259"/>
      <c r="EUS3" s="1259"/>
      <c r="EUT3" s="1259"/>
      <c r="EUU3" s="1259"/>
      <c r="EUV3" s="1259"/>
      <c r="EUW3" s="1259"/>
      <c r="EUX3" s="1259"/>
      <c r="EUY3" s="1259"/>
      <c r="EUZ3" s="1259"/>
      <c r="EVA3" s="1259"/>
      <c r="EVB3" s="1259"/>
      <c r="EVC3" s="1259"/>
      <c r="EVD3" s="1259"/>
      <c r="EVE3" s="1259"/>
      <c r="EVF3" s="1259"/>
      <c r="EVG3" s="1259"/>
      <c r="EVH3" s="1259"/>
      <c r="EVI3" s="1259"/>
      <c r="EVJ3" s="1259"/>
      <c r="EVK3" s="1259"/>
      <c r="EVL3" s="1259"/>
      <c r="EVM3" s="1259"/>
      <c r="EVN3" s="1259"/>
      <c r="EVO3" s="1259"/>
      <c r="EVP3" s="1259"/>
      <c r="EVQ3" s="1259"/>
      <c r="EVR3" s="1259"/>
      <c r="EVS3" s="1259"/>
      <c r="EVT3" s="1259"/>
      <c r="EVU3" s="1259"/>
      <c r="EVV3" s="1259"/>
      <c r="EVW3" s="1259"/>
      <c r="EVX3" s="1259"/>
      <c r="EVY3" s="1259"/>
      <c r="EVZ3" s="1259"/>
      <c r="EWA3" s="1259"/>
      <c r="EWB3" s="1259"/>
      <c r="EWC3" s="1259"/>
      <c r="EWD3" s="1259"/>
      <c r="EWE3" s="1259"/>
      <c r="EWF3" s="1259"/>
      <c r="EWG3" s="1259"/>
      <c r="EWH3" s="1259"/>
      <c r="EWI3" s="1259"/>
      <c r="EWJ3" s="1259"/>
      <c r="EWK3" s="1259"/>
      <c r="EWL3" s="1259"/>
      <c r="EWM3" s="1259"/>
      <c r="EWN3" s="1259"/>
      <c r="EWO3" s="1259"/>
      <c r="EWP3" s="1259"/>
      <c r="EWQ3" s="1259"/>
      <c r="EWR3" s="1259"/>
      <c r="EWS3" s="1259"/>
      <c r="EWT3" s="1259"/>
      <c r="EWU3" s="1259"/>
      <c r="EWV3" s="1259"/>
      <c r="EWW3" s="1259"/>
      <c r="EWX3" s="1259"/>
      <c r="EWY3" s="1259"/>
      <c r="EWZ3" s="1259"/>
      <c r="EXA3" s="1259"/>
      <c r="EXB3" s="1259"/>
      <c r="EXC3" s="1259"/>
      <c r="EXD3" s="1259"/>
      <c r="EXE3" s="1259"/>
      <c r="EXF3" s="1259"/>
      <c r="EXG3" s="1259"/>
      <c r="EXH3" s="1259"/>
      <c r="EXI3" s="1259"/>
      <c r="EXJ3" s="1259"/>
      <c r="EXK3" s="1259"/>
      <c r="EXL3" s="1259"/>
      <c r="EXM3" s="1259"/>
      <c r="EXN3" s="1259"/>
      <c r="EXO3" s="1259"/>
      <c r="EXP3" s="1259"/>
      <c r="EXQ3" s="1259"/>
      <c r="EXR3" s="1259"/>
      <c r="EXS3" s="1259"/>
      <c r="EXT3" s="1259"/>
      <c r="EXU3" s="1259"/>
      <c r="EXV3" s="1259"/>
      <c r="EXW3" s="1259"/>
      <c r="EXX3" s="1259"/>
      <c r="EXY3" s="1259"/>
      <c r="EXZ3" s="1259"/>
      <c r="EYA3" s="1259"/>
      <c r="EYB3" s="1259"/>
      <c r="EYC3" s="1259"/>
      <c r="EYD3" s="1259"/>
      <c r="EYE3" s="1259"/>
      <c r="EYF3" s="1259"/>
      <c r="EYG3" s="1259"/>
      <c r="EYH3" s="1259"/>
      <c r="EYI3" s="1259"/>
      <c r="EYJ3" s="1259"/>
      <c r="EYK3" s="1259"/>
      <c r="EYL3" s="1259"/>
      <c r="EYM3" s="1259"/>
      <c r="EYN3" s="1259"/>
      <c r="EYO3" s="1259"/>
      <c r="EYP3" s="1259"/>
      <c r="EYQ3" s="1259"/>
      <c r="EYR3" s="1259"/>
      <c r="EYS3" s="1259"/>
      <c r="EYT3" s="1259"/>
      <c r="EYU3" s="1259"/>
      <c r="EYV3" s="1259"/>
      <c r="EYW3" s="1259"/>
      <c r="EYX3" s="1259"/>
      <c r="EYY3" s="1259"/>
      <c r="EYZ3" s="1259"/>
      <c r="EZA3" s="1259"/>
      <c r="EZB3" s="1259"/>
      <c r="EZC3" s="1259"/>
      <c r="EZD3" s="1259"/>
      <c r="EZE3" s="1259"/>
      <c r="EZF3" s="1259"/>
      <c r="EZG3" s="1259"/>
      <c r="EZH3" s="1259"/>
      <c r="EZI3" s="1259"/>
      <c r="EZJ3" s="1259"/>
      <c r="EZK3" s="1259"/>
      <c r="EZL3" s="1259"/>
      <c r="EZM3" s="1259"/>
      <c r="EZN3" s="1259"/>
      <c r="EZO3" s="1259"/>
      <c r="EZP3" s="1259"/>
      <c r="EZQ3" s="1259"/>
      <c r="EZR3" s="1259"/>
      <c r="EZS3" s="1259"/>
      <c r="EZT3" s="1259"/>
      <c r="EZU3" s="1259"/>
      <c r="EZV3" s="1259"/>
      <c r="EZW3" s="1259"/>
      <c r="EZX3" s="1259"/>
      <c r="EZY3" s="1259"/>
      <c r="EZZ3" s="1259"/>
      <c r="FAA3" s="1259"/>
      <c r="FAB3" s="1259"/>
      <c r="FAC3" s="1259"/>
      <c r="FAD3" s="1259"/>
      <c r="FAE3" s="1259"/>
      <c r="FAF3" s="1259"/>
      <c r="FAG3" s="1259"/>
      <c r="FAH3" s="1259"/>
      <c r="FAI3" s="1259"/>
      <c r="FAJ3" s="1259"/>
      <c r="FAK3" s="1259"/>
      <c r="FAL3" s="1259"/>
      <c r="FAM3" s="1259"/>
      <c r="FAN3" s="1259"/>
      <c r="FAO3" s="1259"/>
      <c r="FAP3" s="1259"/>
      <c r="FAQ3" s="1259"/>
      <c r="FAR3" s="1259"/>
      <c r="FAS3" s="1259"/>
      <c r="FAT3" s="1259"/>
      <c r="FAU3" s="1259"/>
      <c r="FAV3" s="1259"/>
      <c r="FAW3" s="1259"/>
      <c r="FAX3" s="1259"/>
      <c r="FAY3" s="1259"/>
      <c r="FAZ3" s="1259"/>
      <c r="FBA3" s="1259"/>
      <c r="FBB3" s="1259"/>
      <c r="FBC3" s="1259"/>
      <c r="FBD3" s="1259"/>
      <c r="FBE3" s="1259"/>
      <c r="FBF3" s="1259"/>
      <c r="FBG3" s="1259"/>
      <c r="FBH3" s="1259"/>
      <c r="FBI3" s="1259"/>
      <c r="FBJ3" s="1259"/>
      <c r="FBK3" s="1259"/>
      <c r="FBL3" s="1259"/>
      <c r="FBM3" s="1259"/>
      <c r="FBN3" s="1259"/>
      <c r="FBO3" s="1259"/>
      <c r="FBP3" s="1259"/>
      <c r="FBQ3" s="1259"/>
      <c r="FBR3" s="1259"/>
      <c r="FBS3" s="1259"/>
      <c r="FBT3" s="1259"/>
      <c r="FBU3" s="1259"/>
      <c r="FBV3" s="1259"/>
      <c r="FBW3" s="1259"/>
      <c r="FBX3" s="1259"/>
      <c r="FBY3" s="1259"/>
      <c r="FBZ3" s="1259"/>
      <c r="FCA3" s="1259"/>
      <c r="FCB3" s="1259"/>
      <c r="FCC3" s="1259"/>
      <c r="FCD3" s="1259"/>
      <c r="FCE3" s="1259"/>
      <c r="FCF3" s="1259"/>
      <c r="FCG3" s="1259"/>
      <c r="FCH3" s="1259"/>
      <c r="FCI3" s="1259"/>
      <c r="FCJ3" s="1259"/>
      <c r="FCK3" s="1259"/>
      <c r="FCL3" s="1259"/>
      <c r="FCM3" s="1259"/>
      <c r="FCN3" s="1259"/>
      <c r="FCO3" s="1259"/>
      <c r="FCP3" s="1259"/>
      <c r="FCQ3" s="1259"/>
      <c r="FCR3" s="1259"/>
      <c r="FCS3" s="1259"/>
      <c r="FCT3" s="1259"/>
      <c r="FCU3" s="1259"/>
      <c r="FCV3" s="1259"/>
      <c r="FCW3" s="1259"/>
      <c r="FCX3" s="1259"/>
      <c r="FCY3" s="1259"/>
      <c r="FCZ3" s="1259"/>
      <c r="FDA3" s="1259"/>
      <c r="FDB3" s="1259"/>
      <c r="FDC3" s="1259"/>
      <c r="FDD3" s="1259"/>
      <c r="FDE3" s="1259"/>
      <c r="FDF3" s="1259"/>
      <c r="FDG3" s="1259"/>
      <c r="FDH3" s="1259"/>
      <c r="FDI3" s="1259"/>
      <c r="FDJ3" s="1259"/>
      <c r="FDK3" s="1259"/>
      <c r="FDL3" s="1259"/>
      <c r="FDM3" s="1259"/>
      <c r="FDN3" s="1259"/>
      <c r="FDO3" s="1259"/>
      <c r="FDP3" s="1259"/>
      <c r="FDQ3" s="1259"/>
      <c r="FDR3" s="1259"/>
      <c r="FDS3" s="1259"/>
      <c r="FDT3" s="1259"/>
      <c r="FDU3" s="1259"/>
      <c r="FDV3" s="1259"/>
      <c r="FDW3" s="1259"/>
      <c r="FDX3" s="1259"/>
      <c r="FDY3" s="1259"/>
      <c r="FDZ3" s="1259"/>
      <c r="FEA3" s="1259"/>
      <c r="FEB3" s="1259"/>
      <c r="FEC3" s="1259"/>
      <c r="FED3" s="1259"/>
      <c r="FEE3" s="1259"/>
      <c r="FEF3" s="1259"/>
      <c r="FEG3" s="1259"/>
      <c r="FEH3" s="1259"/>
      <c r="FEI3" s="1259"/>
      <c r="FEJ3" s="1259"/>
      <c r="FEK3" s="1259"/>
      <c r="FEL3" s="1259"/>
      <c r="FEM3" s="1259"/>
      <c r="FEN3" s="1259"/>
      <c r="FEO3" s="1259"/>
      <c r="FEP3" s="1259"/>
      <c r="FEQ3" s="1259"/>
      <c r="FER3" s="1259"/>
      <c r="FES3" s="1259"/>
      <c r="FET3" s="1259"/>
      <c r="FEU3" s="1259"/>
      <c r="FEV3" s="1259"/>
      <c r="FEW3" s="1259"/>
      <c r="FEX3" s="1259"/>
      <c r="FEY3" s="1259"/>
      <c r="FEZ3" s="1259"/>
      <c r="FFA3" s="1259"/>
      <c r="FFB3" s="1259"/>
      <c r="FFC3" s="1259"/>
      <c r="FFD3" s="1259"/>
      <c r="FFE3" s="1259"/>
      <c r="FFF3" s="1259"/>
      <c r="FFG3" s="1259"/>
      <c r="FFH3" s="1259"/>
      <c r="FFI3" s="1259"/>
      <c r="FFJ3" s="1259"/>
      <c r="FFK3" s="1259"/>
      <c r="FFL3" s="1259"/>
      <c r="FFM3" s="1259"/>
      <c r="FFN3" s="1259"/>
      <c r="FFO3" s="1259"/>
      <c r="FFP3" s="1259"/>
      <c r="FFQ3" s="1259"/>
      <c r="FFR3" s="1259"/>
      <c r="FFS3" s="1259"/>
      <c r="FFT3" s="1259"/>
      <c r="FFU3" s="1259"/>
      <c r="FFV3" s="1259"/>
      <c r="FFW3" s="1259"/>
      <c r="FFX3" s="1259"/>
      <c r="FFY3" s="1259"/>
      <c r="FFZ3" s="1259"/>
      <c r="FGA3" s="1259"/>
      <c r="FGB3" s="1259"/>
      <c r="FGC3" s="1259"/>
      <c r="FGD3" s="1259"/>
      <c r="FGE3" s="1259"/>
      <c r="FGF3" s="1259"/>
      <c r="FGG3" s="1259"/>
      <c r="FGH3" s="1259"/>
      <c r="FGI3" s="1259"/>
      <c r="FGJ3" s="1259"/>
      <c r="FGK3" s="1259"/>
      <c r="FGL3" s="1259"/>
      <c r="FGM3" s="1259"/>
      <c r="FGN3" s="1259"/>
      <c r="FGO3" s="1259"/>
      <c r="FGP3" s="1259"/>
      <c r="FGQ3" s="1259"/>
      <c r="FGR3" s="1259"/>
      <c r="FGS3" s="1259"/>
      <c r="FGT3" s="1259"/>
      <c r="FGU3" s="1259"/>
      <c r="FGV3" s="1259"/>
      <c r="FGW3" s="1259"/>
      <c r="FGX3" s="1259"/>
      <c r="FGY3" s="1259"/>
      <c r="FGZ3" s="1259"/>
      <c r="FHA3" s="1259"/>
      <c r="FHB3" s="1259"/>
      <c r="FHC3" s="1259"/>
      <c r="FHD3" s="1259"/>
      <c r="FHE3" s="1259"/>
      <c r="FHF3" s="1259"/>
      <c r="FHG3" s="1259"/>
      <c r="FHH3" s="1259"/>
      <c r="FHI3" s="1259"/>
      <c r="FHJ3" s="1259"/>
      <c r="FHK3" s="1259"/>
      <c r="FHL3" s="1259"/>
      <c r="FHM3" s="1259"/>
      <c r="FHN3" s="1259"/>
      <c r="FHO3" s="1259"/>
      <c r="FHP3" s="1259"/>
      <c r="FHQ3" s="1259"/>
      <c r="FHR3" s="1259"/>
      <c r="FHS3" s="1259"/>
      <c r="FHT3" s="1259"/>
      <c r="FHU3" s="1259"/>
      <c r="FHV3" s="1259"/>
      <c r="FHW3" s="1259"/>
      <c r="FHX3" s="1259"/>
      <c r="FHY3" s="1259"/>
      <c r="FHZ3" s="1259"/>
      <c r="FIA3" s="1259"/>
      <c r="FIB3" s="1259"/>
      <c r="FIC3" s="1259"/>
      <c r="FID3" s="1259"/>
      <c r="FIE3" s="1259"/>
      <c r="FIF3" s="1259"/>
      <c r="FIG3" s="1259"/>
      <c r="FIH3" s="1259"/>
      <c r="FII3" s="1259"/>
      <c r="FIJ3" s="1259"/>
      <c r="FIK3" s="1259"/>
      <c r="FIL3" s="1259"/>
      <c r="FIM3" s="1259"/>
      <c r="FIN3" s="1259"/>
      <c r="FIO3" s="1259"/>
      <c r="FIP3" s="1259"/>
      <c r="FIQ3" s="1259"/>
      <c r="FIR3" s="1259"/>
      <c r="FIS3" s="1259"/>
      <c r="FIT3" s="1259"/>
      <c r="FIU3" s="1259"/>
      <c r="FIV3" s="1259"/>
      <c r="FIW3" s="1259"/>
      <c r="FIX3" s="1259"/>
      <c r="FIY3" s="1259"/>
      <c r="FIZ3" s="1259"/>
      <c r="FJA3" s="1259"/>
      <c r="FJB3" s="1259"/>
      <c r="FJC3" s="1259"/>
      <c r="FJD3" s="1259"/>
      <c r="FJE3" s="1259"/>
      <c r="FJF3" s="1259"/>
      <c r="FJG3" s="1259"/>
      <c r="FJH3" s="1259"/>
      <c r="FJI3" s="1259"/>
      <c r="FJJ3" s="1259"/>
      <c r="FJK3" s="1259"/>
      <c r="FJL3" s="1259"/>
      <c r="FJM3" s="1259"/>
      <c r="FJN3" s="1259"/>
      <c r="FJO3" s="1259"/>
      <c r="FJP3" s="1259"/>
      <c r="FJQ3" s="1259"/>
      <c r="FJR3" s="1259"/>
      <c r="FJS3" s="1259"/>
      <c r="FJT3" s="1259"/>
      <c r="FJU3" s="1259"/>
      <c r="FJV3" s="1259"/>
      <c r="FJW3" s="1259"/>
      <c r="FJX3" s="1259"/>
      <c r="FJY3" s="1259"/>
      <c r="FJZ3" s="1259"/>
      <c r="FKA3" s="1259"/>
      <c r="FKB3" s="1259"/>
      <c r="FKC3" s="1259"/>
      <c r="FKD3" s="1259"/>
      <c r="FKE3" s="1259"/>
      <c r="FKF3" s="1259"/>
      <c r="FKG3" s="1259"/>
      <c r="FKH3" s="1259"/>
      <c r="FKI3" s="1259"/>
      <c r="FKJ3" s="1259"/>
      <c r="FKK3" s="1259"/>
      <c r="FKL3" s="1259"/>
      <c r="FKM3" s="1259"/>
      <c r="FKN3" s="1259"/>
      <c r="FKO3" s="1259"/>
      <c r="FKP3" s="1259"/>
      <c r="FKQ3" s="1259"/>
      <c r="FKR3" s="1259"/>
      <c r="FKS3" s="1259"/>
      <c r="FKT3" s="1259"/>
      <c r="FKU3" s="1259"/>
      <c r="FKV3" s="1259"/>
      <c r="FKW3" s="1259"/>
      <c r="FKX3" s="1259"/>
      <c r="FKY3" s="1259"/>
      <c r="FKZ3" s="1259"/>
      <c r="FLA3" s="1259"/>
      <c r="FLB3" s="1259"/>
      <c r="FLC3" s="1259"/>
      <c r="FLD3" s="1259"/>
      <c r="FLE3" s="1259"/>
      <c r="FLF3" s="1259"/>
      <c r="FLG3" s="1259"/>
      <c r="FLH3" s="1259"/>
      <c r="FLI3" s="1259"/>
      <c r="FLJ3" s="1259"/>
      <c r="FLK3" s="1259"/>
      <c r="FLL3" s="1259"/>
      <c r="FLM3" s="1259"/>
      <c r="FLN3" s="1259"/>
      <c r="FLO3" s="1259"/>
      <c r="FLP3" s="1259"/>
      <c r="FLQ3" s="1259"/>
      <c r="FLR3" s="1259"/>
      <c r="FLS3" s="1259"/>
      <c r="FLT3" s="1259"/>
      <c r="FLU3" s="1259"/>
      <c r="FLV3" s="1259"/>
      <c r="FLW3" s="1259"/>
      <c r="FLX3" s="1259"/>
      <c r="FLY3" s="1259"/>
      <c r="FLZ3" s="1259"/>
      <c r="FMA3" s="1259"/>
      <c r="FMB3" s="1259"/>
      <c r="FMC3" s="1259"/>
      <c r="FMD3" s="1259"/>
      <c r="FME3" s="1259"/>
      <c r="FMF3" s="1259"/>
      <c r="FMG3" s="1259"/>
      <c r="FMH3" s="1259"/>
      <c r="FMI3" s="1259"/>
      <c r="FMJ3" s="1259"/>
      <c r="FMK3" s="1259"/>
      <c r="FML3" s="1259"/>
      <c r="FMM3" s="1259"/>
      <c r="FMN3" s="1259"/>
      <c r="FMO3" s="1259"/>
      <c r="FMP3" s="1259"/>
      <c r="FMQ3" s="1259"/>
      <c r="FMR3" s="1259"/>
      <c r="FMS3" s="1259"/>
      <c r="FMT3" s="1259"/>
      <c r="FMU3" s="1259"/>
      <c r="FMV3" s="1259"/>
      <c r="FMW3" s="1259"/>
      <c r="FMX3" s="1259"/>
      <c r="FMY3" s="1259"/>
      <c r="FMZ3" s="1259"/>
      <c r="FNA3" s="1259"/>
      <c r="FNB3" s="1259"/>
      <c r="FNC3" s="1259"/>
      <c r="FND3" s="1259"/>
      <c r="FNE3" s="1259"/>
      <c r="FNF3" s="1259"/>
      <c r="FNG3" s="1259"/>
      <c r="FNH3" s="1259"/>
      <c r="FNI3" s="1259"/>
      <c r="FNJ3" s="1259"/>
      <c r="FNK3" s="1259"/>
      <c r="FNL3" s="1259"/>
      <c r="FNM3" s="1259"/>
      <c r="FNN3" s="1259"/>
      <c r="FNO3" s="1259"/>
      <c r="FNP3" s="1259"/>
      <c r="FNQ3" s="1259"/>
      <c r="FNR3" s="1259"/>
      <c r="FNS3" s="1259"/>
      <c r="FNT3" s="1259"/>
      <c r="FNU3" s="1259"/>
      <c r="FNV3" s="1259"/>
      <c r="FNW3" s="1259"/>
      <c r="FNX3" s="1259"/>
      <c r="FNY3" s="1259"/>
      <c r="FNZ3" s="1259"/>
      <c r="FOA3" s="1259"/>
      <c r="FOB3" s="1259"/>
      <c r="FOC3" s="1259"/>
      <c r="FOD3" s="1259"/>
      <c r="FOE3" s="1259"/>
      <c r="FOF3" s="1259"/>
      <c r="FOG3" s="1259"/>
      <c r="FOH3" s="1259"/>
      <c r="FOI3" s="1259"/>
      <c r="FOJ3" s="1259"/>
      <c r="FOK3" s="1259"/>
      <c r="FOL3" s="1259"/>
      <c r="FOM3" s="1259"/>
      <c r="FON3" s="1259"/>
      <c r="FOO3" s="1259"/>
      <c r="FOP3" s="1259"/>
      <c r="FOQ3" s="1259"/>
      <c r="FOR3" s="1259"/>
      <c r="FOS3" s="1259"/>
      <c r="FOT3" s="1259"/>
      <c r="FOU3" s="1259"/>
      <c r="FOV3" s="1259"/>
      <c r="FOW3" s="1259"/>
      <c r="FOX3" s="1259"/>
      <c r="FOY3" s="1259"/>
      <c r="FOZ3" s="1259"/>
      <c r="FPA3" s="1259"/>
      <c r="FPB3" s="1259"/>
      <c r="FPC3" s="1259"/>
      <c r="FPD3" s="1259"/>
      <c r="FPE3" s="1259"/>
      <c r="FPF3" s="1259"/>
      <c r="FPG3" s="1259"/>
      <c r="FPH3" s="1259"/>
      <c r="FPI3" s="1259"/>
      <c r="FPJ3" s="1259"/>
      <c r="FPK3" s="1259"/>
      <c r="FPL3" s="1259"/>
      <c r="FPM3" s="1259"/>
      <c r="FPN3" s="1259"/>
      <c r="FPO3" s="1259"/>
      <c r="FPP3" s="1259"/>
      <c r="FPQ3" s="1259"/>
      <c r="FPR3" s="1259"/>
      <c r="FPS3" s="1259"/>
      <c r="FPT3" s="1259"/>
      <c r="FPU3" s="1259"/>
      <c r="FPV3" s="1259"/>
      <c r="FPW3" s="1259"/>
      <c r="FPX3" s="1259"/>
      <c r="FPY3" s="1259"/>
      <c r="FPZ3" s="1259"/>
      <c r="FQA3" s="1259"/>
      <c r="FQB3" s="1259"/>
      <c r="FQC3" s="1259"/>
      <c r="FQD3" s="1259"/>
      <c r="FQE3" s="1259"/>
      <c r="FQF3" s="1259"/>
      <c r="FQG3" s="1259"/>
      <c r="FQH3" s="1259"/>
      <c r="FQI3" s="1259"/>
      <c r="FQJ3" s="1259"/>
      <c r="FQK3" s="1259"/>
      <c r="FQL3" s="1259"/>
      <c r="FQM3" s="1259"/>
      <c r="FQN3" s="1259"/>
      <c r="FQO3" s="1259"/>
      <c r="FQP3" s="1259"/>
      <c r="FQQ3" s="1259"/>
      <c r="FQR3" s="1259"/>
      <c r="FQS3" s="1259"/>
      <c r="FQT3" s="1259"/>
      <c r="FQU3" s="1259"/>
      <c r="FQV3" s="1259"/>
      <c r="FQW3" s="1259"/>
      <c r="FQX3" s="1259"/>
      <c r="FQY3" s="1259"/>
      <c r="FQZ3" s="1259"/>
      <c r="FRA3" s="1259"/>
      <c r="FRB3" s="1259"/>
      <c r="FRC3" s="1259"/>
      <c r="FRD3" s="1259"/>
      <c r="FRE3" s="1259"/>
      <c r="FRF3" s="1259"/>
      <c r="FRG3" s="1259"/>
      <c r="FRH3" s="1259"/>
      <c r="FRI3" s="1259"/>
      <c r="FRJ3" s="1259"/>
      <c r="FRK3" s="1259"/>
      <c r="FRL3" s="1259"/>
      <c r="FRM3" s="1259"/>
      <c r="FRN3" s="1259"/>
      <c r="FRO3" s="1259"/>
      <c r="FRP3" s="1259"/>
      <c r="FRQ3" s="1259"/>
      <c r="FRR3" s="1259"/>
      <c r="FRS3" s="1259"/>
      <c r="FRT3" s="1259"/>
      <c r="FRU3" s="1259"/>
      <c r="FRV3" s="1259"/>
      <c r="FRW3" s="1259"/>
      <c r="FRX3" s="1259"/>
      <c r="FRY3" s="1259"/>
      <c r="FRZ3" s="1259"/>
      <c r="FSA3" s="1259"/>
      <c r="FSB3" s="1259"/>
      <c r="FSC3" s="1259"/>
      <c r="FSD3" s="1259"/>
      <c r="FSE3" s="1259"/>
      <c r="FSF3" s="1259"/>
      <c r="FSG3" s="1259"/>
      <c r="FSH3" s="1259"/>
      <c r="FSI3" s="1259"/>
      <c r="FSJ3" s="1259"/>
      <c r="FSK3" s="1259"/>
      <c r="FSL3" s="1259"/>
      <c r="FSM3" s="1259"/>
      <c r="FSN3" s="1259"/>
      <c r="FSO3" s="1259"/>
      <c r="FSP3" s="1259"/>
      <c r="FSQ3" s="1259"/>
      <c r="FSR3" s="1259"/>
      <c r="FSS3" s="1259"/>
      <c r="FST3" s="1259"/>
      <c r="FSU3" s="1259"/>
      <c r="FSV3" s="1259"/>
      <c r="FSW3" s="1259"/>
      <c r="FSX3" s="1259"/>
      <c r="FSY3" s="1259"/>
      <c r="FSZ3" s="1259"/>
      <c r="FTA3" s="1259"/>
      <c r="FTB3" s="1259"/>
      <c r="FTC3" s="1259"/>
      <c r="FTD3" s="1259"/>
      <c r="FTE3" s="1259"/>
      <c r="FTF3" s="1259"/>
      <c r="FTG3" s="1259"/>
      <c r="FTH3" s="1259"/>
      <c r="FTI3" s="1259"/>
      <c r="FTJ3" s="1259"/>
      <c r="FTK3" s="1259"/>
      <c r="FTL3" s="1259"/>
      <c r="FTM3" s="1259"/>
      <c r="FTN3" s="1259"/>
      <c r="FTO3" s="1259"/>
      <c r="FTP3" s="1259"/>
      <c r="FTQ3" s="1259"/>
      <c r="FTR3" s="1259"/>
      <c r="FTS3" s="1259"/>
      <c r="FTT3" s="1259"/>
      <c r="FTU3" s="1259"/>
      <c r="FTV3" s="1259"/>
      <c r="FTW3" s="1259"/>
      <c r="FTX3" s="1259"/>
      <c r="FTY3" s="1259"/>
      <c r="FTZ3" s="1259"/>
      <c r="FUA3" s="1259"/>
      <c r="FUB3" s="1259"/>
      <c r="FUC3" s="1259"/>
      <c r="FUD3" s="1259"/>
      <c r="FUE3" s="1259"/>
      <c r="FUF3" s="1259"/>
      <c r="FUG3" s="1259"/>
      <c r="FUH3" s="1259"/>
      <c r="FUI3" s="1259"/>
      <c r="FUJ3" s="1259"/>
      <c r="FUK3" s="1259"/>
      <c r="FUL3" s="1259"/>
      <c r="FUM3" s="1259"/>
      <c r="FUN3" s="1259"/>
      <c r="FUO3" s="1259"/>
      <c r="FUP3" s="1259"/>
      <c r="FUQ3" s="1259"/>
      <c r="FUR3" s="1259"/>
      <c r="FUS3" s="1259"/>
      <c r="FUT3" s="1259"/>
      <c r="FUU3" s="1259"/>
      <c r="FUV3" s="1259"/>
      <c r="FUW3" s="1259"/>
      <c r="FUX3" s="1259"/>
      <c r="FUY3" s="1259"/>
      <c r="FUZ3" s="1259"/>
      <c r="FVA3" s="1259"/>
      <c r="FVB3" s="1259"/>
      <c r="FVC3" s="1259"/>
      <c r="FVD3" s="1259"/>
      <c r="FVE3" s="1259"/>
      <c r="FVF3" s="1259"/>
      <c r="FVG3" s="1259"/>
      <c r="FVH3" s="1259"/>
      <c r="FVI3" s="1259"/>
      <c r="FVJ3" s="1259"/>
      <c r="FVK3" s="1259"/>
      <c r="FVL3" s="1259"/>
      <c r="FVM3" s="1259"/>
      <c r="FVN3" s="1259"/>
      <c r="FVO3" s="1259"/>
      <c r="FVP3" s="1259"/>
      <c r="FVQ3" s="1259"/>
      <c r="FVR3" s="1259"/>
      <c r="FVS3" s="1259"/>
      <c r="FVT3" s="1259"/>
      <c r="FVU3" s="1259"/>
      <c r="FVV3" s="1259"/>
      <c r="FVW3" s="1259"/>
      <c r="FVX3" s="1259"/>
      <c r="FVY3" s="1259"/>
      <c r="FVZ3" s="1259"/>
      <c r="FWA3" s="1259"/>
      <c r="FWB3" s="1259"/>
      <c r="FWC3" s="1259"/>
      <c r="FWD3" s="1259"/>
      <c r="FWE3" s="1259"/>
      <c r="FWF3" s="1259"/>
      <c r="FWG3" s="1259"/>
      <c r="FWH3" s="1259"/>
      <c r="FWI3" s="1259"/>
      <c r="FWJ3" s="1259"/>
      <c r="FWK3" s="1259"/>
      <c r="FWL3" s="1259"/>
      <c r="FWM3" s="1259"/>
      <c r="FWN3" s="1259"/>
      <c r="FWO3" s="1259"/>
      <c r="FWP3" s="1259"/>
      <c r="FWQ3" s="1259"/>
      <c r="FWR3" s="1259"/>
      <c r="FWS3" s="1259"/>
      <c r="FWT3" s="1259"/>
      <c r="FWU3" s="1259"/>
      <c r="FWV3" s="1259"/>
      <c r="FWW3" s="1259"/>
      <c r="FWX3" s="1259"/>
      <c r="FWY3" s="1259"/>
      <c r="FWZ3" s="1259"/>
      <c r="FXA3" s="1259"/>
      <c r="FXB3" s="1259"/>
      <c r="FXC3" s="1259"/>
      <c r="FXD3" s="1259"/>
      <c r="FXE3" s="1259"/>
      <c r="FXF3" s="1259"/>
      <c r="FXG3" s="1259"/>
      <c r="FXH3" s="1259"/>
      <c r="FXI3" s="1259"/>
      <c r="FXJ3" s="1259"/>
      <c r="FXK3" s="1259"/>
      <c r="FXL3" s="1259"/>
      <c r="FXM3" s="1259"/>
      <c r="FXN3" s="1259"/>
      <c r="FXO3" s="1259"/>
      <c r="FXP3" s="1259"/>
      <c r="FXQ3" s="1259"/>
      <c r="FXR3" s="1259"/>
      <c r="FXS3" s="1259"/>
      <c r="FXT3" s="1259"/>
      <c r="FXU3" s="1259"/>
      <c r="FXV3" s="1259"/>
      <c r="FXW3" s="1259"/>
      <c r="FXX3" s="1259"/>
      <c r="FXY3" s="1259"/>
      <c r="FXZ3" s="1259"/>
      <c r="FYA3" s="1259"/>
      <c r="FYB3" s="1259"/>
      <c r="FYC3" s="1259"/>
      <c r="FYD3" s="1259"/>
      <c r="FYE3" s="1259"/>
      <c r="FYF3" s="1259"/>
      <c r="FYG3" s="1259"/>
      <c r="FYH3" s="1259"/>
      <c r="FYI3" s="1259"/>
      <c r="FYJ3" s="1259"/>
      <c r="FYK3" s="1259"/>
      <c r="FYL3" s="1259"/>
      <c r="FYM3" s="1259"/>
      <c r="FYN3" s="1259"/>
      <c r="FYO3" s="1259"/>
      <c r="FYP3" s="1259"/>
      <c r="FYQ3" s="1259"/>
      <c r="FYR3" s="1259"/>
      <c r="FYS3" s="1259"/>
      <c r="FYT3" s="1259"/>
      <c r="FYU3" s="1259"/>
      <c r="FYV3" s="1259"/>
      <c r="FYW3" s="1259"/>
      <c r="FYX3" s="1259"/>
      <c r="FYY3" s="1259"/>
      <c r="FYZ3" s="1259"/>
      <c r="FZA3" s="1259"/>
      <c r="FZB3" s="1259"/>
      <c r="FZC3" s="1259"/>
      <c r="FZD3" s="1259"/>
      <c r="FZE3" s="1259"/>
      <c r="FZF3" s="1259"/>
      <c r="FZG3" s="1259"/>
      <c r="FZH3" s="1259"/>
      <c r="FZI3" s="1259"/>
      <c r="FZJ3" s="1259"/>
      <c r="FZK3" s="1259"/>
      <c r="FZL3" s="1259"/>
      <c r="FZM3" s="1259"/>
      <c r="FZN3" s="1259"/>
      <c r="FZO3" s="1259"/>
      <c r="FZP3" s="1259"/>
      <c r="FZQ3" s="1259"/>
      <c r="FZR3" s="1259"/>
      <c r="FZS3" s="1259"/>
      <c r="FZT3" s="1259"/>
      <c r="FZU3" s="1259"/>
      <c r="FZV3" s="1259"/>
      <c r="FZW3" s="1259"/>
      <c r="FZX3" s="1259"/>
      <c r="FZY3" s="1259"/>
      <c r="FZZ3" s="1259"/>
      <c r="GAA3" s="1259"/>
      <c r="GAB3" s="1259"/>
      <c r="GAC3" s="1259"/>
      <c r="GAD3" s="1259"/>
      <c r="GAE3" s="1259"/>
      <c r="GAF3" s="1259"/>
      <c r="GAG3" s="1259"/>
      <c r="GAH3" s="1259"/>
      <c r="GAI3" s="1259"/>
      <c r="GAJ3" s="1259"/>
      <c r="GAK3" s="1259"/>
      <c r="GAL3" s="1259"/>
      <c r="GAM3" s="1259"/>
      <c r="GAN3" s="1259"/>
      <c r="GAO3" s="1259"/>
      <c r="GAP3" s="1259"/>
      <c r="GAQ3" s="1259"/>
      <c r="GAR3" s="1259"/>
      <c r="GAS3" s="1259"/>
      <c r="GAT3" s="1259"/>
      <c r="GAU3" s="1259"/>
      <c r="GAV3" s="1259"/>
      <c r="GAW3" s="1259"/>
      <c r="GAX3" s="1259"/>
      <c r="GAY3" s="1259"/>
      <c r="GAZ3" s="1259"/>
      <c r="GBA3" s="1259"/>
      <c r="GBB3" s="1259"/>
      <c r="GBC3" s="1259"/>
      <c r="GBD3" s="1259"/>
      <c r="GBE3" s="1259"/>
      <c r="GBF3" s="1259"/>
      <c r="GBG3" s="1259"/>
      <c r="GBH3" s="1259"/>
      <c r="GBI3" s="1259"/>
      <c r="GBJ3" s="1259"/>
      <c r="GBK3" s="1259"/>
      <c r="GBL3" s="1259"/>
      <c r="GBM3" s="1259"/>
      <c r="GBN3" s="1259"/>
      <c r="GBO3" s="1259"/>
      <c r="GBP3" s="1259"/>
      <c r="GBQ3" s="1259"/>
      <c r="GBR3" s="1259"/>
      <c r="GBS3" s="1259"/>
      <c r="GBT3" s="1259"/>
      <c r="GBU3" s="1259"/>
      <c r="GBV3" s="1259"/>
      <c r="GBW3" s="1259"/>
      <c r="GBX3" s="1259"/>
      <c r="GBY3" s="1259"/>
      <c r="GBZ3" s="1259"/>
      <c r="GCA3" s="1259"/>
      <c r="GCB3" s="1259"/>
      <c r="GCC3" s="1259"/>
      <c r="GCD3" s="1259"/>
      <c r="GCE3" s="1259"/>
      <c r="GCF3" s="1259"/>
      <c r="GCG3" s="1259"/>
      <c r="GCH3" s="1259"/>
      <c r="GCI3" s="1259"/>
      <c r="GCJ3" s="1259"/>
      <c r="GCK3" s="1259"/>
      <c r="GCL3" s="1259"/>
      <c r="GCM3" s="1259"/>
      <c r="GCN3" s="1259"/>
      <c r="GCO3" s="1259"/>
      <c r="GCP3" s="1259"/>
      <c r="GCQ3" s="1259"/>
      <c r="GCR3" s="1259"/>
      <c r="GCS3" s="1259"/>
      <c r="GCT3" s="1259"/>
      <c r="GCU3" s="1259"/>
      <c r="GCV3" s="1259"/>
      <c r="GCW3" s="1259"/>
      <c r="GCX3" s="1259"/>
      <c r="GCY3" s="1259"/>
      <c r="GCZ3" s="1259"/>
      <c r="GDA3" s="1259"/>
      <c r="GDB3" s="1259"/>
      <c r="GDC3" s="1259"/>
      <c r="GDD3" s="1259"/>
      <c r="GDE3" s="1259"/>
      <c r="GDF3" s="1259"/>
      <c r="GDG3" s="1259"/>
      <c r="GDH3" s="1259"/>
      <c r="GDI3" s="1259"/>
      <c r="GDJ3" s="1259"/>
      <c r="GDK3" s="1259"/>
      <c r="GDL3" s="1259"/>
      <c r="GDM3" s="1259"/>
      <c r="GDN3" s="1259"/>
      <c r="GDO3" s="1259"/>
      <c r="GDP3" s="1259"/>
      <c r="GDQ3" s="1259"/>
      <c r="GDR3" s="1259"/>
      <c r="GDS3" s="1259"/>
      <c r="GDT3" s="1259"/>
      <c r="GDU3" s="1259"/>
      <c r="GDV3" s="1259"/>
      <c r="GDW3" s="1259"/>
      <c r="GDX3" s="1259"/>
      <c r="GDY3" s="1259"/>
      <c r="GDZ3" s="1259"/>
      <c r="GEA3" s="1259"/>
      <c r="GEB3" s="1259"/>
      <c r="GEC3" s="1259"/>
      <c r="GED3" s="1259"/>
      <c r="GEE3" s="1259"/>
      <c r="GEF3" s="1259"/>
      <c r="GEG3" s="1259"/>
      <c r="GEH3" s="1259"/>
      <c r="GEI3" s="1259"/>
      <c r="GEJ3" s="1259"/>
      <c r="GEK3" s="1259"/>
      <c r="GEL3" s="1259"/>
      <c r="GEM3" s="1259"/>
      <c r="GEN3" s="1259"/>
      <c r="GEO3" s="1259"/>
      <c r="GEP3" s="1259"/>
      <c r="GEQ3" s="1259"/>
      <c r="GER3" s="1259"/>
      <c r="GES3" s="1259"/>
      <c r="GET3" s="1259"/>
      <c r="GEU3" s="1259"/>
      <c r="GEV3" s="1259"/>
      <c r="GEW3" s="1259"/>
      <c r="GEX3" s="1259"/>
      <c r="GEY3" s="1259"/>
      <c r="GEZ3" s="1259"/>
      <c r="GFA3" s="1259"/>
      <c r="GFB3" s="1259"/>
      <c r="GFC3" s="1259"/>
      <c r="GFD3" s="1259"/>
      <c r="GFE3" s="1259"/>
      <c r="GFF3" s="1259"/>
      <c r="GFG3" s="1259"/>
      <c r="GFH3" s="1259"/>
      <c r="GFI3" s="1259"/>
      <c r="GFJ3" s="1259"/>
      <c r="GFK3" s="1259"/>
      <c r="GFL3" s="1259"/>
      <c r="GFM3" s="1259"/>
      <c r="GFN3" s="1259"/>
      <c r="GFO3" s="1259"/>
      <c r="GFP3" s="1259"/>
      <c r="GFQ3" s="1259"/>
      <c r="GFR3" s="1259"/>
      <c r="GFS3" s="1259"/>
      <c r="GFT3" s="1259"/>
      <c r="GFU3" s="1259"/>
      <c r="GFV3" s="1259"/>
      <c r="GFW3" s="1259"/>
      <c r="GFX3" s="1259"/>
      <c r="GFY3" s="1259"/>
      <c r="GFZ3" s="1259"/>
      <c r="GGA3" s="1259"/>
      <c r="GGB3" s="1259"/>
      <c r="GGC3" s="1259"/>
      <c r="GGD3" s="1259"/>
      <c r="GGE3" s="1259"/>
      <c r="GGF3" s="1259"/>
      <c r="GGG3" s="1259"/>
      <c r="GGH3" s="1259"/>
      <c r="GGI3" s="1259"/>
      <c r="GGJ3" s="1259"/>
      <c r="GGK3" s="1259"/>
      <c r="GGL3" s="1259"/>
      <c r="GGM3" s="1259"/>
      <c r="GGN3" s="1259"/>
      <c r="GGO3" s="1259"/>
      <c r="GGP3" s="1259"/>
      <c r="GGQ3" s="1259"/>
      <c r="GGR3" s="1259"/>
      <c r="GGS3" s="1259"/>
      <c r="GGT3" s="1259"/>
      <c r="GGU3" s="1259"/>
      <c r="GGV3" s="1259"/>
      <c r="GGW3" s="1259"/>
      <c r="GGX3" s="1259"/>
      <c r="GGY3" s="1259"/>
      <c r="GGZ3" s="1259"/>
      <c r="GHA3" s="1259"/>
      <c r="GHB3" s="1259"/>
      <c r="GHC3" s="1259"/>
      <c r="GHD3" s="1259"/>
      <c r="GHE3" s="1259"/>
      <c r="GHF3" s="1259"/>
      <c r="GHG3" s="1259"/>
      <c r="GHH3" s="1259"/>
      <c r="GHI3" s="1259"/>
      <c r="GHJ3" s="1259"/>
      <c r="GHK3" s="1259"/>
      <c r="GHL3" s="1259"/>
      <c r="GHM3" s="1259"/>
      <c r="GHN3" s="1259"/>
      <c r="GHO3" s="1259"/>
      <c r="GHP3" s="1259"/>
      <c r="GHQ3" s="1259"/>
      <c r="GHR3" s="1259"/>
      <c r="GHS3" s="1259"/>
      <c r="GHT3" s="1259"/>
      <c r="GHU3" s="1259"/>
      <c r="GHV3" s="1259"/>
      <c r="GHW3" s="1259"/>
      <c r="GHX3" s="1259"/>
      <c r="GHY3" s="1259"/>
      <c r="GHZ3" s="1259"/>
      <c r="GIA3" s="1259"/>
      <c r="GIB3" s="1259"/>
      <c r="GIC3" s="1259"/>
      <c r="GID3" s="1259"/>
      <c r="GIE3" s="1259"/>
      <c r="GIF3" s="1259"/>
      <c r="GIG3" s="1259"/>
      <c r="GIH3" s="1259"/>
      <c r="GII3" s="1259"/>
      <c r="GIJ3" s="1259"/>
      <c r="GIK3" s="1259"/>
      <c r="GIL3" s="1259"/>
      <c r="GIM3" s="1259"/>
      <c r="GIN3" s="1259"/>
      <c r="GIO3" s="1259"/>
      <c r="GIP3" s="1259"/>
      <c r="GIQ3" s="1259"/>
      <c r="GIR3" s="1259"/>
      <c r="GIS3" s="1259"/>
      <c r="GIT3" s="1259"/>
      <c r="GIU3" s="1259"/>
      <c r="GIV3" s="1259"/>
      <c r="GIW3" s="1259"/>
      <c r="GIX3" s="1259"/>
      <c r="GIY3" s="1259"/>
      <c r="GIZ3" s="1259"/>
      <c r="GJA3" s="1259"/>
      <c r="GJB3" s="1259"/>
      <c r="GJC3" s="1259"/>
      <c r="GJD3" s="1259"/>
      <c r="GJE3" s="1259"/>
      <c r="GJF3" s="1259"/>
      <c r="GJG3" s="1259"/>
      <c r="GJH3" s="1259"/>
      <c r="GJI3" s="1259"/>
      <c r="GJJ3" s="1259"/>
      <c r="GJK3" s="1259"/>
      <c r="GJL3" s="1259"/>
      <c r="GJM3" s="1259"/>
      <c r="GJN3" s="1259"/>
      <c r="GJO3" s="1259"/>
      <c r="GJP3" s="1259"/>
      <c r="GJQ3" s="1259"/>
      <c r="GJR3" s="1259"/>
      <c r="GJS3" s="1259"/>
      <c r="GJT3" s="1259"/>
      <c r="GJU3" s="1259"/>
      <c r="GJV3" s="1259"/>
      <c r="GJW3" s="1259"/>
      <c r="GJX3" s="1259"/>
      <c r="GJY3" s="1259"/>
      <c r="GJZ3" s="1259"/>
      <c r="GKA3" s="1259"/>
      <c r="GKB3" s="1259"/>
      <c r="GKC3" s="1259"/>
      <c r="GKD3" s="1259"/>
      <c r="GKE3" s="1259"/>
      <c r="GKF3" s="1259"/>
      <c r="GKG3" s="1259"/>
      <c r="GKH3" s="1259"/>
      <c r="GKI3" s="1259"/>
      <c r="GKJ3" s="1259"/>
      <c r="GKK3" s="1259"/>
      <c r="GKL3" s="1259"/>
      <c r="GKM3" s="1259"/>
      <c r="GKN3" s="1259"/>
      <c r="GKO3" s="1259"/>
      <c r="GKP3" s="1259"/>
      <c r="GKQ3" s="1259"/>
      <c r="GKR3" s="1259"/>
      <c r="GKS3" s="1259"/>
      <c r="GKT3" s="1259"/>
      <c r="GKU3" s="1259"/>
      <c r="GKV3" s="1259"/>
      <c r="GKW3" s="1259"/>
      <c r="GKX3" s="1259"/>
      <c r="GKY3" s="1259"/>
      <c r="GKZ3" s="1259"/>
      <c r="GLA3" s="1259"/>
      <c r="GLB3" s="1259"/>
      <c r="GLC3" s="1259"/>
      <c r="GLD3" s="1259"/>
      <c r="GLE3" s="1259"/>
      <c r="GLF3" s="1259"/>
      <c r="GLG3" s="1259"/>
      <c r="GLH3" s="1259"/>
      <c r="GLI3" s="1259"/>
      <c r="GLJ3" s="1259"/>
      <c r="GLK3" s="1259"/>
      <c r="GLL3" s="1259"/>
      <c r="GLM3" s="1259"/>
      <c r="GLN3" s="1259"/>
      <c r="GLO3" s="1259"/>
      <c r="GLP3" s="1259"/>
      <c r="GLQ3" s="1259"/>
      <c r="GLR3" s="1259"/>
      <c r="GLS3" s="1259"/>
      <c r="GLT3" s="1259"/>
      <c r="GLU3" s="1259"/>
      <c r="GLV3" s="1259"/>
      <c r="GLW3" s="1259"/>
      <c r="GLX3" s="1259"/>
      <c r="GLY3" s="1259"/>
      <c r="GLZ3" s="1259"/>
      <c r="GMA3" s="1259"/>
      <c r="GMB3" s="1259"/>
      <c r="GMC3" s="1259"/>
      <c r="GMD3" s="1259"/>
      <c r="GME3" s="1259"/>
      <c r="GMF3" s="1259"/>
      <c r="GMG3" s="1259"/>
      <c r="GMH3" s="1259"/>
      <c r="GMI3" s="1259"/>
      <c r="GMJ3" s="1259"/>
      <c r="GMK3" s="1259"/>
      <c r="GML3" s="1259"/>
      <c r="GMM3" s="1259"/>
      <c r="GMN3" s="1259"/>
      <c r="GMO3" s="1259"/>
      <c r="GMP3" s="1259"/>
      <c r="GMQ3" s="1259"/>
      <c r="GMR3" s="1259"/>
      <c r="GMS3" s="1259"/>
      <c r="GMT3" s="1259"/>
      <c r="GMU3" s="1259"/>
      <c r="GMV3" s="1259"/>
      <c r="GMW3" s="1259"/>
      <c r="GMX3" s="1259"/>
      <c r="GMY3" s="1259"/>
      <c r="GMZ3" s="1259"/>
      <c r="GNA3" s="1259"/>
      <c r="GNB3" s="1259"/>
      <c r="GNC3" s="1259"/>
      <c r="GND3" s="1259"/>
      <c r="GNE3" s="1259"/>
      <c r="GNF3" s="1259"/>
      <c r="GNG3" s="1259"/>
      <c r="GNH3" s="1259"/>
      <c r="GNI3" s="1259"/>
      <c r="GNJ3" s="1259"/>
      <c r="GNK3" s="1259"/>
      <c r="GNL3" s="1259"/>
      <c r="GNM3" s="1259"/>
      <c r="GNN3" s="1259"/>
      <c r="GNO3" s="1259"/>
      <c r="GNP3" s="1259"/>
      <c r="GNQ3" s="1259"/>
      <c r="GNR3" s="1259"/>
      <c r="GNS3" s="1259"/>
      <c r="GNT3" s="1259"/>
      <c r="GNU3" s="1259"/>
      <c r="GNV3" s="1259"/>
      <c r="GNW3" s="1259"/>
      <c r="GNX3" s="1259"/>
      <c r="GNY3" s="1259"/>
      <c r="GNZ3" s="1259"/>
      <c r="GOA3" s="1259"/>
      <c r="GOB3" s="1259"/>
      <c r="GOC3" s="1259"/>
      <c r="GOD3" s="1259"/>
      <c r="GOE3" s="1259"/>
      <c r="GOF3" s="1259"/>
      <c r="GOG3" s="1259"/>
      <c r="GOH3" s="1259"/>
      <c r="GOI3" s="1259"/>
      <c r="GOJ3" s="1259"/>
      <c r="GOK3" s="1259"/>
      <c r="GOL3" s="1259"/>
      <c r="GOM3" s="1259"/>
      <c r="GON3" s="1259"/>
      <c r="GOO3" s="1259"/>
      <c r="GOP3" s="1259"/>
      <c r="GOQ3" s="1259"/>
      <c r="GOR3" s="1259"/>
      <c r="GOS3" s="1259"/>
      <c r="GOT3" s="1259"/>
      <c r="GOU3" s="1259"/>
      <c r="GOV3" s="1259"/>
      <c r="GOW3" s="1259"/>
      <c r="GOX3" s="1259"/>
      <c r="GOY3" s="1259"/>
      <c r="GOZ3" s="1259"/>
      <c r="GPA3" s="1259"/>
      <c r="GPB3" s="1259"/>
      <c r="GPC3" s="1259"/>
      <c r="GPD3" s="1259"/>
      <c r="GPE3" s="1259"/>
      <c r="GPF3" s="1259"/>
      <c r="GPG3" s="1259"/>
      <c r="GPH3" s="1259"/>
      <c r="GPI3" s="1259"/>
      <c r="GPJ3" s="1259"/>
      <c r="GPK3" s="1259"/>
      <c r="GPL3" s="1259"/>
      <c r="GPM3" s="1259"/>
      <c r="GPN3" s="1259"/>
      <c r="GPO3" s="1259"/>
      <c r="GPP3" s="1259"/>
      <c r="GPQ3" s="1259"/>
      <c r="GPR3" s="1259"/>
      <c r="GPS3" s="1259"/>
      <c r="GPT3" s="1259"/>
      <c r="GPU3" s="1259"/>
      <c r="GPV3" s="1259"/>
      <c r="GPW3" s="1259"/>
      <c r="GPX3" s="1259"/>
      <c r="GPY3" s="1259"/>
      <c r="GPZ3" s="1259"/>
      <c r="GQA3" s="1259"/>
      <c r="GQB3" s="1259"/>
      <c r="GQC3" s="1259"/>
      <c r="GQD3" s="1259"/>
      <c r="GQE3" s="1259"/>
      <c r="GQF3" s="1259"/>
      <c r="GQG3" s="1259"/>
      <c r="GQH3" s="1259"/>
      <c r="GQI3" s="1259"/>
      <c r="GQJ3" s="1259"/>
      <c r="GQK3" s="1259"/>
      <c r="GQL3" s="1259"/>
      <c r="GQM3" s="1259"/>
      <c r="GQN3" s="1259"/>
      <c r="GQO3" s="1259"/>
      <c r="GQP3" s="1259"/>
      <c r="GQQ3" s="1259"/>
      <c r="GQR3" s="1259"/>
      <c r="GQS3" s="1259"/>
      <c r="GQT3" s="1259"/>
      <c r="GQU3" s="1259"/>
      <c r="GQV3" s="1259"/>
      <c r="GQW3" s="1259"/>
      <c r="GQX3" s="1259"/>
      <c r="GQY3" s="1259"/>
      <c r="GQZ3" s="1259"/>
      <c r="GRA3" s="1259"/>
      <c r="GRB3" s="1259"/>
      <c r="GRC3" s="1259"/>
      <c r="GRD3" s="1259"/>
      <c r="GRE3" s="1259"/>
      <c r="GRF3" s="1259"/>
      <c r="GRG3" s="1259"/>
      <c r="GRH3" s="1259"/>
      <c r="GRI3" s="1259"/>
      <c r="GRJ3" s="1259"/>
      <c r="GRK3" s="1259"/>
      <c r="GRL3" s="1259"/>
      <c r="GRM3" s="1259"/>
      <c r="GRN3" s="1259"/>
      <c r="GRO3" s="1259"/>
      <c r="GRP3" s="1259"/>
      <c r="GRQ3" s="1259"/>
      <c r="GRR3" s="1259"/>
      <c r="GRS3" s="1259"/>
      <c r="GRT3" s="1259"/>
      <c r="GRU3" s="1259"/>
      <c r="GRV3" s="1259"/>
      <c r="GRW3" s="1259"/>
      <c r="GRX3" s="1259"/>
      <c r="GRY3" s="1259"/>
      <c r="GRZ3" s="1259"/>
      <c r="GSA3" s="1259"/>
      <c r="GSB3" s="1259"/>
      <c r="GSC3" s="1259"/>
      <c r="GSD3" s="1259"/>
      <c r="GSE3" s="1259"/>
      <c r="GSF3" s="1259"/>
      <c r="GSG3" s="1259"/>
      <c r="GSH3" s="1259"/>
      <c r="GSI3" s="1259"/>
      <c r="GSJ3" s="1259"/>
      <c r="GSK3" s="1259"/>
      <c r="GSL3" s="1259"/>
      <c r="GSM3" s="1259"/>
      <c r="GSN3" s="1259"/>
      <c r="GSO3" s="1259"/>
      <c r="GSP3" s="1259"/>
      <c r="GSQ3" s="1259"/>
      <c r="GSR3" s="1259"/>
      <c r="GSS3" s="1259"/>
      <c r="GST3" s="1259"/>
      <c r="GSU3" s="1259"/>
      <c r="GSV3" s="1259"/>
      <c r="GSW3" s="1259"/>
      <c r="GSX3" s="1259"/>
      <c r="GSY3" s="1259"/>
      <c r="GSZ3" s="1259"/>
      <c r="GTA3" s="1259"/>
      <c r="GTB3" s="1259"/>
      <c r="GTC3" s="1259"/>
      <c r="GTD3" s="1259"/>
      <c r="GTE3" s="1259"/>
      <c r="GTF3" s="1259"/>
      <c r="GTG3" s="1259"/>
      <c r="GTH3" s="1259"/>
      <c r="GTI3" s="1259"/>
      <c r="GTJ3" s="1259"/>
      <c r="GTK3" s="1259"/>
      <c r="GTL3" s="1259"/>
      <c r="GTM3" s="1259"/>
      <c r="GTN3" s="1259"/>
      <c r="GTO3" s="1259"/>
      <c r="GTP3" s="1259"/>
      <c r="GTQ3" s="1259"/>
      <c r="GTR3" s="1259"/>
      <c r="GTS3" s="1259"/>
      <c r="GTT3" s="1259"/>
      <c r="GTU3" s="1259"/>
      <c r="GTV3" s="1259"/>
      <c r="GTW3" s="1259"/>
      <c r="GTX3" s="1259"/>
      <c r="GTY3" s="1259"/>
      <c r="GTZ3" s="1259"/>
      <c r="GUA3" s="1259"/>
      <c r="GUB3" s="1259"/>
      <c r="GUC3" s="1259"/>
      <c r="GUD3" s="1259"/>
      <c r="GUE3" s="1259"/>
      <c r="GUF3" s="1259"/>
      <c r="GUG3" s="1259"/>
      <c r="GUH3" s="1259"/>
      <c r="GUI3" s="1259"/>
      <c r="GUJ3" s="1259"/>
      <c r="GUK3" s="1259"/>
      <c r="GUL3" s="1259"/>
      <c r="GUM3" s="1259"/>
      <c r="GUN3" s="1259"/>
      <c r="GUO3" s="1259"/>
      <c r="GUP3" s="1259"/>
      <c r="GUQ3" s="1259"/>
      <c r="GUR3" s="1259"/>
      <c r="GUS3" s="1259"/>
      <c r="GUT3" s="1259"/>
      <c r="GUU3" s="1259"/>
      <c r="GUV3" s="1259"/>
      <c r="GUW3" s="1259"/>
      <c r="GUX3" s="1259"/>
      <c r="GUY3" s="1259"/>
      <c r="GUZ3" s="1259"/>
      <c r="GVA3" s="1259"/>
      <c r="GVB3" s="1259"/>
      <c r="GVC3" s="1259"/>
      <c r="GVD3" s="1259"/>
      <c r="GVE3" s="1259"/>
      <c r="GVF3" s="1259"/>
      <c r="GVG3" s="1259"/>
      <c r="GVH3" s="1259"/>
      <c r="GVI3" s="1259"/>
      <c r="GVJ3" s="1259"/>
      <c r="GVK3" s="1259"/>
      <c r="GVL3" s="1259"/>
      <c r="GVM3" s="1259"/>
      <c r="GVN3" s="1259"/>
      <c r="GVO3" s="1259"/>
      <c r="GVP3" s="1259"/>
      <c r="GVQ3" s="1259"/>
      <c r="GVR3" s="1259"/>
      <c r="GVS3" s="1259"/>
      <c r="GVT3" s="1259"/>
      <c r="GVU3" s="1259"/>
      <c r="GVV3" s="1259"/>
      <c r="GVW3" s="1259"/>
      <c r="GVX3" s="1259"/>
      <c r="GVY3" s="1259"/>
      <c r="GVZ3" s="1259"/>
      <c r="GWA3" s="1259"/>
      <c r="GWB3" s="1259"/>
      <c r="GWC3" s="1259"/>
      <c r="GWD3" s="1259"/>
      <c r="GWE3" s="1259"/>
      <c r="GWF3" s="1259"/>
      <c r="GWG3" s="1259"/>
      <c r="GWH3" s="1259"/>
      <c r="GWI3" s="1259"/>
      <c r="GWJ3" s="1259"/>
      <c r="GWK3" s="1259"/>
      <c r="GWL3" s="1259"/>
      <c r="GWM3" s="1259"/>
      <c r="GWN3" s="1259"/>
      <c r="GWO3" s="1259"/>
      <c r="GWP3" s="1259"/>
      <c r="GWQ3" s="1259"/>
      <c r="GWR3" s="1259"/>
      <c r="GWS3" s="1259"/>
      <c r="GWT3" s="1259"/>
      <c r="GWU3" s="1259"/>
      <c r="GWV3" s="1259"/>
      <c r="GWW3" s="1259"/>
      <c r="GWX3" s="1259"/>
      <c r="GWY3" s="1259"/>
      <c r="GWZ3" s="1259"/>
      <c r="GXA3" s="1259"/>
      <c r="GXB3" s="1259"/>
      <c r="GXC3" s="1259"/>
      <c r="GXD3" s="1259"/>
      <c r="GXE3" s="1259"/>
      <c r="GXF3" s="1259"/>
      <c r="GXG3" s="1259"/>
      <c r="GXH3" s="1259"/>
      <c r="GXI3" s="1259"/>
      <c r="GXJ3" s="1259"/>
      <c r="GXK3" s="1259"/>
      <c r="GXL3" s="1259"/>
      <c r="GXM3" s="1259"/>
      <c r="GXN3" s="1259"/>
      <c r="GXO3" s="1259"/>
      <c r="GXP3" s="1259"/>
      <c r="GXQ3" s="1259"/>
      <c r="GXR3" s="1259"/>
      <c r="GXS3" s="1259"/>
      <c r="GXT3" s="1259"/>
      <c r="GXU3" s="1259"/>
      <c r="GXV3" s="1259"/>
      <c r="GXW3" s="1259"/>
      <c r="GXX3" s="1259"/>
      <c r="GXY3" s="1259"/>
      <c r="GXZ3" s="1259"/>
      <c r="GYA3" s="1259"/>
      <c r="GYB3" s="1259"/>
      <c r="GYC3" s="1259"/>
      <c r="GYD3" s="1259"/>
      <c r="GYE3" s="1259"/>
      <c r="GYF3" s="1259"/>
      <c r="GYG3" s="1259"/>
      <c r="GYH3" s="1259"/>
      <c r="GYI3" s="1259"/>
      <c r="GYJ3" s="1259"/>
      <c r="GYK3" s="1259"/>
      <c r="GYL3" s="1259"/>
      <c r="GYM3" s="1259"/>
      <c r="GYN3" s="1259"/>
      <c r="GYO3" s="1259"/>
      <c r="GYP3" s="1259"/>
      <c r="GYQ3" s="1259"/>
      <c r="GYR3" s="1259"/>
      <c r="GYS3" s="1259"/>
      <c r="GYT3" s="1259"/>
      <c r="GYU3" s="1259"/>
      <c r="GYV3" s="1259"/>
      <c r="GYW3" s="1259"/>
      <c r="GYX3" s="1259"/>
      <c r="GYY3" s="1259"/>
      <c r="GYZ3" s="1259"/>
      <c r="GZA3" s="1259"/>
      <c r="GZB3" s="1259"/>
      <c r="GZC3" s="1259"/>
      <c r="GZD3" s="1259"/>
      <c r="GZE3" s="1259"/>
      <c r="GZF3" s="1259"/>
      <c r="GZG3" s="1259"/>
      <c r="GZH3" s="1259"/>
      <c r="GZI3" s="1259"/>
      <c r="GZJ3" s="1259"/>
      <c r="GZK3" s="1259"/>
      <c r="GZL3" s="1259"/>
      <c r="GZM3" s="1259"/>
      <c r="GZN3" s="1259"/>
      <c r="GZO3" s="1259"/>
      <c r="GZP3" s="1259"/>
      <c r="GZQ3" s="1259"/>
      <c r="GZR3" s="1259"/>
      <c r="GZS3" s="1259"/>
      <c r="GZT3" s="1259"/>
      <c r="GZU3" s="1259"/>
      <c r="GZV3" s="1259"/>
      <c r="GZW3" s="1259"/>
      <c r="GZX3" s="1259"/>
      <c r="GZY3" s="1259"/>
      <c r="GZZ3" s="1259"/>
      <c r="HAA3" s="1259"/>
      <c r="HAB3" s="1259"/>
      <c r="HAC3" s="1259"/>
      <c r="HAD3" s="1259"/>
      <c r="HAE3" s="1259"/>
      <c r="HAF3" s="1259"/>
      <c r="HAG3" s="1259"/>
      <c r="HAH3" s="1259"/>
      <c r="HAI3" s="1259"/>
      <c r="HAJ3" s="1259"/>
      <c r="HAK3" s="1259"/>
      <c r="HAL3" s="1259"/>
      <c r="HAM3" s="1259"/>
      <c r="HAN3" s="1259"/>
      <c r="HAO3" s="1259"/>
      <c r="HAP3" s="1259"/>
      <c r="HAQ3" s="1259"/>
      <c r="HAR3" s="1259"/>
      <c r="HAS3" s="1259"/>
      <c r="HAT3" s="1259"/>
      <c r="HAU3" s="1259"/>
      <c r="HAV3" s="1259"/>
      <c r="HAW3" s="1259"/>
      <c r="HAX3" s="1259"/>
      <c r="HAY3" s="1259"/>
      <c r="HAZ3" s="1259"/>
      <c r="HBA3" s="1259"/>
      <c r="HBB3" s="1259"/>
      <c r="HBC3" s="1259"/>
      <c r="HBD3" s="1259"/>
      <c r="HBE3" s="1259"/>
      <c r="HBF3" s="1259"/>
      <c r="HBG3" s="1259"/>
      <c r="HBH3" s="1259"/>
      <c r="HBI3" s="1259"/>
      <c r="HBJ3" s="1259"/>
      <c r="HBK3" s="1259"/>
      <c r="HBL3" s="1259"/>
      <c r="HBM3" s="1259"/>
      <c r="HBN3" s="1259"/>
      <c r="HBO3" s="1259"/>
      <c r="HBP3" s="1259"/>
      <c r="HBQ3" s="1259"/>
      <c r="HBR3" s="1259"/>
      <c r="HBS3" s="1259"/>
      <c r="HBT3" s="1259"/>
      <c r="HBU3" s="1259"/>
      <c r="HBV3" s="1259"/>
      <c r="HBW3" s="1259"/>
      <c r="HBX3" s="1259"/>
      <c r="HBY3" s="1259"/>
      <c r="HBZ3" s="1259"/>
      <c r="HCA3" s="1259"/>
      <c r="HCB3" s="1259"/>
      <c r="HCC3" s="1259"/>
      <c r="HCD3" s="1259"/>
      <c r="HCE3" s="1259"/>
      <c r="HCF3" s="1259"/>
      <c r="HCG3" s="1259"/>
      <c r="HCH3" s="1259"/>
      <c r="HCI3" s="1259"/>
      <c r="HCJ3" s="1259"/>
      <c r="HCK3" s="1259"/>
      <c r="HCL3" s="1259"/>
      <c r="HCM3" s="1259"/>
      <c r="HCN3" s="1259"/>
      <c r="HCO3" s="1259"/>
      <c r="HCP3" s="1259"/>
      <c r="HCQ3" s="1259"/>
      <c r="HCR3" s="1259"/>
      <c r="HCS3" s="1259"/>
      <c r="HCT3" s="1259"/>
      <c r="HCU3" s="1259"/>
      <c r="HCV3" s="1259"/>
      <c r="HCW3" s="1259"/>
      <c r="HCX3" s="1259"/>
      <c r="HCY3" s="1259"/>
      <c r="HCZ3" s="1259"/>
      <c r="HDA3" s="1259"/>
      <c r="HDB3" s="1259"/>
      <c r="HDC3" s="1259"/>
      <c r="HDD3" s="1259"/>
      <c r="HDE3" s="1259"/>
      <c r="HDF3" s="1259"/>
      <c r="HDG3" s="1259"/>
      <c r="HDH3" s="1259"/>
      <c r="HDI3" s="1259"/>
      <c r="HDJ3" s="1259"/>
      <c r="HDK3" s="1259"/>
      <c r="HDL3" s="1259"/>
      <c r="HDM3" s="1259"/>
      <c r="HDN3" s="1259"/>
      <c r="HDO3" s="1259"/>
      <c r="HDP3" s="1259"/>
      <c r="HDQ3" s="1259"/>
      <c r="HDR3" s="1259"/>
      <c r="HDS3" s="1259"/>
      <c r="HDT3" s="1259"/>
      <c r="HDU3" s="1259"/>
      <c r="HDV3" s="1259"/>
      <c r="HDW3" s="1259"/>
      <c r="HDX3" s="1259"/>
      <c r="HDY3" s="1259"/>
      <c r="HDZ3" s="1259"/>
      <c r="HEA3" s="1259"/>
      <c r="HEB3" s="1259"/>
      <c r="HEC3" s="1259"/>
      <c r="HED3" s="1259"/>
      <c r="HEE3" s="1259"/>
      <c r="HEF3" s="1259"/>
      <c r="HEG3" s="1259"/>
      <c r="HEH3" s="1259"/>
      <c r="HEI3" s="1259"/>
      <c r="HEJ3" s="1259"/>
      <c r="HEK3" s="1259"/>
      <c r="HEL3" s="1259"/>
      <c r="HEM3" s="1259"/>
      <c r="HEN3" s="1259"/>
      <c r="HEO3" s="1259"/>
      <c r="HEP3" s="1259"/>
      <c r="HEQ3" s="1259"/>
      <c r="HER3" s="1259"/>
      <c r="HES3" s="1259"/>
      <c r="HET3" s="1259"/>
      <c r="HEU3" s="1259"/>
      <c r="HEV3" s="1259"/>
      <c r="HEW3" s="1259"/>
      <c r="HEX3" s="1259"/>
      <c r="HEY3" s="1259"/>
      <c r="HEZ3" s="1259"/>
      <c r="HFA3" s="1259"/>
      <c r="HFB3" s="1259"/>
      <c r="HFC3" s="1259"/>
      <c r="HFD3" s="1259"/>
      <c r="HFE3" s="1259"/>
      <c r="HFF3" s="1259"/>
      <c r="HFG3" s="1259"/>
      <c r="HFH3" s="1259"/>
      <c r="HFI3" s="1259"/>
      <c r="HFJ3" s="1259"/>
      <c r="HFK3" s="1259"/>
      <c r="HFL3" s="1259"/>
      <c r="HFM3" s="1259"/>
      <c r="HFN3" s="1259"/>
      <c r="HFO3" s="1259"/>
      <c r="HFP3" s="1259"/>
      <c r="HFQ3" s="1259"/>
      <c r="HFR3" s="1259"/>
      <c r="HFS3" s="1259"/>
      <c r="HFT3" s="1259"/>
      <c r="HFU3" s="1259"/>
      <c r="HFV3" s="1259"/>
      <c r="HFW3" s="1259"/>
      <c r="HFX3" s="1259"/>
      <c r="HFY3" s="1259"/>
      <c r="HFZ3" s="1259"/>
      <c r="HGA3" s="1259"/>
      <c r="HGB3" s="1259"/>
      <c r="HGC3" s="1259"/>
      <c r="HGD3" s="1259"/>
      <c r="HGE3" s="1259"/>
      <c r="HGF3" s="1259"/>
      <c r="HGG3" s="1259"/>
      <c r="HGH3" s="1259"/>
      <c r="HGI3" s="1259"/>
      <c r="HGJ3" s="1259"/>
      <c r="HGK3" s="1259"/>
      <c r="HGL3" s="1259"/>
      <c r="HGM3" s="1259"/>
      <c r="HGN3" s="1259"/>
      <c r="HGO3" s="1259"/>
      <c r="HGP3" s="1259"/>
      <c r="HGQ3" s="1259"/>
      <c r="HGR3" s="1259"/>
      <c r="HGS3" s="1259"/>
      <c r="HGT3" s="1259"/>
      <c r="HGU3" s="1259"/>
      <c r="HGV3" s="1259"/>
      <c r="HGW3" s="1259"/>
      <c r="HGX3" s="1259"/>
      <c r="HGY3" s="1259"/>
      <c r="HGZ3" s="1259"/>
      <c r="HHA3" s="1259"/>
      <c r="HHB3" s="1259"/>
      <c r="HHC3" s="1259"/>
      <c r="HHD3" s="1259"/>
      <c r="HHE3" s="1259"/>
      <c r="HHF3" s="1259"/>
      <c r="HHG3" s="1259"/>
      <c r="HHH3" s="1259"/>
      <c r="HHI3" s="1259"/>
      <c r="HHJ3" s="1259"/>
      <c r="HHK3" s="1259"/>
      <c r="HHL3" s="1259"/>
      <c r="HHM3" s="1259"/>
      <c r="HHN3" s="1259"/>
      <c r="HHO3" s="1259"/>
      <c r="HHP3" s="1259"/>
      <c r="HHQ3" s="1259"/>
      <c r="HHR3" s="1259"/>
      <c r="HHS3" s="1259"/>
      <c r="HHT3" s="1259"/>
      <c r="HHU3" s="1259"/>
      <c r="HHV3" s="1259"/>
      <c r="HHW3" s="1259"/>
      <c r="HHX3" s="1259"/>
      <c r="HHY3" s="1259"/>
      <c r="HHZ3" s="1259"/>
      <c r="HIA3" s="1259"/>
      <c r="HIB3" s="1259"/>
      <c r="HIC3" s="1259"/>
      <c r="HID3" s="1259"/>
      <c r="HIE3" s="1259"/>
      <c r="HIF3" s="1259"/>
      <c r="HIG3" s="1259"/>
      <c r="HIH3" s="1259"/>
      <c r="HII3" s="1259"/>
      <c r="HIJ3" s="1259"/>
      <c r="HIK3" s="1259"/>
      <c r="HIL3" s="1259"/>
      <c r="HIM3" s="1259"/>
      <c r="HIN3" s="1259"/>
      <c r="HIO3" s="1259"/>
      <c r="HIP3" s="1259"/>
      <c r="HIQ3" s="1259"/>
      <c r="HIR3" s="1259"/>
      <c r="HIS3" s="1259"/>
      <c r="HIT3" s="1259"/>
      <c r="HIU3" s="1259"/>
      <c r="HIV3" s="1259"/>
      <c r="HIW3" s="1259"/>
      <c r="HIX3" s="1259"/>
      <c r="HIY3" s="1259"/>
      <c r="HIZ3" s="1259"/>
      <c r="HJA3" s="1259"/>
      <c r="HJB3" s="1259"/>
      <c r="HJC3" s="1259"/>
      <c r="HJD3" s="1259"/>
      <c r="HJE3" s="1259"/>
      <c r="HJF3" s="1259"/>
      <c r="HJG3" s="1259"/>
      <c r="HJH3" s="1259"/>
      <c r="HJI3" s="1259"/>
      <c r="HJJ3" s="1259"/>
      <c r="HJK3" s="1259"/>
      <c r="HJL3" s="1259"/>
      <c r="HJM3" s="1259"/>
      <c r="HJN3" s="1259"/>
      <c r="HJO3" s="1259"/>
      <c r="HJP3" s="1259"/>
      <c r="HJQ3" s="1259"/>
      <c r="HJR3" s="1259"/>
      <c r="HJS3" s="1259"/>
      <c r="HJT3" s="1259"/>
      <c r="HJU3" s="1259"/>
      <c r="HJV3" s="1259"/>
      <c r="HJW3" s="1259"/>
      <c r="HJX3" s="1259"/>
      <c r="HJY3" s="1259"/>
      <c r="HJZ3" s="1259"/>
      <c r="HKA3" s="1259"/>
      <c r="HKB3" s="1259"/>
      <c r="HKC3" s="1259"/>
      <c r="HKD3" s="1259"/>
      <c r="HKE3" s="1259"/>
      <c r="HKF3" s="1259"/>
      <c r="HKG3" s="1259"/>
      <c r="HKH3" s="1259"/>
      <c r="HKI3" s="1259"/>
      <c r="HKJ3" s="1259"/>
      <c r="HKK3" s="1259"/>
      <c r="HKL3" s="1259"/>
      <c r="HKM3" s="1259"/>
      <c r="HKN3" s="1259"/>
      <c r="HKO3" s="1259"/>
      <c r="HKP3" s="1259"/>
      <c r="HKQ3" s="1259"/>
      <c r="HKR3" s="1259"/>
      <c r="HKS3" s="1259"/>
      <c r="HKT3" s="1259"/>
      <c r="HKU3" s="1259"/>
      <c r="HKV3" s="1259"/>
      <c r="HKW3" s="1259"/>
      <c r="HKX3" s="1259"/>
      <c r="HKY3" s="1259"/>
      <c r="HKZ3" s="1259"/>
      <c r="HLA3" s="1259"/>
      <c r="HLB3" s="1259"/>
      <c r="HLC3" s="1259"/>
      <c r="HLD3" s="1259"/>
      <c r="HLE3" s="1259"/>
      <c r="HLF3" s="1259"/>
      <c r="HLG3" s="1259"/>
      <c r="HLH3" s="1259"/>
      <c r="HLI3" s="1259"/>
      <c r="HLJ3" s="1259"/>
      <c r="HLK3" s="1259"/>
      <c r="HLL3" s="1259"/>
      <c r="HLM3" s="1259"/>
      <c r="HLN3" s="1259"/>
      <c r="HLO3" s="1259"/>
      <c r="HLP3" s="1259"/>
      <c r="HLQ3" s="1259"/>
      <c r="HLR3" s="1259"/>
      <c r="HLS3" s="1259"/>
      <c r="HLT3" s="1259"/>
      <c r="HLU3" s="1259"/>
      <c r="HLV3" s="1259"/>
      <c r="HLW3" s="1259"/>
      <c r="HLX3" s="1259"/>
      <c r="HLY3" s="1259"/>
      <c r="HLZ3" s="1259"/>
      <c r="HMA3" s="1259"/>
      <c r="HMB3" s="1259"/>
      <c r="HMC3" s="1259"/>
      <c r="HMD3" s="1259"/>
      <c r="HME3" s="1259"/>
      <c r="HMF3" s="1259"/>
      <c r="HMG3" s="1259"/>
      <c r="HMH3" s="1259"/>
      <c r="HMI3" s="1259"/>
      <c r="HMJ3" s="1259"/>
      <c r="HMK3" s="1259"/>
      <c r="HML3" s="1259"/>
      <c r="HMM3" s="1259"/>
      <c r="HMN3" s="1259"/>
      <c r="HMO3" s="1259"/>
      <c r="HMP3" s="1259"/>
      <c r="HMQ3" s="1259"/>
      <c r="HMR3" s="1259"/>
      <c r="HMS3" s="1259"/>
      <c r="HMT3" s="1259"/>
      <c r="HMU3" s="1259"/>
      <c r="HMV3" s="1259"/>
      <c r="HMW3" s="1259"/>
      <c r="HMX3" s="1259"/>
      <c r="HMY3" s="1259"/>
      <c r="HMZ3" s="1259"/>
      <c r="HNA3" s="1259"/>
      <c r="HNB3" s="1259"/>
      <c r="HNC3" s="1259"/>
      <c r="HND3" s="1259"/>
      <c r="HNE3" s="1259"/>
      <c r="HNF3" s="1259"/>
      <c r="HNG3" s="1259"/>
      <c r="HNH3" s="1259"/>
      <c r="HNI3" s="1259"/>
      <c r="HNJ3" s="1259"/>
      <c r="HNK3" s="1259"/>
      <c r="HNL3" s="1259"/>
      <c r="HNM3" s="1259"/>
      <c r="HNN3" s="1259"/>
      <c r="HNO3" s="1259"/>
      <c r="HNP3" s="1259"/>
      <c r="HNQ3" s="1259"/>
      <c r="HNR3" s="1259"/>
      <c r="HNS3" s="1259"/>
      <c r="HNT3" s="1259"/>
      <c r="HNU3" s="1259"/>
      <c r="HNV3" s="1259"/>
      <c r="HNW3" s="1259"/>
      <c r="HNX3" s="1259"/>
      <c r="HNY3" s="1259"/>
      <c r="HNZ3" s="1259"/>
      <c r="HOA3" s="1259"/>
      <c r="HOB3" s="1259"/>
      <c r="HOC3" s="1259"/>
      <c r="HOD3" s="1259"/>
      <c r="HOE3" s="1259"/>
      <c r="HOF3" s="1259"/>
      <c r="HOG3" s="1259"/>
      <c r="HOH3" s="1259"/>
      <c r="HOI3" s="1259"/>
      <c r="HOJ3" s="1259"/>
      <c r="HOK3" s="1259"/>
      <c r="HOL3" s="1259"/>
      <c r="HOM3" s="1259"/>
      <c r="HON3" s="1259"/>
      <c r="HOO3" s="1259"/>
      <c r="HOP3" s="1259"/>
      <c r="HOQ3" s="1259"/>
      <c r="HOR3" s="1259"/>
      <c r="HOS3" s="1259"/>
      <c r="HOT3" s="1259"/>
      <c r="HOU3" s="1259"/>
      <c r="HOV3" s="1259"/>
      <c r="HOW3" s="1259"/>
      <c r="HOX3" s="1259"/>
      <c r="HOY3" s="1259"/>
      <c r="HOZ3" s="1259"/>
      <c r="HPA3" s="1259"/>
      <c r="HPB3" s="1259"/>
      <c r="HPC3" s="1259"/>
      <c r="HPD3" s="1259"/>
      <c r="HPE3" s="1259"/>
      <c r="HPF3" s="1259"/>
      <c r="HPG3" s="1259"/>
      <c r="HPH3" s="1259"/>
      <c r="HPI3" s="1259"/>
      <c r="HPJ3" s="1259"/>
      <c r="HPK3" s="1259"/>
      <c r="HPL3" s="1259"/>
      <c r="HPM3" s="1259"/>
      <c r="HPN3" s="1259"/>
      <c r="HPO3" s="1259"/>
      <c r="HPP3" s="1259"/>
      <c r="HPQ3" s="1259"/>
      <c r="HPR3" s="1259"/>
      <c r="HPS3" s="1259"/>
      <c r="HPT3" s="1259"/>
      <c r="HPU3" s="1259"/>
      <c r="HPV3" s="1259"/>
      <c r="HPW3" s="1259"/>
      <c r="HPX3" s="1259"/>
      <c r="HPY3" s="1259"/>
      <c r="HPZ3" s="1259"/>
      <c r="HQA3" s="1259"/>
      <c r="HQB3" s="1259"/>
      <c r="HQC3" s="1259"/>
      <c r="HQD3" s="1259"/>
      <c r="HQE3" s="1259"/>
      <c r="HQF3" s="1259"/>
      <c r="HQG3" s="1259"/>
      <c r="HQH3" s="1259"/>
      <c r="HQI3" s="1259"/>
      <c r="HQJ3" s="1259"/>
      <c r="HQK3" s="1259"/>
      <c r="HQL3" s="1259"/>
      <c r="HQM3" s="1259"/>
      <c r="HQN3" s="1259"/>
      <c r="HQO3" s="1259"/>
      <c r="HQP3" s="1259"/>
      <c r="HQQ3" s="1259"/>
      <c r="HQR3" s="1259"/>
      <c r="HQS3" s="1259"/>
      <c r="HQT3" s="1259"/>
      <c r="HQU3" s="1259"/>
      <c r="HQV3" s="1259"/>
      <c r="HQW3" s="1259"/>
      <c r="HQX3" s="1259"/>
      <c r="HQY3" s="1259"/>
      <c r="HQZ3" s="1259"/>
      <c r="HRA3" s="1259"/>
      <c r="HRB3" s="1259"/>
      <c r="HRC3" s="1259"/>
      <c r="HRD3" s="1259"/>
      <c r="HRE3" s="1259"/>
      <c r="HRF3" s="1259"/>
      <c r="HRG3" s="1259"/>
      <c r="HRH3" s="1259"/>
      <c r="HRI3" s="1259"/>
      <c r="HRJ3" s="1259"/>
      <c r="HRK3" s="1259"/>
      <c r="HRL3" s="1259"/>
      <c r="HRM3" s="1259"/>
      <c r="HRN3" s="1259"/>
      <c r="HRO3" s="1259"/>
      <c r="HRP3" s="1259"/>
      <c r="HRQ3" s="1259"/>
      <c r="HRR3" s="1259"/>
      <c r="HRS3" s="1259"/>
      <c r="HRT3" s="1259"/>
      <c r="HRU3" s="1259"/>
      <c r="HRV3" s="1259"/>
      <c r="HRW3" s="1259"/>
      <c r="HRX3" s="1259"/>
      <c r="HRY3" s="1259"/>
      <c r="HRZ3" s="1259"/>
      <c r="HSA3" s="1259"/>
      <c r="HSB3" s="1259"/>
      <c r="HSC3" s="1259"/>
      <c r="HSD3" s="1259"/>
      <c r="HSE3" s="1259"/>
      <c r="HSF3" s="1259"/>
      <c r="HSG3" s="1259"/>
      <c r="HSH3" s="1259"/>
      <c r="HSI3" s="1259"/>
      <c r="HSJ3" s="1259"/>
      <c r="HSK3" s="1259"/>
      <c r="HSL3" s="1259"/>
      <c r="HSM3" s="1259"/>
      <c r="HSN3" s="1259"/>
      <c r="HSO3" s="1259"/>
      <c r="HSP3" s="1259"/>
      <c r="HSQ3" s="1259"/>
      <c r="HSR3" s="1259"/>
      <c r="HSS3" s="1259"/>
      <c r="HST3" s="1259"/>
      <c r="HSU3" s="1259"/>
      <c r="HSV3" s="1259"/>
      <c r="HSW3" s="1259"/>
      <c r="HSX3" s="1259"/>
      <c r="HSY3" s="1259"/>
      <c r="HSZ3" s="1259"/>
      <c r="HTA3" s="1259"/>
      <c r="HTB3" s="1259"/>
      <c r="HTC3" s="1259"/>
      <c r="HTD3" s="1259"/>
      <c r="HTE3" s="1259"/>
      <c r="HTF3" s="1259"/>
      <c r="HTG3" s="1259"/>
      <c r="HTH3" s="1259"/>
      <c r="HTI3" s="1259"/>
      <c r="HTJ3" s="1259"/>
      <c r="HTK3" s="1259"/>
      <c r="HTL3" s="1259"/>
      <c r="HTM3" s="1259"/>
      <c r="HTN3" s="1259"/>
      <c r="HTO3" s="1259"/>
      <c r="HTP3" s="1259"/>
      <c r="HTQ3" s="1259"/>
      <c r="HTR3" s="1259"/>
      <c r="HTS3" s="1259"/>
      <c r="HTT3" s="1259"/>
      <c r="HTU3" s="1259"/>
      <c r="HTV3" s="1259"/>
      <c r="HTW3" s="1259"/>
      <c r="HTX3" s="1259"/>
      <c r="HTY3" s="1259"/>
      <c r="HTZ3" s="1259"/>
      <c r="HUA3" s="1259"/>
      <c r="HUB3" s="1259"/>
      <c r="HUC3" s="1259"/>
      <c r="HUD3" s="1259"/>
      <c r="HUE3" s="1259"/>
      <c r="HUF3" s="1259"/>
      <c r="HUG3" s="1259"/>
      <c r="HUH3" s="1259"/>
      <c r="HUI3" s="1259"/>
      <c r="HUJ3" s="1259"/>
      <c r="HUK3" s="1259"/>
      <c r="HUL3" s="1259"/>
      <c r="HUM3" s="1259"/>
      <c r="HUN3" s="1259"/>
      <c r="HUO3" s="1259"/>
      <c r="HUP3" s="1259"/>
      <c r="HUQ3" s="1259"/>
      <c r="HUR3" s="1259"/>
      <c r="HUS3" s="1259"/>
      <c r="HUT3" s="1259"/>
      <c r="HUU3" s="1259"/>
      <c r="HUV3" s="1259"/>
      <c r="HUW3" s="1259"/>
      <c r="HUX3" s="1259"/>
      <c r="HUY3" s="1259"/>
      <c r="HUZ3" s="1259"/>
      <c r="HVA3" s="1259"/>
      <c r="HVB3" s="1259"/>
      <c r="HVC3" s="1259"/>
      <c r="HVD3" s="1259"/>
      <c r="HVE3" s="1259"/>
      <c r="HVF3" s="1259"/>
      <c r="HVG3" s="1259"/>
      <c r="HVH3" s="1259"/>
      <c r="HVI3" s="1259"/>
      <c r="HVJ3" s="1259"/>
      <c r="HVK3" s="1259"/>
      <c r="HVL3" s="1259"/>
      <c r="HVM3" s="1259"/>
      <c r="HVN3" s="1259"/>
      <c r="HVO3" s="1259"/>
      <c r="HVP3" s="1259"/>
      <c r="HVQ3" s="1259"/>
      <c r="HVR3" s="1259"/>
      <c r="HVS3" s="1259"/>
      <c r="HVT3" s="1259"/>
      <c r="HVU3" s="1259"/>
      <c r="HVV3" s="1259"/>
      <c r="HVW3" s="1259"/>
      <c r="HVX3" s="1259"/>
      <c r="HVY3" s="1259"/>
      <c r="HVZ3" s="1259"/>
      <c r="HWA3" s="1259"/>
      <c r="HWB3" s="1259"/>
      <c r="HWC3" s="1259"/>
      <c r="HWD3" s="1259"/>
      <c r="HWE3" s="1259"/>
      <c r="HWF3" s="1259"/>
      <c r="HWG3" s="1259"/>
      <c r="HWH3" s="1259"/>
      <c r="HWI3" s="1259"/>
      <c r="HWJ3" s="1259"/>
      <c r="HWK3" s="1259"/>
      <c r="HWL3" s="1259"/>
      <c r="HWM3" s="1259"/>
      <c r="HWN3" s="1259"/>
      <c r="HWO3" s="1259"/>
      <c r="HWP3" s="1259"/>
      <c r="HWQ3" s="1259"/>
      <c r="HWR3" s="1259"/>
      <c r="HWS3" s="1259"/>
      <c r="HWT3" s="1259"/>
      <c r="HWU3" s="1259"/>
      <c r="HWV3" s="1259"/>
      <c r="HWW3" s="1259"/>
      <c r="HWX3" s="1259"/>
      <c r="HWY3" s="1259"/>
      <c r="HWZ3" s="1259"/>
      <c r="HXA3" s="1259"/>
      <c r="HXB3" s="1259"/>
      <c r="HXC3" s="1259"/>
      <c r="HXD3" s="1259"/>
      <c r="HXE3" s="1259"/>
      <c r="HXF3" s="1259"/>
      <c r="HXG3" s="1259"/>
      <c r="HXH3" s="1259"/>
      <c r="HXI3" s="1259"/>
      <c r="HXJ3" s="1259"/>
      <c r="HXK3" s="1259"/>
      <c r="HXL3" s="1259"/>
      <c r="HXM3" s="1259"/>
      <c r="HXN3" s="1259"/>
      <c r="HXO3" s="1259"/>
      <c r="HXP3" s="1259"/>
      <c r="HXQ3" s="1259"/>
      <c r="HXR3" s="1259"/>
      <c r="HXS3" s="1259"/>
      <c r="HXT3" s="1259"/>
      <c r="HXU3" s="1259"/>
      <c r="HXV3" s="1259"/>
      <c r="HXW3" s="1259"/>
      <c r="HXX3" s="1259"/>
      <c r="HXY3" s="1259"/>
      <c r="HXZ3" s="1259"/>
      <c r="HYA3" s="1259"/>
      <c r="HYB3" s="1259"/>
      <c r="HYC3" s="1259"/>
      <c r="HYD3" s="1259"/>
      <c r="HYE3" s="1259"/>
      <c r="HYF3" s="1259"/>
      <c r="HYG3" s="1259"/>
      <c r="HYH3" s="1259"/>
      <c r="HYI3" s="1259"/>
      <c r="HYJ3" s="1259"/>
      <c r="HYK3" s="1259"/>
      <c r="HYL3" s="1259"/>
      <c r="HYM3" s="1259"/>
      <c r="HYN3" s="1259"/>
      <c r="HYO3" s="1259"/>
      <c r="HYP3" s="1259"/>
      <c r="HYQ3" s="1259"/>
      <c r="HYR3" s="1259"/>
      <c r="HYS3" s="1259"/>
      <c r="HYT3" s="1259"/>
      <c r="HYU3" s="1259"/>
      <c r="HYV3" s="1259"/>
      <c r="HYW3" s="1259"/>
      <c r="HYX3" s="1259"/>
      <c r="HYY3" s="1259"/>
      <c r="HYZ3" s="1259"/>
      <c r="HZA3" s="1259"/>
      <c r="HZB3" s="1259"/>
      <c r="HZC3" s="1259"/>
      <c r="HZD3" s="1259"/>
      <c r="HZE3" s="1259"/>
      <c r="HZF3" s="1259"/>
      <c r="HZG3" s="1259"/>
      <c r="HZH3" s="1259"/>
      <c r="HZI3" s="1259"/>
      <c r="HZJ3" s="1259"/>
      <c r="HZK3" s="1259"/>
      <c r="HZL3" s="1259"/>
      <c r="HZM3" s="1259"/>
      <c r="HZN3" s="1259"/>
      <c r="HZO3" s="1259"/>
      <c r="HZP3" s="1259"/>
      <c r="HZQ3" s="1259"/>
      <c r="HZR3" s="1259"/>
      <c r="HZS3" s="1259"/>
      <c r="HZT3" s="1259"/>
      <c r="HZU3" s="1259"/>
      <c r="HZV3" s="1259"/>
      <c r="HZW3" s="1259"/>
      <c r="HZX3" s="1259"/>
      <c r="HZY3" s="1259"/>
      <c r="HZZ3" s="1259"/>
      <c r="IAA3" s="1259"/>
      <c r="IAB3" s="1259"/>
      <c r="IAC3" s="1259"/>
      <c r="IAD3" s="1259"/>
      <c r="IAE3" s="1259"/>
      <c r="IAF3" s="1259"/>
      <c r="IAG3" s="1259"/>
      <c r="IAH3" s="1259"/>
      <c r="IAI3" s="1259"/>
      <c r="IAJ3" s="1259"/>
      <c r="IAK3" s="1259"/>
      <c r="IAL3" s="1259"/>
      <c r="IAM3" s="1259"/>
      <c r="IAN3" s="1259"/>
      <c r="IAO3" s="1259"/>
      <c r="IAP3" s="1259"/>
      <c r="IAQ3" s="1259"/>
      <c r="IAR3" s="1259"/>
      <c r="IAS3" s="1259"/>
      <c r="IAT3" s="1259"/>
      <c r="IAU3" s="1259"/>
      <c r="IAV3" s="1259"/>
      <c r="IAW3" s="1259"/>
      <c r="IAX3" s="1259"/>
      <c r="IAY3" s="1259"/>
      <c r="IAZ3" s="1259"/>
      <c r="IBA3" s="1259"/>
      <c r="IBB3" s="1259"/>
      <c r="IBC3" s="1259"/>
      <c r="IBD3" s="1259"/>
      <c r="IBE3" s="1259"/>
      <c r="IBF3" s="1259"/>
      <c r="IBG3" s="1259"/>
      <c r="IBH3" s="1259"/>
      <c r="IBI3" s="1259"/>
      <c r="IBJ3" s="1259"/>
      <c r="IBK3" s="1259"/>
      <c r="IBL3" s="1259"/>
      <c r="IBM3" s="1259"/>
      <c r="IBN3" s="1259"/>
      <c r="IBO3" s="1259"/>
      <c r="IBP3" s="1259"/>
      <c r="IBQ3" s="1259"/>
      <c r="IBR3" s="1259"/>
      <c r="IBS3" s="1259"/>
      <c r="IBT3" s="1259"/>
      <c r="IBU3" s="1259"/>
      <c r="IBV3" s="1259"/>
      <c r="IBW3" s="1259"/>
      <c r="IBX3" s="1259"/>
      <c r="IBY3" s="1259"/>
      <c r="IBZ3" s="1259"/>
      <c r="ICA3" s="1259"/>
      <c r="ICB3" s="1259"/>
      <c r="ICC3" s="1259"/>
      <c r="ICD3" s="1259"/>
      <c r="ICE3" s="1259"/>
      <c r="ICF3" s="1259"/>
      <c r="ICG3" s="1259"/>
      <c r="ICH3" s="1259"/>
      <c r="ICI3" s="1259"/>
      <c r="ICJ3" s="1259"/>
      <c r="ICK3" s="1259"/>
      <c r="ICL3" s="1259"/>
      <c r="ICM3" s="1259"/>
      <c r="ICN3" s="1259"/>
      <c r="ICO3" s="1259"/>
      <c r="ICP3" s="1259"/>
      <c r="ICQ3" s="1259"/>
      <c r="ICR3" s="1259"/>
      <c r="ICS3" s="1259"/>
      <c r="ICT3" s="1259"/>
      <c r="ICU3" s="1259"/>
      <c r="ICV3" s="1259"/>
      <c r="ICW3" s="1259"/>
      <c r="ICX3" s="1259"/>
      <c r="ICY3" s="1259"/>
      <c r="ICZ3" s="1259"/>
      <c r="IDA3" s="1259"/>
      <c r="IDB3" s="1259"/>
      <c r="IDC3" s="1259"/>
      <c r="IDD3" s="1259"/>
      <c r="IDE3" s="1259"/>
      <c r="IDF3" s="1259"/>
      <c r="IDG3" s="1259"/>
      <c r="IDH3" s="1259"/>
      <c r="IDI3" s="1259"/>
      <c r="IDJ3" s="1259"/>
      <c r="IDK3" s="1259"/>
      <c r="IDL3" s="1259"/>
      <c r="IDM3" s="1259"/>
      <c r="IDN3" s="1259"/>
      <c r="IDO3" s="1259"/>
      <c r="IDP3" s="1259"/>
      <c r="IDQ3" s="1259"/>
      <c r="IDR3" s="1259"/>
      <c r="IDS3" s="1259"/>
      <c r="IDT3" s="1259"/>
      <c r="IDU3" s="1259"/>
      <c r="IDV3" s="1259"/>
      <c r="IDW3" s="1259"/>
      <c r="IDX3" s="1259"/>
      <c r="IDY3" s="1259"/>
      <c r="IDZ3" s="1259"/>
      <c r="IEA3" s="1259"/>
      <c r="IEB3" s="1259"/>
      <c r="IEC3" s="1259"/>
      <c r="IED3" s="1259"/>
      <c r="IEE3" s="1259"/>
      <c r="IEF3" s="1259"/>
      <c r="IEG3" s="1259"/>
      <c r="IEH3" s="1259"/>
      <c r="IEI3" s="1259"/>
      <c r="IEJ3" s="1259"/>
      <c r="IEK3" s="1259"/>
      <c r="IEL3" s="1259"/>
      <c r="IEM3" s="1259"/>
      <c r="IEN3" s="1259"/>
      <c r="IEO3" s="1259"/>
      <c r="IEP3" s="1259"/>
      <c r="IEQ3" s="1259"/>
      <c r="IER3" s="1259"/>
      <c r="IES3" s="1259"/>
      <c r="IET3" s="1259"/>
      <c r="IEU3" s="1259"/>
      <c r="IEV3" s="1259"/>
      <c r="IEW3" s="1259"/>
      <c r="IEX3" s="1259"/>
      <c r="IEY3" s="1259"/>
      <c r="IEZ3" s="1259"/>
      <c r="IFA3" s="1259"/>
      <c r="IFB3" s="1259"/>
      <c r="IFC3" s="1259"/>
      <c r="IFD3" s="1259"/>
      <c r="IFE3" s="1259"/>
      <c r="IFF3" s="1259"/>
      <c r="IFG3" s="1259"/>
      <c r="IFH3" s="1259"/>
      <c r="IFI3" s="1259"/>
      <c r="IFJ3" s="1259"/>
      <c r="IFK3" s="1259"/>
      <c r="IFL3" s="1259"/>
      <c r="IFM3" s="1259"/>
      <c r="IFN3" s="1259"/>
      <c r="IFO3" s="1259"/>
      <c r="IFP3" s="1259"/>
      <c r="IFQ3" s="1259"/>
      <c r="IFR3" s="1259"/>
      <c r="IFS3" s="1259"/>
      <c r="IFT3" s="1259"/>
      <c r="IFU3" s="1259"/>
      <c r="IFV3" s="1259"/>
      <c r="IFW3" s="1259"/>
      <c r="IFX3" s="1259"/>
      <c r="IFY3" s="1259"/>
      <c r="IFZ3" s="1259"/>
      <c r="IGA3" s="1259"/>
      <c r="IGB3" s="1259"/>
      <c r="IGC3" s="1259"/>
      <c r="IGD3" s="1259"/>
      <c r="IGE3" s="1259"/>
      <c r="IGF3" s="1259"/>
      <c r="IGG3" s="1259"/>
      <c r="IGH3" s="1259"/>
      <c r="IGI3" s="1259"/>
      <c r="IGJ3" s="1259"/>
      <c r="IGK3" s="1259"/>
      <c r="IGL3" s="1259"/>
      <c r="IGM3" s="1259"/>
      <c r="IGN3" s="1259"/>
      <c r="IGO3" s="1259"/>
      <c r="IGP3" s="1259"/>
      <c r="IGQ3" s="1259"/>
      <c r="IGR3" s="1259"/>
      <c r="IGS3" s="1259"/>
      <c r="IGT3" s="1259"/>
      <c r="IGU3" s="1259"/>
      <c r="IGV3" s="1259"/>
      <c r="IGW3" s="1259"/>
      <c r="IGX3" s="1259"/>
      <c r="IGY3" s="1259"/>
      <c r="IGZ3" s="1259"/>
      <c r="IHA3" s="1259"/>
      <c r="IHB3" s="1259"/>
      <c r="IHC3" s="1259"/>
      <c r="IHD3" s="1259"/>
      <c r="IHE3" s="1259"/>
      <c r="IHF3" s="1259"/>
      <c r="IHG3" s="1259"/>
      <c r="IHH3" s="1259"/>
      <c r="IHI3" s="1259"/>
      <c r="IHJ3" s="1259"/>
      <c r="IHK3" s="1259"/>
      <c r="IHL3" s="1259"/>
      <c r="IHM3" s="1259"/>
      <c r="IHN3" s="1259"/>
      <c r="IHO3" s="1259"/>
      <c r="IHP3" s="1259"/>
      <c r="IHQ3" s="1259"/>
      <c r="IHR3" s="1259"/>
      <c r="IHS3" s="1259"/>
      <c r="IHT3" s="1259"/>
      <c r="IHU3" s="1259"/>
      <c r="IHV3" s="1259"/>
      <c r="IHW3" s="1259"/>
      <c r="IHX3" s="1259"/>
      <c r="IHY3" s="1259"/>
      <c r="IHZ3" s="1259"/>
      <c r="IIA3" s="1259"/>
      <c r="IIB3" s="1259"/>
      <c r="IIC3" s="1259"/>
      <c r="IID3" s="1259"/>
      <c r="IIE3" s="1259"/>
      <c r="IIF3" s="1259"/>
      <c r="IIG3" s="1259"/>
      <c r="IIH3" s="1259"/>
      <c r="III3" s="1259"/>
      <c r="IIJ3" s="1259"/>
      <c r="IIK3" s="1259"/>
      <c r="IIL3" s="1259"/>
      <c r="IIM3" s="1259"/>
      <c r="IIN3" s="1259"/>
      <c r="IIO3" s="1259"/>
      <c r="IIP3" s="1259"/>
      <c r="IIQ3" s="1259"/>
      <c r="IIR3" s="1259"/>
      <c r="IIS3" s="1259"/>
      <c r="IIT3" s="1259"/>
      <c r="IIU3" s="1259"/>
      <c r="IIV3" s="1259"/>
      <c r="IIW3" s="1259"/>
      <c r="IIX3" s="1259"/>
      <c r="IIY3" s="1259"/>
      <c r="IIZ3" s="1259"/>
      <c r="IJA3" s="1259"/>
      <c r="IJB3" s="1259"/>
      <c r="IJC3" s="1259"/>
      <c r="IJD3" s="1259"/>
      <c r="IJE3" s="1259"/>
      <c r="IJF3" s="1259"/>
      <c r="IJG3" s="1259"/>
      <c r="IJH3" s="1259"/>
      <c r="IJI3" s="1259"/>
      <c r="IJJ3" s="1259"/>
      <c r="IJK3" s="1259"/>
      <c r="IJL3" s="1259"/>
      <c r="IJM3" s="1259"/>
      <c r="IJN3" s="1259"/>
      <c r="IJO3" s="1259"/>
      <c r="IJP3" s="1259"/>
      <c r="IJQ3" s="1259"/>
      <c r="IJR3" s="1259"/>
      <c r="IJS3" s="1259"/>
      <c r="IJT3" s="1259"/>
      <c r="IJU3" s="1259"/>
      <c r="IJV3" s="1259"/>
      <c r="IJW3" s="1259"/>
      <c r="IJX3" s="1259"/>
      <c r="IJY3" s="1259"/>
      <c r="IJZ3" s="1259"/>
      <c r="IKA3" s="1259"/>
      <c r="IKB3" s="1259"/>
      <c r="IKC3" s="1259"/>
      <c r="IKD3" s="1259"/>
      <c r="IKE3" s="1259"/>
      <c r="IKF3" s="1259"/>
      <c r="IKG3" s="1259"/>
      <c r="IKH3" s="1259"/>
      <c r="IKI3" s="1259"/>
      <c r="IKJ3" s="1259"/>
      <c r="IKK3" s="1259"/>
      <c r="IKL3" s="1259"/>
      <c r="IKM3" s="1259"/>
      <c r="IKN3" s="1259"/>
      <c r="IKO3" s="1259"/>
      <c r="IKP3" s="1259"/>
      <c r="IKQ3" s="1259"/>
      <c r="IKR3" s="1259"/>
      <c r="IKS3" s="1259"/>
      <c r="IKT3" s="1259"/>
      <c r="IKU3" s="1259"/>
      <c r="IKV3" s="1259"/>
      <c r="IKW3" s="1259"/>
      <c r="IKX3" s="1259"/>
      <c r="IKY3" s="1259"/>
      <c r="IKZ3" s="1259"/>
      <c r="ILA3" s="1259"/>
      <c r="ILB3" s="1259"/>
      <c r="ILC3" s="1259"/>
      <c r="ILD3" s="1259"/>
      <c r="ILE3" s="1259"/>
      <c r="ILF3" s="1259"/>
      <c r="ILG3" s="1259"/>
      <c r="ILH3" s="1259"/>
      <c r="ILI3" s="1259"/>
      <c r="ILJ3" s="1259"/>
      <c r="ILK3" s="1259"/>
      <c r="ILL3" s="1259"/>
      <c r="ILM3" s="1259"/>
      <c r="ILN3" s="1259"/>
      <c r="ILO3" s="1259"/>
      <c r="ILP3" s="1259"/>
      <c r="ILQ3" s="1259"/>
      <c r="ILR3" s="1259"/>
      <c r="ILS3" s="1259"/>
      <c r="ILT3" s="1259"/>
      <c r="ILU3" s="1259"/>
      <c r="ILV3" s="1259"/>
      <c r="ILW3" s="1259"/>
      <c r="ILX3" s="1259"/>
      <c r="ILY3" s="1259"/>
      <c r="ILZ3" s="1259"/>
      <c r="IMA3" s="1259"/>
      <c r="IMB3" s="1259"/>
      <c r="IMC3" s="1259"/>
      <c r="IMD3" s="1259"/>
      <c r="IME3" s="1259"/>
      <c r="IMF3" s="1259"/>
      <c r="IMG3" s="1259"/>
      <c r="IMH3" s="1259"/>
      <c r="IMI3" s="1259"/>
      <c r="IMJ3" s="1259"/>
      <c r="IMK3" s="1259"/>
      <c r="IML3" s="1259"/>
      <c r="IMM3" s="1259"/>
      <c r="IMN3" s="1259"/>
      <c r="IMO3" s="1259"/>
      <c r="IMP3" s="1259"/>
      <c r="IMQ3" s="1259"/>
      <c r="IMR3" s="1259"/>
      <c r="IMS3" s="1259"/>
      <c r="IMT3" s="1259"/>
      <c r="IMU3" s="1259"/>
      <c r="IMV3" s="1259"/>
      <c r="IMW3" s="1259"/>
      <c r="IMX3" s="1259"/>
      <c r="IMY3" s="1259"/>
      <c r="IMZ3" s="1259"/>
      <c r="INA3" s="1259"/>
      <c r="INB3" s="1259"/>
      <c r="INC3" s="1259"/>
      <c r="IND3" s="1259"/>
      <c r="INE3" s="1259"/>
      <c r="INF3" s="1259"/>
      <c r="ING3" s="1259"/>
      <c r="INH3" s="1259"/>
      <c r="INI3" s="1259"/>
      <c r="INJ3" s="1259"/>
      <c r="INK3" s="1259"/>
      <c r="INL3" s="1259"/>
      <c r="INM3" s="1259"/>
      <c r="INN3" s="1259"/>
      <c r="INO3" s="1259"/>
      <c r="INP3" s="1259"/>
      <c r="INQ3" s="1259"/>
      <c r="INR3" s="1259"/>
      <c r="INS3" s="1259"/>
      <c r="INT3" s="1259"/>
      <c r="INU3" s="1259"/>
      <c r="INV3" s="1259"/>
      <c r="INW3" s="1259"/>
      <c r="INX3" s="1259"/>
      <c r="INY3" s="1259"/>
      <c r="INZ3" s="1259"/>
      <c r="IOA3" s="1259"/>
      <c r="IOB3" s="1259"/>
      <c r="IOC3" s="1259"/>
      <c r="IOD3" s="1259"/>
      <c r="IOE3" s="1259"/>
      <c r="IOF3" s="1259"/>
      <c r="IOG3" s="1259"/>
      <c r="IOH3" s="1259"/>
      <c r="IOI3" s="1259"/>
      <c r="IOJ3" s="1259"/>
      <c r="IOK3" s="1259"/>
      <c r="IOL3" s="1259"/>
      <c r="IOM3" s="1259"/>
      <c r="ION3" s="1259"/>
      <c r="IOO3" s="1259"/>
      <c r="IOP3" s="1259"/>
      <c r="IOQ3" s="1259"/>
      <c r="IOR3" s="1259"/>
      <c r="IOS3" s="1259"/>
      <c r="IOT3" s="1259"/>
      <c r="IOU3" s="1259"/>
      <c r="IOV3" s="1259"/>
      <c r="IOW3" s="1259"/>
      <c r="IOX3" s="1259"/>
      <c r="IOY3" s="1259"/>
      <c r="IOZ3" s="1259"/>
      <c r="IPA3" s="1259"/>
      <c r="IPB3" s="1259"/>
      <c r="IPC3" s="1259"/>
      <c r="IPD3" s="1259"/>
      <c r="IPE3" s="1259"/>
      <c r="IPF3" s="1259"/>
      <c r="IPG3" s="1259"/>
      <c r="IPH3" s="1259"/>
      <c r="IPI3" s="1259"/>
      <c r="IPJ3" s="1259"/>
      <c r="IPK3" s="1259"/>
      <c r="IPL3" s="1259"/>
      <c r="IPM3" s="1259"/>
      <c r="IPN3" s="1259"/>
      <c r="IPO3" s="1259"/>
      <c r="IPP3" s="1259"/>
      <c r="IPQ3" s="1259"/>
      <c r="IPR3" s="1259"/>
      <c r="IPS3" s="1259"/>
      <c r="IPT3" s="1259"/>
      <c r="IPU3" s="1259"/>
      <c r="IPV3" s="1259"/>
      <c r="IPW3" s="1259"/>
      <c r="IPX3" s="1259"/>
      <c r="IPY3" s="1259"/>
      <c r="IPZ3" s="1259"/>
      <c r="IQA3" s="1259"/>
      <c r="IQB3" s="1259"/>
      <c r="IQC3" s="1259"/>
      <c r="IQD3" s="1259"/>
      <c r="IQE3" s="1259"/>
      <c r="IQF3" s="1259"/>
      <c r="IQG3" s="1259"/>
      <c r="IQH3" s="1259"/>
      <c r="IQI3" s="1259"/>
      <c r="IQJ3" s="1259"/>
      <c r="IQK3" s="1259"/>
      <c r="IQL3" s="1259"/>
      <c r="IQM3" s="1259"/>
      <c r="IQN3" s="1259"/>
      <c r="IQO3" s="1259"/>
      <c r="IQP3" s="1259"/>
      <c r="IQQ3" s="1259"/>
      <c r="IQR3" s="1259"/>
      <c r="IQS3" s="1259"/>
      <c r="IQT3" s="1259"/>
      <c r="IQU3" s="1259"/>
      <c r="IQV3" s="1259"/>
      <c r="IQW3" s="1259"/>
      <c r="IQX3" s="1259"/>
      <c r="IQY3" s="1259"/>
      <c r="IQZ3" s="1259"/>
      <c r="IRA3" s="1259"/>
      <c r="IRB3" s="1259"/>
      <c r="IRC3" s="1259"/>
      <c r="IRD3" s="1259"/>
      <c r="IRE3" s="1259"/>
      <c r="IRF3" s="1259"/>
      <c r="IRG3" s="1259"/>
      <c r="IRH3" s="1259"/>
      <c r="IRI3" s="1259"/>
      <c r="IRJ3" s="1259"/>
      <c r="IRK3" s="1259"/>
      <c r="IRL3" s="1259"/>
      <c r="IRM3" s="1259"/>
      <c r="IRN3" s="1259"/>
      <c r="IRO3" s="1259"/>
      <c r="IRP3" s="1259"/>
      <c r="IRQ3" s="1259"/>
      <c r="IRR3" s="1259"/>
      <c r="IRS3" s="1259"/>
      <c r="IRT3" s="1259"/>
      <c r="IRU3" s="1259"/>
      <c r="IRV3" s="1259"/>
      <c r="IRW3" s="1259"/>
      <c r="IRX3" s="1259"/>
      <c r="IRY3" s="1259"/>
      <c r="IRZ3" s="1259"/>
      <c r="ISA3" s="1259"/>
      <c r="ISB3" s="1259"/>
      <c r="ISC3" s="1259"/>
      <c r="ISD3" s="1259"/>
      <c r="ISE3" s="1259"/>
      <c r="ISF3" s="1259"/>
      <c r="ISG3" s="1259"/>
      <c r="ISH3" s="1259"/>
      <c r="ISI3" s="1259"/>
      <c r="ISJ3" s="1259"/>
      <c r="ISK3" s="1259"/>
      <c r="ISL3" s="1259"/>
      <c r="ISM3" s="1259"/>
      <c r="ISN3" s="1259"/>
      <c r="ISO3" s="1259"/>
      <c r="ISP3" s="1259"/>
      <c r="ISQ3" s="1259"/>
      <c r="ISR3" s="1259"/>
      <c r="ISS3" s="1259"/>
      <c r="IST3" s="1259"/>
      <c r="ISU3" s="1259"/>
      <c r="ISV3" s="1259"/>
      <c r="ISW3" s="1259"/>
      <c r="ISX3" s="1259"/>
      <c r="ISY3" s="1259"/>
      <c r="ISZ3" s="1259"/>
      <c r="ITA3" s="1259"/>
      <c r="ITB3" s="1259"/>
      <c r="ITC3" s="1259"/>
      <c r="ITD3" s="1259"/>
      <c r="ITE3" s="1259"/>
      <c r="ITF3" s="1259"/>
      <c r="ITG3" s="1259"/>
      <c r="ITH3" s="1259"/>
      <c r="ITI3" s="1259"/>
      <c r="ITJ3" s="1259"/>
      <c r="ITK3" s="1259"/>
      <c r="ITL3" s="1259"/>
      <c r="ITM3" s="1259"/>
      <c r="ITN3" s="1259"/>
      <c r="ITO3" s="1259"/>
      <c r="ITP3" s="1259"/>
      <c r="ITQ3" s="1259"/>
      <c r="ITR3" s="1259"/>
      <c r="ITS3" s="1259"/>
      <c r="ITT3" s="1259"/>
      <c r="ITU3" s="1259"/>
      <c r="ITV3" s="1259"/>
      <c r="ITW3" s="1259"/>
      <c r="ITX3" s="1259"/>
      <c r="ITY3" s="1259"/>
      <c r="ITZ3" s="1259"/>
      <c r="IUA3" s="1259"/>
      <c r="IUB3" s="1259"/>
      <c r="IUC3" s="1259"/>
      <c r="IUD3" s="1259"/>
      <c r="IUE3" s="1259"/>
      <c r="IUF3" s="1259"/>
      <c r="IUG3" s="1259"/>
      <c r="IUH3" s="1259"/>
      <c r="IUI3" s="1259"/>
      <c r="IUJ3" s="1259"/>
      <c r="IUK3" s="1259"/>
      <c r="IUL3" s="1259"/>
      <c r="IUM3" s="1259"/>
      <c r="IUN3" s="1259"/>
      <c r="IUO3" s="1259"/>
      <c r="IUP3" s="1259"/>
      <c r="IUQ3" s="1259"/>
      <c r="IUR3" s="1259"/>
      <c r="IUS3" s="1259"/>
      <c r="IUT3" s="1259"/>
      <c r="IUU3" s="1259"/>
      <c r="IUV3" s="1259"/>
      <c r="IUW3" s="1259"/>
      <c r="IUX3" s="1259"/>
      <c r="IUY3" s="1259"/>
      <c r="IUZ3" s="1259"/>
      <c r="IVA3" s="1259"/>
      <c r="IVB3" s="1259"/>
      <c r="IVC3" s="1259"/>
      <c r="IVD3" s="1259"/>
      <c r="IVE3" s="1259"/>
      <c r="IVF3" s="1259"/>
      <c r="IVG3" s="1259"/>
      <c r="IVH3" s="1259"/>
      <c r="IVI3" s="1259"/>
      <c r="IVJ3" s="1259"/>
      <c r="IVK3" s="1259"/>
      <c r="IVL3" s="1259"/>
      <c r="IVM3" s="1259"/>
      <c r="IVN3" s="1259"/>
      <c r="IVO3" s="1259"/>
      <c r="IVP3" s="1259"/>
      <c r="IVQ3" s="1259"/>
      <c r="IVR3" s="1259"/>
      <c r="IVS3" s="1259"/>
      <c r="IVT3" s="1259"/>
      <c r="IVU3" s="1259"/>
      <c r="IVV3" s="1259"/>
      <c r="IVW3" s="1259"/>
      <c r="IVX3" s="1259"/>
      <c r="IVY3" s="1259"/>
      <c r="IVZ3" s="1259"/>
      <c r="IWA3" s="1259"/>
      <c r="IWB3" s="1259"/>
      <c r="IWC3" s="1259"/>
      <c r="IWD3" s="1259"/>
      <c r="IWE3" s="1259"/>
      <c r="IWF3" s="1259"/>
      <c r="IWG3" s="1259"/>
      <c r="IWH3" s="1259"/>
      <c r="IWI3" s="1259"/>
      <c r="IWJ3" s="1259"/>
      <c r="IWK3" s="1259"/>
      <c r="IWL3" s="1259"/>
      <c r="IWM3" s="1259"/>
      <c r="IWN3" s="1259"/>
      <c r="IWO3" s="1259"/>
      <c r="IWP3" s="1259"/>
      <c r="IWQ3" s="1259"/>
      <c r="IWR3" s="1259"/>
      <c r="IWS3" s="1259"/>
      <c r="IWT3" s="1259"/>
      <c r="IWU3" s="1259"/>
      <c r="IWV3" s="1259"/>
      <c r="IWW3" s="1259"/>
      <c r="IWX3" s="1259"/>
      <c r="IWY3" s="1259"/>
      <c r="IWZ3" s="1259"/>
      <c r="IXA3" s="1259"/>
      <c r="IXB3" s="1259"/>
      <c r="IXC3" s="1259"/>
      <c r="IXD3" s="1259"/>
      <c r="IXE3" s="1259"/>
      <c r="IXF3" s="1259"/>
      <c r="IXG3" s="1259"/>
      <c r="IXH3" s="1259"/>
      <c r="IXI3" s="1259"/>
      <c r="IXJ3" s="1259"/>
      <c r="IXK3" s="1259"/>
      <c r="IXL3" s="1259"/>
      <c r="IXM3" s="1259"/>
      <c r="IXN3" s="1259"/>
      <c r="IXO3" s="1259"/>
      <c r="IXP3" s="1259"/>
      <c r="IXQ3" s="1259"/>
      <c r="IXR3" s="1259"/>
      <c r="IXS3" s="1259"/>
      <c r="IXT3" s="1259"/>
      <c r="IXU3" s="1259"/>
      <c r="IXV3" s="1259"/>
      <c r="IXW3" s="1259"/>
      <c r="IXX3" s="1259"/>
      <c r="IXY3" s="1259"/>
      <c r="IXZ3" s="1259"/>
      <c r="IYA3" s="1259"/>
      <c r="IYB3" s="1259"/>
      <c r="IYC3" s="1259"/>
      <c r="IYD3" s="1259"/>
      <c r="IYE3" s="1259"/>
      <c r="IYF3" s="1259"/>
      <c r="IYG3" s="1259"/>
      <c r="IYH3" s="1259"/>
      <c r="IYI3" s="1259"/>
      <c r="IYJ3" s="1259"/>
      <c r="IYK3" s="1259"/>
      <c r="IYL3" s="1259"/>
      <c r="IYM3" s="1259"/>
      <c r="IYN3" s="1259"/>
      <c r="IYO3" s="1259"/>
      <c r="IYP3" s="1259"/>
      <c r="IYQ3" s="1259"/>
      <c r="IYR3" s="1259"/>
      <c r="IYS3" s="1259"/>
      <c r="IYT3" s="1259"/>
      <c r="IYU3" s="1259"/>
      <c r="IYV3" s="1259"/>
      <c r="IYW3" s="1259"/>
      <c r="IYX3" s="1259"/>
      <c r="IYY3" s="1259"/>
      <c r="IYZ3" s="1259"/>
      <c r="IZA3" s="1259"/>
      <c r="IZB3" s="1259"/>
      <c r="IZC3" s="1259"/>
      <c r="IZD3" s="1259"/>
      <c r="IZE3" s="1259"/>
      <c r="IZF3" s="1259"/>
      <c r="IZG3" s="1259"/>
      <c r="IZH3" s="1259"/>
      <c r="IZI3" s="1259"/>
      <c r="IZJ3" s="1259"/>
      <c r="IZK3" s="1259"/>
      <c r="IZL3" s="1259"/>
      <c r="IZM3" s="1259"/>
      <c r="IZN3" s="1259"/>
      <c r="IZO3" s="1259"/>
      <c r="IZP3" s="1259"/>
      <c r="IZQ3" s="1259"/>
      <c r="IZR3" s="1259"/>
      <c r="IZS3" s="1259"/>
      <c r="IZT3" s="1259"/>
      <c r="IZU3" s="1259"/>
      <c r="IZV3" s="1259"/>
      <c r="IZW3" s="1259"/>
      <c r="IZX3" s="1259"/>
      <c r="IZY3" s="1259"/>
      <c r="IZZ3" s="1259"/>
      <c r="JAA3" s="1259"/>
      <c r="JAB3" s="1259"/>
      <c r="JAC3" s="1259"/>
      <c r="JAD3" s="1259"/>
      <c r="JAE3" s="1259"/>
      <c r="JAF3" s="1259"/>
      <c r="JAG3" s="1259"/>
      <c r="JAH3" s="1259"/>
      <c r="JAI3" s="1259"/>
      <c r="JAJ3" s="1259"/>
      <c r="JAK3" s="1259"/>
      <c r="JAL3" s="1259"/>
      <c r="JAM3" s="1259"/>
      <c r="JAN3" s="1259"/>
      <c r="JAO3" s="1259"/>
      <c r="JAP3" s="1259"/>
      <c r="JAQ3" s="1259"/>
      <c r="JAR3" s="1259"/>
      <c r="JAS3" s="1259"/>
      <c r="JAT3" s="1259"/>
      <c r="JAU3" s="1259"/>
      <c r="JAV3" s="1259"/>
      <c r="JAW3" s="1259"/>
      <c r="JAX3" s="1259"/>
      <c r="JAY3" s="1259"/>
      <c r="JAZ3" s="1259"/>
      <c r="JBA3" s="1259"/>
      <c r="JBB3" s="1259"/>
      <c r="JBC3" s="1259"/>
      <c r="JBD3" s="1259"/>
      <c r="JBE3" s="1259"/>
      <c r="JBF3" s="1259"/>
      <c r="JBG3" s="1259"/>
      <c r="JBH3" s="1259"/>
      <c r="JBI3" s="1259"/>
      <c r="JBJ3" s="1259"/>
      <c r="JBK3" s="1259"/>
      <c r="JBL3" s="1259"/>
      <c r="JBM3" s="1259"/>
      <c r="JBN3" s="1259"/>
      <c r="JBO3" s="1259"/>
      <c r="JBP3" s="1259"/>
      <c r="JBQ3" s="1259"/>
      <c r="JBR3" s="1259"/>
      <c r="JBS3" s="1259"/>
      <c r="JBT3" s="1259"/>
      <c r="JBU3" s="1259"/>
      <c r="JBV3" s="1259"/>
      <c r="JBW3" s="1259"/>
      <c r="JBX3" s="1259"/>
      <c r="JBY3" s="1259"/>
      <c r="JBZ3" s="1259"/>
      <c r="JCA3" s="1259"/>
      <c r="JCB3" s="1259"/>
      <c r="JCC3" s="1259"/>
      <c r="JCD3" s="1259"/>
      <c r="JCE3" s="1259"/>
      <c r="JCF3" s="1259"/>
      <c r="JCG3" s="1259"/>
      <c r="JCH3" s="1259"/>
      <c r="JCI3" s="1259"/>
      <c r="JCJ3" s="1259"/>
      <c r="JCK3" s="1259"/>
      <c r="JCL3" s="1259"/>
      <c r="JCM3" s="1259"/>
      <c r="JCN3" s="1259"/>
      <c r="JCO3" s="1259"/>
      <c r="JCP3" s="1259"/>
      <c r="JCQ3" s="1259"/>
      <c r="JCR3" s="1259"/>
      <c r="JCS3" s="1259"/>
      <c r="JCT3" s="1259"/>
      <c r="JCU3" s="1259"/>
      <c r="JCV3" s="1259"/>
      <c r="JCW3" s="1259"/>
      <c r="JCX3" s="1259"/>
      <c r="JCY3" s="1259"/>
      <c r="JCZ3" s="1259"/>
      <c r="JDA3" s="1259"/>
      <c r="JDB3" s="1259"/>
      <c r="JDC3" s="1259"/>
      <c r="JDD3" s="1259"/>
      <c r="JDE3" s="1259"/>
      <c r="JDF3" s="1259"/>
      <c r="JDG3" s="1259"/>
      <c r="JDH3" s="1259"/>
      <c r="JDI3" s="1259"/>
      <c r="JDJ3" s="1259"/>
      <c r="JDK3" s="1259"/>
      <c r="JDL3" s="1259"/>
      <c r="JDM3" s="1259"/>
      <c r="JDN3" s="1259"/>
      <c r="JDO3" s="1259"/>
      <c r="JDP3" s="1259"/>
      <c r="JDQ3" s="1259"/>
      <c r="JDR3" s="1259"/>
      <c r="JDS3" s="1259"/>
      <c r="JDT3" s="1259"/>
      <c r="JDU3" s="1259"/>
      <c r="JDV3" s="1259"/>
      <c r="JDW3" s="1259"/>
      <c r="JDX3" s="1259"/>
      <c r="JDY3" s="1259"/>
      <c r="JDZ3" s="1259"/>
      <c r="JEA3" s="1259"/>
      <c r="JEB3" s="1259"/>
      <c r="JEC3" s="1259"/>
      <c r="JED3" s="1259"/>
      <c r="JEE3" s="1259"/>
      <c r="JEF3" s="1259"/>
      <c r="JEG3" s="1259"/>
      <c r="JEH3" s="1259"/>
      <c r="JEI3" s="1259"/>
      <c r="JEJ3" s="1259"/>
      <c r="JEK3" s="1259"/>
      <c r="JEL3" s="1259"/>
      <c r="JEM3" s="1259"/>
      <c r="JEN3" s="1259"/>
      <c r="JEO3" s="1259"/>
      <c r="JEP3" s="1259"/>
      <c r="JEQ3" s="1259"/>
      <c r="JER3" s="1259"/>
      <c r="JES3" s="1259"/>
      <c r="JET3" s="1259"/>
      <c r="JEU3" s="1259"/>
      <c r="JEV3" s="1259"/>
      <c r="JEW3" s="1259"/>
      <c r="JEX3" s="1259"/>
      <c r="JEY3" s="1259"/>
      <c r="JEZ3" s="1259"/>
      <c r="JFA3" s="1259"/>
      <c r="JFB3" s="1259"/>
      <c r="JFC3" s="1259"/>
      <c r="JFD3" s="1259"/>
      <c r="JFE3" s="1259"/>
      <c r="JFF3" s="1259"/>
      <c r="JFG3" s="1259"/>
      <c r="JFH3" s="1259"/>
      <c r="JFI3" s="1259"/>
      <c r="JFJ3" s="1259"/>
      <c r="JFK3" s="1259"/>
      <c r="JFL3" s="1259"/>
      <c r="JFM3" s="1259"/>
      <c r="JFN3" s="1259"/>
      <c r="JFO3" s="1259"/>
      <c r="JFP3" s="1259"/>
      <c r="JFQ3" s="1259"/>
      <c r="JFR3" s="1259"/>
      <c r="JFS3" s="1259"/>
      <c r="JFT3" s="1259"/>
      <c r="JFU3" s="1259"/>
      <c r="JFV3" s="1259"/>
      <c r="JFW3" s="1259"/>
      <c r="JFX3" s="1259"/>
      <c r="JFY3" s="1259"/>
      <c r="JFZ3" s="1259"/>
      <c r="JGA3" s="1259"/>
      <c r="JGB3" s="1259"/>
      <c r="JGC3" s="1259"/>
      <c r="JGD3" s="1259"/>
      <c r="JGE3" s="1259"/>
      <c r="JGF3" s="1259"/>
      <c r="JGG3" s="1259"/>
      <c r="JGH3" s="1259"/>
      <c r="JGI3" s="1259"/>
      <c r="JGJ3" s="1259"/>
      <c r="JGK3" s="1259"/>
      <c r="JGL3" s="1259"/>
      <c r="JGM3" s="1259"/>
      <c r="JGN3" s="1259"/>
      <c r="JGO3" s="1259"/>
      <c r="JGP3" s="1259"/>
      <c r="JGQ3" s="1259"/>
      <c r="JGR3" s="1259"/>
      <c r="JGS3" s="1259"/>
      <c r="JGT3" s="1259"/>
      <c r="JGU3" s="1259"/>
      <c r="JGV3" s="1259"/>
      <c r="JGW3" s="1259"/>
      <c r="JGX3" s="1259"/>
      <c r="JGY3" s="1259"/>
      <c r="JGZ3" s="1259"/>
      <c r="JHA3" s="1259"/>
      <c r="JHB3" s="1259"/>
      <c r="JHC3" s="1259"/>
      <c r="JHD3" s="1259"/>
      <c r="JHE3" s="1259"/>
      <c r="JHF3" s="1259"/>
      <c r="JHG3" s="1259"/>
      <c r="JHH3" s="1259"/>
      <c r="JHI3" s="1259"/>
      <c r="JHJ3" s="1259"/>
      <c r="JHK3" s="1259"/>
      <c r="JHL3" s="1259"/>
      <c r="JHM3" s="1259"/>
      <c r="JHN3" s="1259"/>
      <c r="JHO3" s="1259"/>
      <c r="JHP3" s="1259"/>
      <c r="JHQ3" s="1259"/>
      <c r="JHR3" s="1259"/>
      <c r="JHS3" s="1259"/>
      <c r="JHT3" s="1259"/>
      <c r="JHU3" s="1259"/>
      <c r="JHV3" s="1259"/>
      <c r="JHW3" s="1259"/>
      <c r="JHX3" s="1259"/>
      <c r="JHY3" s="1259"/>
      <c r="JHZ3" s="1259"/>
      <c r="JIA3" s="1259"/>
      <c r="JIB3" s="1259"/>
      <c r="JIC3" s="1259"/>
      <c r="JID3" s="1259"/>
      <c r="JIE3" s="1259"/>
      <c r="JIF3" s="1259"/>
      <c r="JIG3" s="1259"/>
      <c r="JIH3" s="1259"/>
      <c r="JII3" s="1259"/>
      <c r="JIJ3" s="1259"/>
      <c r="JIK3" s="1259"/>
      <c r="JIL3" s="1259"/>
      <c r="JIM3" s="1259"/>
      <c r="JIN3" s="1259"/>
      <c r="JIO3" s="1259"/>
      <c r="JIP3" s="1259"/>
      <c r="JIQ3" s="1259"/>
      <c r="JIR3" s="1259"/>
      <c r="JIS3" s="1259"/>
      <c r="JIT3" s="1259"/>
      <c r="JIU3" s="1259"/>
      <c r="JIV3" s="1259"/>
      <c r="JIW3" s="1259"/>
      <c r="JIX3" s="1259"/>
      <c r="JIY3" s="1259"/>
      <c r="JIZ3" s="1259"/>
      <c r="JJA3" s="1259"/>
      <c r="JJB3" s="1259"/>
      <c r="JJC3" s="1259"/>
      <c r="JJD3" s="1259"/>
      <c r="JJE3" s="1259"/>
      <c r="JJF3" s="1259"/>
      <c r="JJG3" s="1259"/>
      <c r="JJH3" s="1259"/>
      <c r="JJI3" s="1259"/>
      <c r="JJJ3" s="1259"/>
      <c r="JJK3" s="1259"/>
      <c r="JJL3" s="1259"/>
      <c r="JJM3" s="1259"/>
      <c r="JJN3" s="1259"/>
      <c r="JJO3" s="1259"/>
      <c r="JJP3" s="1259"/>
      <c r="JJQ3" s="1259"/>
      <c r="JJR3" s="1259"/>
      <c r="JJS3" s="1259"/>
      <c r="JJT3" s="1259"/>
      <c r="JJU3" s="1259"/>
      <c r="JJV3" s="1259"/>
      <c r="JJW3" s="1259"/>
      <c r="JJX3" s="1259"/>
      <c r="JJY3" s="1259"/>
      <c r="JJZ3" s="1259"/>
      <c r="JKA3" s="1259"/>
      <c r="JKB3" s="1259"/>
      <c r="JKC3" s="1259"/>
      <c r="JKD3" s="1259"/>
      <c r="JKE3" s="1259"/>
      <c r="JKF3" s="1259"/>
      <c r="JKG3" s="1259"/>
      <c r="JKH3" s="1259"/>
      <c r="JKI3" s="1259"/>
      <c r="JKJ3" s="1259"/>
      <c r="JKK3" s="1259"/>
      <c r="JKL3" s="1259"/>
      <c r="JKM3" s="1259"/>
      <c r="JKN3" s="1259"/>
      <c r="JKO3" s="1259"/>
      <c r="JKP3" s="1259"/>
      <c r="JKQ3" s="1259"/>
      <c r="JKR3" s="1259"/>
      <c r="JKS3" s="1259"/>
      <c r="JKT3" s="1259"/>
      <c r="JKU3" s="1259"/>
      <c r="JKV3" s="1259"/>
      <c r="JKW3" s="1259"/>
      <c r="JKX3" s="1259"/>
      <c r="JKY3" s="1259"/>
      <c r="JKZ3" s="1259"/>
      <c r="JLA3" s="1259"/>
      <c r="JLB3" s="1259"/>
      <c r="JLC3" s="1259"/>
      <c r="JLD3" s="1259"/>
      <c r="JLE3" s="1259"/>
      <c r="JLF3" s="1259"/>
      <c r="JLG3" s="1259"/>
      <c r="JLH3" s="1259"/>
      <c r="JLI3" s="1259"/>
      <c r="JLJ3" s="1259"/>
      <c r="JLK3" s="1259"/>
      <c r="JLL3" s="1259"/>
      <c r="JLM3" s="1259"/>
      <c r="JLN3" s="1259"/>
      <c r="JLO3" s="1259"/>
      <c r="JLP3" s="1259"/>
      <c r="JLQ3" s="1259"/>
      <c r="JLR3" s="1259"/>
      <c r="JLS3" s="1259"/>
      <c r="JLT3" s="1259"/>
      <c r="JLU3" s="1259"/>
      <c r="JLV3" s="1259"/>
      <c r="JLW3" s="1259"/>
      <c r="JLX3" s="1259"/>
      <c r="JLY3" s="1259"/>
      <c r="JLZ3" s="1259"/>
      <c r="JMA3" s="1259"/>
      <c r="JMB3" s="1259"/>
      <c r="JMC3" s="1259"/>
      <c r="JMD3" s="1259"/>
      <c r="JME3" s="1259"/>
      <c r="JMF3" s="1259"/>
      <c r="JMG3" s="1259"/>
      <c r="JMH3" s="1259"/>
      <c r="JMI3" s="1259"/>
      <c r="JMJ3" s="1259"/>
      <c r="JMK3" s="1259"/>
      <c r="JML3" s="1259"/>
      <c r="JMM3" s="1259"/>
      <c r="JMN3" s="1259"/>
      <c r="JMO3" s="1259"/>
      <c r="JMP3" s="1259"/>
      <c r="JMQ3" s="1259"/>
      <c r="JMR3" s="1259"/>
      <c r="JMS3" s="1259"/>
      <c r="JMT3" s="1259"/>
      <c r="JMU3" s="1259"/>
      <c r="JMV3" s="1259"/>
      <c r="JMW3" s="1259"/>
      <c r="JMX3" s="1259"/>
      <c r="JMY3" s="1259"/>
      <c r="JMZ3" s="1259"/>
      <c r="JNA3" s="1259"/>
      <c r="JNB3" s="1259"/>
      <c r="JNC3" s="1259"/>
      <c r="JND3" s="1259"/>
      <c r="JNE3" s="1259"/>
      <c r="JNF3" s="1259"/>
      <c r="JNG3" s="1259"/>
      <c r="JNH3" s="1259"/>
      <c r="JNI3" s="1259"/>
      <c r="JNJ3" s="1259"/>
      <c r="JNK3" s="1259"/>
      <c r="JNL3" s="1259"/>
      <c r="JNM3" s="1259"/>
      <c r="JNN3" s="1259"/>
      <c r="JNO3" s="1259"/>
      <c r="JNP3" s="1259"/>
      <c r="JNQ3" s="1259"/>
      <c r="JNR3" s="1259"/>
      <c r="JNS3" s="1259"/>
      <c r="JNT3" s="1259"/>
      <c r="JNU3" s="1259"/>
      <c r="JNV3" s="1259"/>
      <c r="JNW3" s="1259"/>
      <c r="JNX3" s="1259"/>
      <c r="JNY3" s="1259"/>
      <c r="JNZ3" s="1259"/>
      <c r="JOA3" s="1259"/>
      <c r="JOB3" s="1259"/>
      <c r="JOC3" s="1259"/>
      <c r="JOD3" s="1259"/>
      <c r="JOE3" s="1259"/>
      <c r="JOF3" s="1259"/>
      <c r="JOG3" s="1259"/>
      <c r="JOH3" s="1259"/>
      <c r="JOI3" s="1259"/>
      <c r="JOJ3" s="1259"/>
      <c r="JOK3" s="1259"/>
      <c r="JOL3" s="1259"/>
      <c r="JOM3" s="1259"/>
      <c r="JON3" s="1259"/>
      <c r="JOO3" s="1259"/>
      <c r="JOP3" s="1259"/>
      <c r="JOQ3" s="1259"/>
      <c r="JOR3" s="1259"/>
      <c r="JOS3" s="1259"/>
      <c r="JOT3" s="1259"/>
      <c r="JOU3" s="1259"/>
      <c r="JOV3" s="1259"/>
      <c r="JOW3" s="1259"/>
      <c r="JOX3" s="1259"/>
      <c r="JOY3" s="1259"/>
      <c r="JOZ3" s="1259"/>
      <c r="JPA3" s="1259"/>
      <c r="JPB3" s="1259"/>
      <c r="JPC3" s="1259"/>
      <c r="JPD3" s="1259"/>
      <c r="JPE3" s="1259"/>
      <c r="JPF3" s="1259"/>
      <c r="JPG3" s="1259"/>
      <c r="JPH3" s="1259"/>
      <c r="JPI3" s="1259"/>
      <c r="JPJ3" s="1259"/>
      <c r="JPK3" s="1259"/>
      <c r="JPL3" s="1259"/>
      <c r="JPM3" s="1259"/>
      <c r="JPN3" s="1259"/>
      <c r="JPO3" s="1259"/>
      <c r="JPP3" s="1259"/>
      <c r="JPQ3" s="1259"/>
      <c r="JPR3" s="1259"/>
      <c r="JPS3" s="1259"/>
      <c r="JPT3" s="1259"/>
      <c r="JPU3" s="1259"/>
      <c r="JPV3" s="1259"/>
      <c r="JPW3" s="1259"/>
      <c r="JPX3" s="1259"/>
      <c r="JPY3" s="1259"/>
      <c r="JPZ3" s="1259"/>
      <c r="JQA3" s="1259"/>
      <c r="JQB3" s="1259"/>
      <c r="JQC3" s="1259"/>
      <c r="JQD3" s="1259"/>
      <c r="JQE3" s="1259"/>
      <c r="JQF3" s="1259"/>
      <c r="JQG3" s="1259"/>
      <c r="JQH3" s="1259"/>
      <c r="JQI3" s="1259"/>
      <c r="JQJ3" s="1259"/>
      <c r="JQK3" s="1259"/>
      <c r="JQL3" s="1259"/>
      <c r="JQM3" s="1259"/>
      <c r="JQN3" s="1259"/>
      <c r="JQO3" s="1259"/>
      <c r="JQP3" s="1259"/>
      <c r="JQQ3" s="1259"/>
      <c r="JQR3" s="1259"/>
      <c r="JQS3" s="1259"/>
      <c r="JQT3" s="1259"/>
      <c r="JQU3" s="1259"/>
      <c r="JQV3" s="1259"/>
      <c r="JQW3" s="1259"/>
      <c r="JQX3" s="1259"/>
      <c r="JQY3" s="1259"/>
      <c r="JQZ3" s="1259"/>
      <c r="JRA3" s="1259"/>
      <c r="JRB3" s="1259"/>
      <c r="JRC3" s="1259"/>
      <c r="JRD3" s="1259"/>
      <c r="JRE3" s="1259"/>
      <c r="JRF3" s="1259"/>
      <c r="JRG3" s="1259"/>
      <c r="JRH3" s="1259"/>
      <c r="JRI3" s="1259"/>
      <c r="JRJ3" s="1259"/>
      <c r="JRK3" s="1259"/>
      <c r="JRL3" s="1259"/>
      <c r="JRM3" s="1259"/>
      <c r="JRN3" s="1259"/>
      <c r="JRO3" s="1259"/>
      <c r="JRP3" s="1259"/>
      <c r="JRQ3" s="1259"/>
      <c r="JRR3" s="1259"/>
      <c r="JRS3" s="1259"/>
      <c r="JRT3" s="1259"/>
      <c r="JRU3" s="1259"/>
      <c r="JRV3" s="1259"/>
      <c r="JRW3" s="1259"/>
      <c r="JRX3" s="1259"/>
      <c r="JRY3" s="1259"/>
      <c r="JRZ3" s="1259"/>
      <c r="JSA3" s="1259"/>
      <c r="JSB3" s="1259"/>
      <c r="JSC3" s="1259"/>
      <c r="JSD3" s="1259"/>
      <c r="JSE3" s="1259"/>
      <c r="JSF3" s="1259"/>
      <c r="JSG3" s="1259"/>
      <c r="JSH3" s="1259"/>
      <c r="JSI3" s="1259"/>
      <c r="JSJ3" s="1259"/>
      <c r="JSK3" s="1259"/>
      <c r="JSL3" s="1259"/>
      <c r="JSM3" s="1259"/>
      <c r="JSN3" s="1259"/>
      <c r="JSO3" s="1259"/>
      <c r="JSP3" s="1259"/>
      <c r="JSQ3" s="1259"/>
      <c r="JSR3" s="1259"/>
      <c r="JSS3" s="1259"/>
      <c r="JST3" s="1259"/>
      <c r="JSU3" s="1259"/>
      <c r="JSV3" s="1259"/>
      <c r="JSW3" s="1259"/>
      <c r="JSX3" s="1259"/>
      <c r="JSY3" s="1259"/>
      <c r="JSZ3" s="1259"/>
      <c r="JTA3" s="1259"/>
      <c r="JTB3" s="1259"/>
      <c r="JTC3" s="1259"/>
      <c r="JTD3" s="1259"/>
      <c r="JTE3" s="1259"/>
      <c r="JTF3" s="1259"/>
      <c r="JTG3" s="1259"/>
      <c r="JTH3" s="1259"/>
      <c r="JTI3" s="1259"/>
      <c r="JTJ3" s="1259"/>
      <c r="JTK3" s="1259"/>
      <c r="JTL3" s="1259"/>
      <c r="JTM3" s="1259"/>
      <c r="JTN3" s="1259"/>
      <c r="JTO3" s="1259"/>
      <c r="JTP3" s="1259"/>
      <c r="JTQ3" s="1259"/>
      <c r="JTR3" s="1259"/>
      <c r="JTS3" s="1259"/>
      <c r="JTT3" s="1259"/>
      <c r="JTU3" s="1259"/>
      <c r="JTV3" s="1259"/>
      <c r="JTW3" s="1259"/>
      <c r="JTX3" s="1259"/>
      <c r="JTY3" s="1259"/>
      <c r="JTZ3" s="1259"/>
      <c r="JUA3" s="1259"/>
      <c r="JUB3" s="1259"/>
      <c r="JUC3" s="1259"/>
      <c r="JUD3" s="1259"/>
      <c r="JUE3" s="1259"/>
      <c r="JUF3" s="1259"/>
      <c r="JUG3" s="1259"/>
      <c r="JUH3" s="1259"/>
      <c r="JUI3" s="1259"/>
      <c r="JUJ3" s="1259"/>
      <c r="JUK3" s="1259"/>
      <c r="JUL3" s="1259"/>
      <c r="JUM3" s="1259"/>
      <c r="JUN3" s="1259"/>
      <c r="JUO3" s="1259"/>
      <c r="JUP3" s="1259"/>
      <c r="JUQ3" s="1259"/>
      <c r="JUR3" s="1259"/>
      <c r="JUS3" s="1259"/>
      <c r="JUT3" s="1259"/>
      <c r="JUU3" s="1259"/>
      <c r="JUV3" s="1259"/>
      <c r="JUW3" s="1259"/>
      <c r="JUX3" s="1259"/>
      <c r="JUY3" s="1259"/>
      <c r="JUZ3" s="1259"/>
      <c r="JVA3" s="1259"/>
      <c r="JVB3" s="1259"/>
      <c r="JVC3" s="1259"/>
      <c r="JVD3" s="1259"/>
      <c r="JVE3" s="1259"/>
      <c r="JVF3" s="1259"/>
      <c r="JVG3" s="1259"/>
      <c r="JVH3" s="1259"/>
      <c r="JVI3" s="1259"/>
      <c r="JVJ3" s="1259"/>
      <c r="JVK3" s="1259"/>
      <c r="JVL3" s="1259"/>
      <c r="JVM3" s="1259"/>
      <c r="JVN3" s="1259"/>
      <c r="JVO3" s="1259"/>
      <c r="JVP3" s="1259"/>
      <c r="JVQ3" s="1259"/>
      <c r="JVR3" s="1259"/>
      <c r="JVS3" s="1259"/>
      <c r="JVT3" s="1259"/>
      <c r="JVU3" s="1259"/>
      <c r="JVV3" s="1259"/>
      <c r="JVW3" s="1259"/>
      <c r="JVX3" s="1259"/>
      <c r="JVY3" s="1259"/>
      <c r="JVZ3" s="1259"/>
      <c r="JWA3" s="1259"/>
      <c r="JWB3" s="1259"/>
      <c r="JWC3" s="1259"/>
      <c r="JWD3" s="1259"/>
      <c r="JWE3" s="1259"/>
      <c r="JWF3" s="1259"/>
      <c r="JWG3" s="1259"/>
      <c r="JWH3" s="1259"/>
      <c r="JWI3" s="1259"/>
      <c r="JWJ3" s="1259"/>
      <c r="JWK3" s="1259"/>
      <c r="JWL3" s="1259"/>
      <c r="JWM3" s="1259"/>
      <c r="JWN3" s="1259"/>
      <c r="JWO3" s="1259"/>
      <c r="JWP3" s="1259"/>
      <c r="JWQ3" s="1259"/>
      <c r="JWR3" s="1259"/>
      <c r="JWS3" s="1259"/>
      <c r="JWT3" s="1259"/>
      <c r="JWU3" s="1259"/>
      <c r="JWV3" s="1259"/>
      <c r="JWW3" s="1259"/>
      <c r="JWX3" s="1259"/>
      <c r="JWY3" s="1259"/>
      <c r="JWZ3" s="1259"/>
      <c r="JXA3" s="1259"/>
      <c r="JXB3" s="1259"/>
      <c r="JXC3" s="1259"/>
      <c r="JXD3" s="1259"/>
      <c r="JXE3" s="1259"/>
      <c r="JXF3" s="1259"/>
      <c r="JXG3" s="1259"/>
      <c r="JXH3" s="1259"/>
      <c r="JXI3" s="1259"/>
      <c r="JXJ3" s="1259"/>
      <c r="JXK3" s="1259"/>
      <c r="JXL3" s="1259"/>
      <c r="JXM3" s="1259"/>
      <c r="JXN3" s="1259"/>
      <c r="JXO3" s="1259"/>
      <c r="JXP3" s="1259"/>
      <c r="JXQ3" s="1259"/>
      <c r="JXR3" s="1259"/>
      <c r="JXS3" s="1259"/>
      <c r="JXT3" s="1259"/>
      <c r="JXU3" s="1259"/>
      <c r="JXV3" s="1259"/>
      <c r="JXW3" s="1259"/>
      <c r="JXX3" s="1259"/>
      <c r="JXY3" s="1259"/>
      <c r="JXZ3" s="1259"/>
      <c r="JYA3" s="1259"/>
      <c r="JYB3" s="1259"/>
      <c r="JYC3" s="1259"/>
      <c r="JYD3" s="1259"/>
      <c r="JYE3" s="1259"/>
      <c r="JYF3" s="1259"/>
      <c r="JYG3" s="1259"/>
      <c r="JYH3" s="1259"/>
      <c r="JYI3" s="1259"/>
      <c r="JYJ3" s="1259"/>
      <c r="JYK3" s="1259"/>
      <c r="JYL3" s="1259"/>
      <c r="JYM3" s="1259"/>
      <c r="JYN3" s="1259"/>
      <c r="JYO3" s="1259"/>
      <c r="JYP3" s="1259"/>
      <c r="JYQ3" s="1259"/>
      <c r="JYR3" s="1259"/>
      <c r="JYS3" s="1259"/>
      <c r="JYT3" s="1259"/>
      <c r="JYU3" s="1259"/>
      <c r="JYV3" s="1259"/>
      <c r="JYW3" s="1259"/>
      <c r="JYX3" s="1259"/>
      <c r="JYY3" s="1259"/>
      <c r="JYZ3" s="1259"/>
      <c r="JZA3" s="1259"/>
      <c r="JZB3" s="1259"/>
      <c r="JZC3" s="1259"/>
      <c r="JZD3" s="1259"/>
      <c r="JZE3" s="1259"/>
      <c r="JZF3" s="1259"/>
      <c r="JZG3" s="1259"/>
      <c r="JZH3" s="1259"/>
      <c r="JZI3" s="1259"/>
      <c r="JZJ3" s="1259"/>
      <c r="JZK3" s="1259"/>
      <c r="JZL3" s="1259"/>
      <c r="JZM3" s="1259"/>
      <c r="JZN3" s="1259"/>
      <c r="JZO3" s="1259"/>
      <c r="JZP3" s="1259"/>
      <c r="JZQ3" s="1259"/>
      <c r="JZR3" s="1259"/>
      <c r="JZS3" s="1259"/>
      <c r="JZT3" s="1259"/>
      <c r="JZU3" s="1259"/>
      <c r="JZV3" s="1259"/>
      <c r="JZW3" s="1259"/>
      <c r="JZX3" s="1259"/>
      <c r="JZY3" s="1259"/>
      <c r="JZZ3" s="1259"/>
      <c r="KAA3" s="1259"/>
      <c r="KAB3" s="1259"/>
      <c r="KAC3" s="1259"/>
      <c r="KAD3" s="1259"/>
      <c r="KAE3" s="1259"/>
      <c r="KAF3" s="1259"/>
      <c r="KAG3" s="1259"/>
      <c r="KAH3" s="1259"/>
      <c r="KAI3" s="1259"/>
      <c r="KAJ3" s="1259"/>
      <c r="KAK3" s="1259"/>
      <c r="KAL3" s="1259"/>
      <c r="KAM3" s="1259"/>
      <c r="KAN3" s="1259"/>
      <c r="KAO3" s="1259"/>
      <c r="KAP3" s="1259"/>
      <c r="KAQ3" s="1259"/>
      <c r="KAR3" s="1259"/>
      <c r="KAS3" s="1259"/>
      <c r="KAT3" s="1259"/>
      <c r="KAU3" s="1259"/>
      <c r="KAV3" s="1259"/>
      <c r="KAW3" s="1259"/>
      <c r="KAX3" s="1259"/>
      <c r="KAY3" s="1259"/>
      <c r="KAZ3" s="1259"/>
      <c r="KBA3" s="1259"/>
      <c r="KBB3" s="1259"/>
      <c r="KBC3" s="1259"/>
      <c r="KBD3" s="1259"/>
      <c r="KBE3" s="1259"/>
      <c r="KBF3" s="1259"/>
      <c r="KBG3" s="1259"/>
      <c r="KBH3" s="1259"/>
      <c r="KBI3" s="1259"/>
      <c r="KBJ3" s="1259"/>
      <c r="KBK3" s="1259"/>
      <c r="KBL3" s="1259"/>
      <c r="KBM3" s="1259"/>
      <c r="KBN3" s="1259"/>
      <c r="KBO3" s="1259"/>
      <c r="KBP3" s="1259"/>
      <c r="KBQ3" s="1259"/>
      <c r="KBR3" s="1259"/>
      <c r="KBS3" s="1259"/>
      <c r="KBT3" s="1259"/>
      <c r="KBU3" s="1259"/>
      <c r="KBV3" s="1259"/>
      <c r="KBW3" s="1259"/>
      <c r="KBX3" s="1259"/>
      <c r="KBY3" s="1259"/>
      <c r="KBZ3" s="1259"/>
      <c r="KCA3" s="1259"/>
      <c r="KCB3" s="1259"/>
      <c r="KCC3" s="1259"/>
      <c r="KCD3" s="1259"/>
      <c r="KCE3" s="1259"/>
      <c r="KCF3" s="1259"/>
      <c r="KCG3" s="1259"/>
      <c r="KCH3" s="1259"/>
      <c r="KCI3" s="1259"/>
      <c r="KCJ3" s="1259"/>
      <c r="KCK3" s="1259"/>
      <c r="KCL3" s="1259"/>
      <c r="KCM3" s="1259"/>
      <c r="KCN3" s="1259"/>
      <c r="KCO3" s="1259"/>
      <c r="KCP3" s="1259"/>
      <c r="KCQ3" s="1259"/>
      <c r="KCR3" s="1259"/>
      <c r="KCS3" s="1259"/>
      <c r="KCT3" s="1259"/>
      <c r="KCU3" s="1259"/>
      <c r="KCV3" s="1259"/>
      <c r="KCW3" s="1259"/>
      <c r="KCX3" s="1259"/>
      <c r="KCY3" s="1259"/>
      <c r="KCZ3" s="1259"/>
      <c r="KDA3" s="1259"/>
      <c r="KDB3" s="1259"/>
      <c r="KDC3" s="1259"/>
      <c r="KDD3" s="1259"/>
      <c r="KDE3" s="1259"/>
      <c r="KDF3" s="1259"/>
      <c r="KDG3" s="1259"/>
      <c r="KDH3" s="1259"/>
      <c r="KDI3" s="1259"/>
      <c r="KDJ3" s="1259"/>
      <c r="KDK3" s="1259"/>
      <c r="KDL3" s="1259"/>
      <c r="KDM3" s="1259"/>
      <c r="KDN3" s="1259"/>
      <c r="KDO3" s="1259"/>
      <c r="KDP3" s="1259"/>
      <c r="KDQ3" s="1259"/>
      <c r="KDR3" s="1259"/>
      <c r="KDS3" s="1259"/>
      <c r="KDT3" s="1259"/>
      <c r="KDU3" s="1259"/>
      <c r="KDV3" s="1259"/>
      <c r="KDW3" s="1259"/>
      <c r="KDX3" s="1259"/>
      <c r="KDY3" s="1259"/>
      <c r="KDZ3" s="1259"/>
      <c r="KEA3" s="1259"/>
      <c r="KEB3" s="1259"/>
      <c r="KEC3" s="1259"/>
      <c r="KED3" s="1259"/>
      <c r="KEE3" s="1259"/>
      <c r="KEF3" s="1259"/>
      <c r="KEG3" s="1259"/>
      <c r="KEH3" s="1259"/>
      <c r="KEI3" s="1259"/>
      <c r="KEJ3" s="1259"/>
      <c r="KEK3" s="1259"/>
      <c r="KEL3" s="1259"/>
      <c r="KEM3" s="1259"/>
      <c r="KEN3" s="1259"/>
      <c r="KEO3" s="1259"/>
      <c r="KEP3" s="1259"/>
      <c r="KEQ3" s="1259"/>
      <c r="KER3" s="1259"/>
      <c r="KES3" s="1259"/>
      <c r="KET3" s="1259"/>
      <c r="KEU3" s="1259"/>
      <c r="KEV3" s="1259"/>
      <c r="KEW3" s="1259"/>
      <c r="KEX3" s="1259"/>
      <c r="KEY3" s="1259"/>
      <c r="KEZ3" s="1259"/>
      <c r="KFA3" s="1259"/>
      <c r="KFB3" s="1259"/>
      <c r="KFC3" s="1259"/>
      <c r="KFD3" s="1259"/>
      <c r="KFE3" s="1259"/>
      <c r="KFF3" s="1259"/>
      <c r="KFG3" s="1259"/>
      <c r="KFH3" s="1259"/>
      <c r="KFI3" s="1259"/>
      <c r="KFJ3" s="1259"/>
      <c r="KFK3" s="1259"/>
      <c r="KFL3" s="1259"/>
      <c r="KFM3" s="1259"/>
      <c r="KFN3" s="1259"/>
      <c r="KFO3" s="1259"/>
      <c r="KFP3" s="1259"/>
      <c r="KFQ3" s="1259"/>
      <c r="KFR3" s="1259"/>
      <c r="KFS3" s="1259"/>
      <c r="KFT3" s="1259"/>
      <c r="KFU3" s="1259"/>
      <c r="KFV3" s="1259"/>
      <c r="KFW3" s="1259"/>
      <c r="KFX3" s="1259"/>
      <c r="KFY3" s="1259"/>
      <c r="KFZ3" s="1259"/>
      <c r="KGA3" s="1259"/>
      <c r="KGB3" s="1259"/>
      <c r="KGC3" s="1259"/>
      <c r="KGD3" s="1259"/>
      <c r="KGE3" s="1259"/>
      <c r="KGF3" s="1259"/>
      <c r="KGG3" s="1259"/>
      <c r="KGH3" s="1259"/>
      <c r="KGI3" s="1259"/>
      <c r="KGJ3" s="1259"/>
      <c r="KGK3" s="1259"/>
      <c r="KGL3" s="1259"/>
      <c r="KGM3" s="1259"/>
      <c r="KGN3" s="1259"/>
      <c r="KGO3" s="1259"/>
      <c r="KGP3" s="1259"/>
      <c r="KGQ3" s="1259"/>
      <c r="KGR3" s="1259"/>
      <c r="KGS3" s="1259"/>
      <c r="KGT3" s="1259"/>
      <c r="KGU3" s="1259"/>
      <c r="KGV3" s="1259"/>
      <c r="KGW3" s="1259"/>
      <c r="KGX3" s="1259"/>
      <c r="KGY3" s="1259"/>
      <c r="KGZ3" s="1259"/>
      <c r="KHA3" s="1259"/>
      <c r="KHB3" s="1259"/>
      <c r="KHC3" s="1259"/>
      <c r="KHD3" s="1259"/>
      <c r="KHE3" s="1259"/>
      <c r="KHF3" s="1259"/>
      <c r="KHG3" s="1259"/>
      <c r="KHH3" s="1259"/>
      <c r="KHI3" s="1259"/>
      <c r="KHJ3" s="1259"/>
      <c r="KHK3" s="1259"/>
      <c r="KHL3" s="1259"/>
      <c r="KHM3" s="1259"/>
      <c r="KHN3" s="1259"/>
      <c r="KHO3" s="1259"/>
      <c r="KHP3" s="1259"/>
      <c r="KHQ3" s="1259"/>
      <c r="KHR3" s="1259"/>
      <c r="KHS3" s="1259"/>
      <c r="KHT3" s="1259"/>
      <c r="KHU3" s="1259"/>
      <c r="KHV3" s="1259"/>
      <c r="KHW3" s="1259"/>
      <c r="KHX3" s="1259"/>
      <c r="KHY3" s="1259"/>
      <c r="KHZ3" s="1259"/>
      <c r="KIA3" s="1259"/>
      <c r="KIB3" s="1259"/>
      <c r="KIC3" s="1259"/>
      <c r="KID3" s="1259"/>
      <c r="KIE3" s="1259"/>
      <c r="KIF3" s="1259"/>
      <c r="KIG3" s="1259"/>
      <c r="KIH3" s="1259"/>
      <c r="KII3" s="1259"/>
      <c r="KIJ3" s="1259"/>
      <c r="KIK3" s="1259"/>
      <c r="KIL3" s="1259"/>
      <c r="KIM3" s="1259"/>
      <c r="KIN3" s="1259"/>
      <c r="KIO3" s="1259"/>
      <c r="KIP3" s="1259"/>
      <c r="KIQ3" s="1259"/>
      <c r="KIR3" s="1259"/>
      <c r="KIS3" s="1259"/>
      <c r="KIT3" s="1259"/>
      <c r="KIU3" s="1259"/>
      <c r="KIV3" s="1259"/>
      <c r="KIW3" s="1259"/>
      <c r="KIX3" s="1259"/>
      <c r="KIY3" s="1259"/>
      <c r="KIZ3" s="1259"/>
      <c r="KJA3" s="1259"/>
      <c r="KJB3" s="1259"/>
      <c r="KJC3" s="1259"/>
      <c r="KJD3" s="1259"/>
      <c r="KJE3" s="1259"/>
      <c r="KJF3" s="1259"/>
      <c r="KJG3" s="1259"/>
      <c r="KJH3" s="1259"/>
      <c r="KJI3" s="1259"/>
      <c r="KJJ3" s="1259"/>
      <c r="KJK3" s="1259"/>
      <c r="KJL3" s="1259"/>
      <c r="KJM3" s="1259"/>
      <c r="KJN3" s="1259"/>
      <c r="KJO3" s="1259"/>
      <c r="KJP3" s="1259"/>
      <c r="KJQ3" s="1259"/>
      <c r="KJR3" s="1259"/>
      <c r="KJS3" s="1259"/>
      <c r="KJT3" s="1259"/>
      <c r="KJU3" s="1259"/>
      <c r="KJV3" s="1259"/>
      <c r="KJW3" s="1259"/>
      <c r="KJX3" s="1259"/>
      <c r="KJY3" s="1259"/>
      <c r="KJZ3" s="1259"/>
      <c r="KKA3" s="1259"/>
      <c r="KKB3" s="1259"/>
      <c r="KKC3" s="1259"/>
      <c r="KKD3" s="1259"/>
      <c r="KKE3" s="1259"/>
      <c r="KKF3" s="1259"/>
      <c r="KKG3" s="1259"/>
      <c r="KKH3" s="1259"/>
      <c r="KKI3" s="1259"/>
      <c r="KKJ3" s="1259"/>
      <c r="KKK3" s="1259"/>
      <c r="KKL3" s="1259"/>
      <c r="KKM3" s="1259"/>
      <c r="KKN3" s="1259"/>
      <c r="KKO3" s="1259"/>
      <c r="KKP3" s="1259"/>
      <c r="KKQ3" s="1259"/>
      <c r="KKR3" s="1259"/>
      <c r="KKS3" s="1259"/>
      <c r="KKT3" s="1259"/>
      <c r="KKU3" s="1259"/>
      <c r="KKV3" s="1259"/>
      <c r="KKW3" s="1259"/>
      <c r="KKX3" s="1259"/>
      <c r="KKY3" s="1259"/>
      <c r="KKZ3" s="1259"/>
      <c r="KLA3" s="1259"/>
      <c r="KLB3" s="1259"/>
      <c r="KLC3" s="1259"/>
      <c r="KLD3" s="1259"/>
      <c r="KLE3" s="1259"/>
      <c r="KLF3" s="1259"/>
      <c r="KLG3" s="1259"/>
      <c r="KLH3" s="1259"/>
      <c r="KLI3" s="1259"/>
      <c r="KLJ3" s="1259"/>
      <c r="KLK3" s="1259"/>
      <c r="KLL3" s="1259"/>
      <c r="KLM3" s="1259"/>
      <c r="KLN3" s="1259"/>
      <c r="KLO3" s="1259"/>
      <c r="KLP3" s="1259"/>
      <c r="KLQ3" s="1259"/>
      <c r="KLR3" s="1259"/>
      <c r="KLS3" s="1259"/>
      <c r="KLT3" s="1259"/>
      <c r="KLU3" s="1259"/>
      <c r="KLV3" s="1259"/>
      <c r="KLW3" s="1259"/>
      <c r="KLX3" s="1259"/>
      <c r="KLY3" s="1259"/>
      <c r="KLZ3" s="1259"/>
      <c r="KMA3" s="1259"/>
      <c r="KMB3" s="1259"/>
      <c r="KMC3" s="1259"/>
      <c r="KMD3" s="1259"/>
      <c r="KME3" s="1259"/>
      <c r="KMF3" s="1259"/>
      <c r="KMG3" s="1259"/>
      <c r="KMH3" s="1259"/>
      <c r="KMI3" s="1259"/>
      <c r="KMJ3" s="1259"/>
      <c r="KMK3" s="1259"/>
      <c r="KML3" s="1259"/>
      <c r="KMM3" s="1259"/>
      <c r="KMN3" s="1259"/>
      <c r="KMO3" s="1259"/>
      <c r="KMP3" s="1259"/>
      <c r="KMQ3" s="1259"/>
      <c r="KMR3" s="1259"/>
      <c r="KMS3" s="1259"/>
      <c r="KMT3" s="1259"/>
      <c r="KMU3" s="1259"/>
      <c r="KMV3" s="1259"/>
      <c r="KMW3" s="1259"/>
      <c r="KMX3" s="1259"/>
      <c r="KMY3" s="1259"/>
      <c r="KMZ3" s="1259"/>
      <c r="KNA3" s="1259"/>
      <c r="KNB3" s="1259"/>
      <c r="KNC3" s="1259"/>
      <c r="KND3" s="1259"/>
      <c r="KNE3" s="1259"/>
      <c r="KNF3" s="1259"/>
      <c r="KNG3" s="1259"/>
      <c r="KNH3" s="1259"/>
      <c r="KNI3" s="1259"/>
      <c r="KNJ3" s="1259"/>
      <c r="KNK3" s="1259"/>
      <c r="KNL3" s="1259"/>
      <c r="KNM3" s="1259"/>
      <c r="KNN3" s="1259"/>
      <c r="KNO3" s="1259"/>
      <c r="KNP3" s="1259"/>
      <c r="KNQ3" s="1259"/>
      <c r="KNR3" s="1259"/>
      <c r="KNS3" s="1259"/>
      <c r="KNT3" s="1259"/>
      <c r="KNU3" s="1259"/>
      <c r="KNV3" s="1259"/>
      <c r="KNW3" s="1259"/>
      <c r="KNX3" s="1259"/>
      <c r="KNY3" s="1259"/>
      <c r="KNZ3" s="1259"/>
      <c r="KOA3" s="1259"/>
      <c r="KOB3" s="1259"/>
      <c r="KOC3" s="1259"/>
      <c r="KOD3" s="1259"/>
      <c r="KOE3" s="1259"/>
      <c r="KOF3" s="1259"/>
      <c r="KOG3" s="1259"/>
      <c r="KOH3" s="1259"/>
      <c r="KOI3" s="1259"/>
      <c r="KOJ3" s="1259"/>
      <c r="KOK3" s="1259"/>
      <c r="KOL3" s="1259"/>
      <c r="KOM3" s="1259"/>
      <c r="KON3" s="1259"/>
      <c r="KOO3" s="1259"/>
      <c r="KOP3" s="1259"/>
      <c r="KOQ3" s="1259"/>
      <c r="KOR3" s="1259"/>
      <c r="KOS3" s="1259"/>
      <c r="KOT3" s="1259"/>
      <c r="KOU3" s="1259"/>
      <c r="KOV3" s="1259"/>
      <c r="KOW3" s="1259"/>
      <c r="KOX3" s="1259"/>
      <c r="KOY3" s="1259"/>
      <c r="KOZ3" s="1259"/>
      <c r="KPA3" s="1259"/>
      <c r="KPB3" s="1259"/>
      <c r="KPC3" s="1259"/>
      <c r="KPD3" s="1259"/>
      <c r="KPE3" s="1259"/>
      <c r="KPF3" s="1259"/>
      <c r="KPG3" s="1259"/>
      <c r="KPH3" s="1259"/>
      <c r="KPI3" s="1259"/>
      <c r="KPJ3" s="1259"/>
      <c r="KPK3" s="1259"/>
      <c r="KPL3" s="1259"/>
      <c r="KPM3" s="1259"/>
      <c r="KPN3" s="1259"/>
      <c r="KPO3" s="1259"/>
      <c r="KPP3" s="1259"/>
      <c r="KPQ3" s="1259"/>
      <c r="KPR3" s="1259"/>
      <c r="KPS3" s="1259"/>
      <c r="KPT3" s="1259"/>
      <c r="KPU3" s="1259"/>
      <c r="KPV3" s="1259"/>
      <c r="KPW3" s="1259"/>
      <c r="KPX3" s="1259"/>
      <c r="KPY3" s="1259"/>
      <c r="KPZ3" s="1259"/>
      <c r="KQA3" s="1259"/>
      <c r="KQB3" s="1259"/>
      <c r="KQC3" s="1259"/>
      <c r="KQD3" s="1259"/>
      <c r="KQE3" s="1259"/>
      <c r="KQF3" s="1259"/>
      <c r="KQG3" s="1259"/>
      <c r="KQH3" s="1259"/>
      <c r="KQI3" s="1259"/>
      <c r="KQJ3" s="1259"/>
      <c r="KQK3" s="1259"/>
      <c r="KQL3" s="1259"/>
      <c r="KQM3" s="1259"/>
      <c r="KQN3" s="1259"/>
      <c r="KQO3" s="1259"/>
      <c r="KQP3" s="1259"/>
      <c r="KQQ3" s="1259"/>
      <c r="KQR3" s="1259"/>
      <c r="KQS3" s="1259"/>
      <c r="KQT3" s="1259"/>
      <c r="KQU3" s="1259"/>
      <c r="KQV3" s="1259"/>
      <c r="KQW3" s="1259"/>
      <c r="KQX3" s="1259"/>
      <c r="KQY3" s="1259"/>
      <c r="KQZ3" s="1259"/>
      <c r="KRA3" s="1259"/>
      <c r="KRB3" s="1259"/>
      <c r="KRC3" s="1259"/>
      <c r="KRD3" s="1259"/>
      <c r="KRE3" s="1259"/>
      <c r="KRF3" s="1259"/>
      <c r="KRG3" s="1259"/>
      <c r="KRH3" s="1259"/>
      <c r="KRI3" s="1259"/>
      <c r="KRJ3" s="1259"/>
      <c r="KRK3" s="1259"/>
      <c r="KRL3" s="1259"/>
      <c r="KRM3" s="1259"/>
      <c r="KRN3" s="1259"/>
      <c r="KRO3" s="1259"/>
      <c r="KRP3" s="1259"/>
      <c r="KRQ3" s="1259"/>
      <c r="KRR3" s="1259"/>
      <c r="KRS3" s="1259"/>
      <c r="KRT3" s="1259"/>
      <c r="KRU3" s="1259"/>
      <c r="KRV3" s="1259"/>
      <c r="KRW3" s="1259"/>
      <c r="KRX3" s="1259"/>
      <c r="KRY3" s="1259"/>
      <c r="KRZ3" s="1259"/>
      <c r="KSA3" s="1259"/>
      <c r="KSB3" s="1259"/>
      <c r="KSC3" s="1259"/>
      <c r="KSD3" s="1259"/>
      <c r="KSE3" s="1259"/>
      <c r="KSF3" s="1259"/>
      <c r="KSG3" s="1259"/>
      <c r="KSH3" s="1259"/>
      <c r="KSI3" s="1259"/>
      <c r="KSJ3" s="1259"/>
      <c r="KSK3" s="1259"/>
      <c r="KSL3" s="1259"/>
      <c r="KSM3" s="1259"/>
      <c r="KSN3" s="1259"/>
      <c r="KSO3" s="1259"/>
      <c r="KSP3" s="1259"/>
      <c r="KSQ3" s="1259"/>
      <c r="KSR3" s="1259"/>
      <c r="KSS3" s="1259"/>
      <c r="KST3" s="1259"/>
      <c r="KSU3" s="1259"/>
      <c r="KSV3" s="1259"/>
      <c r="KSW3" s="1259"/>
      <c r="KSX3" s="1259"/>
      <c r="KSY3" s="1259"/>
      <c r="KSZ3" s="1259"/>
      <c r="KTA3" s="1259"/>
      <c r="KTB3" s="1259"/>
      <c r="KTC3" s="1259"/>
      <c r="KTD3" s="1259"/>
      <c r="KTE3" s="1259"/>
      <c r="KTF3" s="1259"/>
      <c r="KTG3" s="1259"/>
      <c r="KTH3" s="1259"/>
      <c r="KTI3" s="1259"/>
      <c r="KTJ3" s="1259"/>
      <c r="KTK3" s="1259"/>
      <c r="KTL3" s="1259"/>
      <c r="KTM3" s="1259"/>
      <c r="KTN3" s="1259"/>
      <c r="KTO3" s="1259"/>
      <c r="KTP3" s="1259"/>
      <c r="KTQ3" s="1259"/>
      <c r="KTR3" s="1259"/>
      <c r="KTS3" s="1259"/>
      <c r="KTT3" s="1259"/>
      <c r="KTU3" s="1259"/>
      <c r="KTV3" s="1259"/>
      <c r="KTW3" s="1259"/>
      <c r="KTX3" s="1259"/>
      <c r="KTY3" s="1259"/>
      <c r="KTZ3" s="1259"/>
      <c r="KUA3" s="1259"/>
      <c r="KUB3" s="1259"/>
      <c r="KUC3" s="1259"/>
      <c r="KUD3" s="1259"/>
      <c r="KUE3" s="1259"/>
      <c r="KUF3" s="1259"/>
      <c r="KUG3" s="1259"/>
      <c r="KUH3" s="1259"/>
      <c r="KUI3" s="1259"/>
      <c r="KUJ3" s="1259"/>
      <c r="KUK3" s="1259"/>
      <c r="KUL3" s="1259"/>
      <c r="KUM3" s="1259"/>
      <c r="KUN3" s="1259"/>
      <c r="KUO3" s="1259"/>
      <c r="KUP3" s="1259"/>
      <c r="KUQ3" s="1259"/>
      <c r="KUR3" s="1259"/>
      <c r="KUS3" s="1259"/>
      <c r="KUT3" s="1259"/>
      <c r="KUU3" s="1259"/>
      <c r="KUV3" s="1259"/>
      <c r="KUW3" s="1259"/>
      <c r="KUX3" s="1259"/>
      <c r="KUY3" s="1259"/>
      <c r="KUZ3" s="1259"/>
      <c r="KVA3" s="1259"/>
      <c r="KVB3" s="1259"/>
      <c r="KVC3" s="1259"/>
      <c r="KVD3" s="1259"/>
      <c r="KVE3" s="1259"/>
      <c r="KVF3" s="1259"/>
      <c r="KVG3" s="1259"/>
      <c r="KVH3" s="1259"/>
      <c r="KVI3" s="1259"/>
      <c r="KVJ3" s="1259"/>
      <c r="KVK3" s="1259"/>
      <c r="KVL3" s="1259"/>
      <c r="KVM3" s="1259"/>
      <c r="KVN3" s="1259"/>
      <c r="KVO3" s="1259"/>
      <c r="KVP3" s="1259"/>
      <c r="KVQ3" s="1259"/>
      <c r="KVR3" s="1259"/>
      <c r="KVS3" s="1259"/>
      <c r="KVT3" s="1259"/>
      <c r="KVU3" s="1259"/>
      <c r="KVV3" s="1259"/>
      <c r="KVW3" s="1259"/>
      <c r="KVX3" s="1259"/>
      <c r="KVY3" s="1259"/>
      <c r="KVZ3" s="1259"/>
      <c r="KWA3" s="1259"/>
      <c r="KWB3" s="1259"/>
      <c r="KWC3" s="1259"/>
      <c r="KWD3" s="1259"/>
      <c r="KWE3" s="1259"/>
      <c r="KWF3" s="1259"/>
      <c r="KWG3" s="1259"/>
      <c r="KWH3" s="1259"/>
      <c r="KWI3" s="1259"/>
      <c r="KWJ3" s="1259"/>
      <c r="KWK3" s="1259"/>
      <c r="KWL3" s="1259"/>
      <c r="KWM3" s="1259"/>
      <c r="KWN3" s="1259"/>
      <c r="KWO3" s="1259"/>
      <c r="KWP3" s="1259"/>
      <c r="KWQ3" s="1259"/>
      <c r="KWR3" s="1259"/>
      <c r="KWS3" s="1259"/>
      <c r="KWT3" s="1259"/>
      <c r="KWU3" s="1259"/>
      <c r="KWV3" s="1259"/>
      <c r="KWW3" s="1259"/>
      <c r="KWX3" s="1259"/>
      <c r="KWY3" s="1259"/>
      <c r="KWZ3" s="1259"/>
      <c r="KXA3" s="1259"/>
      <c r="KXB3" s="1259"/>
      <c r="KXC3" s="1259"/>
      <c r="KXD3" s="1259"/>
      <c r="KXE3" s="1259"/>
      <c r="KXF3" s="1259"/>
      <c r="KXG3" s="1259"/>
      <c r="KXH3" s="1259"/>
      <c r="KXI3" s="1259"/>
      <c r="KXJ3" s="1259"/>
      <c r="KXK3" s="1259"/>
      <c r="KXL3" s="1259"/>
      <c r="KXM3" s="1259"/>
      <c r="KXN3" s="1259"/>
      <c r="KXO3" s="1259"/>
      <c r="KXP3" s="1259"/>
      <c r="KXQ3" s="1259"/>
      <c r="KXR3" s="1259"/>
      <c r="KXS3" s="1259"/>
      <c r="KXT3" s="1259"/>
      <c r="KXU3" s="1259"/>
      <c r="KXV3" s="1259"/>
      <c r="KXW3" s="1259"/>
      <c r="KXX3" s="1259"/>
      <c r="KXY3" s="1259"/>
      <c r="KXZ3" s="1259"/>
      <c r="KYA3" s="1259"/>
      <c r="KYB3" s="1259"/>
      <c r="KYC3" s="1259"/>
      <c r="KYD3" s="1259"/>
      <c r="KYE3" s="1259"/>
      <c r="KYF3" s="1259"/>
      <c r="KYG3" s="1259"/>
      <c r="KYH3" s="1259"/>
      <c r="KYI3" s="1259"/>
      <c r="KYJ3" s="1259"/>
      <c r="KYK3" s="1259"/>
      <c r="KYL3" s="1259"/>
      <c r="KYM3" s="1259"/>
      <c r="KYN3" s="1259"/>
      <c r="KYO3" s="1259"/>
      <c r="KYP3" s="1259"/>
      <c r="KYQ3" s="1259"/>
      <c r="KYR3" s="1259"/>
      <c r="KYS3" s="1259"/>
      <c r="KYT3" s="1259"/>
      <c r="KYU3" s="1259"/>
      <c r="KYV3" s="1259"/>
      <c r="KYW3" s="1259"/>
      <c r="KYX3" s="1259"/>
      <c r="KYY3" s="1259"/>
      <c r="KYZ3" s="1259"/>
      <c r="KZA3" s="1259"/>
      <c r="KZB3" s="1259"/>
      <c r="KZC3" s="1259"/>
      <c r="KZD3" s="1259"/>
      <c r="KZE3" s="1259"/>
      <c r="KZF3" s="1259"/>
      <c r="KZG3" s="1259"/>
      <c r="KZH3" s="1259"/>
      <c r="KZI3" s="1259"/>
      <c r="KZJ3" s="1259"/>
      <c r="KZK3" s="1259"/>
      <c r="KZL3" s="1259"/>
      <c r="KZM3" s="1259"/>
      <c r="KZN3" s="1259"/>
      <c r="KZO3" s="1259"/>
      <c r="KZP3" s="1259"/>
      <c r="KZQ3" s="1259"/>
      <c r="KZR3" s="1259"/>
      <c r="KZS3" s="1259"/>
      <c r="KZT3" s="1259"/>
      <c r="KZU3" s="1259"/>
      <c r="KZV3" s="1259"/>
      <c r="KZW3" s="1259"/>
      <c r="KZX3" s="1259"/>
      <c r="KZY3" s="1259"/>
      <c r="KZZ3" s="1259"/>
      <c r="LAA3" s="1259"/>
      <c r="LAB3" s="1259"/>
      <c r="LAC3" s="1259"/>
      <c r="LAD3" s="1259"/>
      <c r="LAE3" s="1259"/>
      <c r="LAF3" s="1259"/>
      <c r="LAG3" s="1259"/>
      <c r="LAH3" s="1259"/>
      <c r="LAI3" s="1259"/>
      <c r="LAJ3" s="1259"/>
      <c r="LAK3" s="1259"/>
      <c r="LAL3" s="1259"/>
      <c r="LAM3" s="1259"/>
      <c r="LAN3" s="1259"/>
      <c r="LAO3" s="1259"/>
      <c r="LAP3" s="1259"/>
      <c r="LAQ3" s="1259"/>
      <c r="LAR3" s="1259"/>
      <c r="LAS3" s="1259"/>
      <c r="LAT3" s="1259"/>
      <c r="LAU3" s="1259"/>
      <c r="LAV3" s="1259"/>
      <c r="LAW3" s="1259"/>
      <c r="LAX3" s="1259"/>
      <c r="LAY3" s="1259"/>
      <c r="LAZ3" s="1259"/>
      <c r="LBA3" s="1259"/>
      <c r="LBB3" s="1259"/>
      <c r="LBC3" s="1259"/>
      <c r="LBD3" s="1259"/>
      <c r="LBE3" s="1259"/>
      <c r="LBF3" s="1259"/>
      <c r="LBG3" s="1259"/>
      <c r="LBH3" s="1259"/>
      <c r="LBI3" s="1259"/>
      <c r="LBJ3" s="1259"/>
      <c r="LBK3" s="1259"/>
      <c r="LBL3" s="1259"/>
      <c r="LBM3" s="1259"/>
      <c r="LBN3" s="1259"/>
      <c r="LBO3" s="1259"/>
      <c r="LBP3" s="1259"/>
      <c r="LBQ3" s="1259"/>
      <c r="LBR3" s="1259"/>
      <c r="LBS3" s="1259"/>
      <c r="LBT3" s="1259"/>
      <c r="LBU3" s="1259"/>
      <c r="LBV3" s="1259"/>
      <c r="LBW3" s="1259"/>
      <c r="LBX3" s="1259"/>
      <c r="LBY3" s="1259"/>
      <c r="LBZ3" s="1259"/>
      <c r="LCA3" s="1259"/>
      <c r="LCB3" s="1259"/>
      <c r="LCC3" s="1259"/>
      <c r="LCD3" s="1259"/>
      <c r="LCE3" s="1259"/>
      <c r="LCF3" s="1259"/>
      <c r="LCG3" s="1259"/>
      <c r="LCH3" s="1259"/>
      <c r="LCI3" s="1259"/>
      <c r="LCJ3" s="1259"/>
      <c r="LCK3" s="1259"/>
      <c r="LCL3" s="1259"/>
      <c r="LCM3" s="1259"/>
      <c r="LCN3" s="1259"/>
      <c r="LCO3" s="1259"/>
      <c r="LCP3" s="1259"/>
      <c r="LCQ3" s="1259"/>
      <c r="LCR3" s="1259"/>
      <c r="LCS3" s="1259"/>
      <c r="LCT3" s="1259"/>
      <c r="LCU3" s="1259"/>
      <c r="LCV3" s="1259"/>
      <c r="LCW3" s="1259"/>
      <c r="LCX3" s="1259"/>
      <c r="LCY3" s="1259"/>
      <c r="LCZ3" s="1259"/>
      <c r="LDA3" s="1259"/>
      <c r="LDB3" s="1259"/>
      <c r="LDC3" s="1259"/>
      <c r="LDD3" s="1259"/>
      <c r="LDE3" s="1259"/>
      <c r="LDF3" s="1259"/>
      <c r="LDG3" s="1259"/>
      <c r="LDH3" s="1259"/>
      <c r="LDI3" s="1259"/>
      <c r="LDJ3" s="1259"/>
      <c r="LDK3" s="1259"/>
      <c r="LDL3" s="1259"/>
      <c r="LDM3" s="1259"/>
      <c r="LDN3" s="1259"/>
      <c r="LDO3" s="1259"/>
      <c r="LDP3" s="1259"/>
      <c r="LDQ3" s="1259"/>
      <c r="LDR3" s="1259"/>
      <c r="LDS3" s="1259"/>
      <c r="LDT3" s="1259"/>
      <c r="LDU3" s="1259"/>
      <c r="LDV3" s="1259"/>
      <c r="LDW3" s="1259"/>
      <c r="LDX3" s="1259"/>
      <c r="LDY3" s="1259"/>
      <c r="LDZ3" s="1259"/>
      <c r="LEA3" s="1259"/>
      <c r="LEB3" s="1259"/>
      <c r="LEC3" s="1259"/>
      <c r="LED3" s="1259"/>
      <c r="LEE3" s="1259"/>
      <c r="LEF3" s="1259"/>
      <c r="LEG3" s="1259"/>
      <c r="LEH3" s="1259"/>
      <c r="LEI3" s="1259"/>
      <c r="LEJ3" s="1259"/>
      <c r="LEK3" s="1259"/>
      <c r="LEL3" s="1259"/>
      <c r="LEM3" s="1259"/>
      <c r="LEN3" s="1259"/>
      <c r="LEO3" s="1259"/>
      <c r="LEP3" s="1259"/>
      <c r="LEQ3" s="1259"/>
      <c r="LER3" s="1259"/>
      <c r="LES3" s="1259"/>
      <c r="LET3" s="1259"/>
      <c r="LEU3" s="1259"/>
      <c r="LEV3" s="1259"/>
      <c r="LEW3" s="1259"/>
      <c r="LEX3" s="1259"/>
      <c r="LEY3" s="1259"/>
      <c r="LEZ3" s="1259"/>
      <c r="LFA3" s="1259"/>
      <c r="LFB3" s="1259"/>
      <c r="LFC3" s="1259"/>
      <c r="LFD3" s="1259"/>
      <c r="LFE3" s="1259"/>
      <c r="LFF3" s="1259"/>
      <c r="LFG3" s="1259"/>
      <c r="LFH3" s="1259"/>
      <c r="LFI3" s="1259"/>
      <c r="LFJ3" s="1259"/>
      <c r="LFK3" s="1259"/>
      <c r="LFL3" s="1259"/>
      <c r="LFM3" s="1259"/>
      <c r="LFN3" s="1259"/>
      <c r="LFO3" s="1259"/>
      <c r="LFP3" s="1259"/>
      <c r="LFQ3" s="1259"/>
      <c r="LFR3" s="1259"/>
      <c r="LFS3" s="1259"/>
      <c r="LFT3" s="1259"/>
      <c r="LFU3" s="1259"/>
      <c r="LFV3" s="1259"/>
      <c r="LFW3" s="1259"/>
      <c r="LFX3" s="1259"/>
      <c r="LFY3" s="1259"/>
      <c r="LFZ3" s="1259"/>
      <c r="LGA3" s="1259"/>
      <c r="LGB3" s="1259"/>
      <c r="LGC3" s="1259"/>
      <c r="LGD3" s="1259"/>
      <c r="LGE3" s="1259"/>
      <c r="LGF3" s="1259"/>
      <c r="LGG3" s="1259"/>
      <c r="LGH3" s="1259"/>
      <c r="LGI3" s="1259"/>
      <c r="LGJ3" s="1259"/>
      <c r="LGK3" s="1259"/>
      <c r="LGL3" s="1259"/>
      <c r="LGM3" s="1259"/>
      <c r="LGN3" s="1259"/>
      <c r="LGO3" s="1259"/>
      <c r="LGP3" s="1259"/>
      <c r="LGQ3" s="1259"/>
      <c r="LGR3" s="1259"/>
      <c r="LGS3" s="1259"/>
      <c r="LGT3" s="1259"/>
      <c r="LGU3" s="1259"/>
      <c r="LGV3" s="1259"/>
      <c r="LGW3" s="1259"/>
      <c r="LGX3" s="1259"/>
      <c r="LGY3" s="1259"/>
      <c r="LGZ3" s="1259"/>
      <c r="LHA3" s="1259"/>
      <c r="LHB3" s="1259"/>
      <c r="LHC3" s="1259"/>
      <c r="LHD3" s="1259"/>
      <c r="LHE3" s="1259"/>
      <c r="LHF3" s="1259"/>
      <c r="LHG3" s="1259"/>
      <c r="LHH3" s="1259"/>
      <c r="LHI3" s="1259"/>
      <c r="LHJ3" s="1259"/>
      <c r="LHK3" s="1259"/>
      <c r="LHL3" s="1259"/>
      <c r="LHM3" s="1259"/>
      <c r="LHN3" s="1259"/>
      <c r="LHO3" s="1259"/>
      <c r="LHP3" s="1259"/>
      <c r="LHQ3" s="1259"/>
      <c r="LHR3" s="1259"/>
      <c r="LHS3" s="1259"/>
      <c r="LHT3" s="1259"/>
      <c r="LHU3" s="1259"/>
      <c r="LHV3" s="1259"/>
      <c r="LHW3" s="1259"/>
      <c r="LHX3" s="1259"/>
      <c r="LHY3" s="1259"/>
      <c r="LHZ3" s="1259"/>
      <c r="LIA3" s="1259"/>
      <c r="LIB3" s="1259"/>
      <c r="LIC3" s="1259"/>
      <c r="LID3" s="1259"/>
      <c r="LIE3" s="1259"/>
      <c r="LIF3" s="1259"/>
      <c r="LIG3" s="1259"/>
      <c r="LIH3" s="1259"/>
      <c r="LII3" s="1259"/>
      <c r="LIJ3" s="1259"/>
      <c r="LIK3" s="1259"/>
      <c r="LIL3" s="1259"/>
      <c r="LIM3" s="1259"/>
      <c r="LIN3" s="1259"/>
      <c r="LIO3" s="1259"/>
      <c r="LIP3" s="1259"/>
      <c r="LIQ3" s="1259"/>
      <c r="LIR3" s="1259"/>
      <c r="LIS3" s="1259"/>
      <c r="LIT3" s="1259"/>
      <c r="LIU3" s="1259"/>
      <c r="LIV3" s="1259"/>
      <c r="LIW3" s="1259"/>
      <c r="LIX3" s="1259"/>
      <c r="LIY3" s="1259"/>
      <c r="LIZ3" s="1259"/>
      <c r="LJA3" s="1259"/>
      <c r="LJB3" s="1259"/>
      <c r="LJC3" s="1259"/>
      <c r="LJD3" s="1259"/>
      <c r="LJE3" s="1259"/>
      <c r="LJF3" s="1259"/>
      <c r="LJG3" s="1259"/>
      <c r="LJH3" s="1259"/>
      <c r="LJI3" s="1259"/>
      <c r="LJJ3" s="1259"/>
      <c r="LJK3" s="1259"/>
      <c r="LJL3" s="1259"/>
      <c r="LJM3" s="1259"/>
      <c r="LJN3" s="1259"/>
      <c r="LJO3" s="1259"/>
      <c r="LJP3" s="1259"/>
      <c r="LJQ3" s="1259"/>
      <c r="LJR3" s="1259"/>
      <c r="LJS3" s="1259"/>
      <c r="LJT3" s="1259"/>
      <c r="LJU3" s="1259"/>
      <c r="LJV3" s="1259"/>
      <c r="LJW3" s="1259"/>
      <c r="LJX3" s="1259"/>
      <c r="LJY3" s="1259"/>
      <c r="LJZ3" s="1259"/>
      <c r="LKA3" s="1259"/>
      <c r="LKB3" s="1259"/>
      <c r="LKC3" s="1259"/>
      <c r="LKD3" s="1259"/>
      <c r="LKE3" s="1259"/>
      <c r="LKF3" s="1259"/>
      <c r="LKG3" s="1259"/>
      <c r="LKH3" s="1259"/>
      <c r="LKI3" s="1259"/>
      <c r="LKJ3" s="1259"/>
      <c r="LKK3" s="1259"/>
      <c r="LKL3" s="1259"/>
      <c r="LKM3" s="1259"/>
      <c r="LKN3" s="1259"/>
      <c r="LKO3" s="1259"/>
      <c r="LKP3" s="1259"/>
      <c r="LKQ3" s="1259"/>
      <c r="LKR3" s="1259"/>
      <c r="LKS3" s="1259"/>
      <c r="LKT3" s="1259"/>
      <c r="LKU3" s="1259"/>
      <c r="LKV3" s="1259"/>
      <c r="LKW3" s="1259"/>
      <c r="LKX3" s="1259"/>
      <c r="LKY3" s="1259"/>
      <c r="LKZ3" s="1259"/>
      <c r="LLA3" s="1259"/>
      <c r="LLB3" s="1259"/>
      <c r="LLC3" s="1259"/>
      <c r="LLD3" s="1259"/>
      <c r="LLE3" s="1259"/>
      <c r="LLF3" s="1259"/>
      <c r="LLG3" s="1259"/>
      <c r="LLH3" s="1259"/>
      <c r="LLI3" s="1259"/>
      <c r="LLJ3" s="1259"/>
      <c r="LLK3" s="1259"/>
      <c r="LLL3" s="1259"/>
      <c r="LLM3" s="1259"/>
      <c r="LLN3" s="1259"/>
      <c r="LLO3" s="1259"/>
      <c r="LLP3" s="1259"/>
      <c r="LLQ3" s="1259"/>
      <c r="LLR3" s="1259"/>
      <c r="LLS3" s="1259"/>
      <c r="LLT3" s="1259"/>
      <c r="LLU3" s="1259"/>
      <c r="LLV3" s="1259"/>
      <c r="LLW3" s="1259"/>
      <c r="LLX3" s="1259"/>
      <c r="LLY3" s="1259"/>
      <c r="LLZ3" s="1259"/>
      <c r="LMA3" s="1259"/>
      <c r="LMB3" s="1259"/>
      <c r="LMC3" s="1259"/>
      <c r="LMD3" s="1259"/>
      <c r="LME3" s="1259"/>
      <c r="LMF3" s="1259"/>
      <c r="LMG3" s="1259"/>
      <c r="LMH3" s="1259"/>
      <c r="LMI3" s="1259"/>
      <c r="LMJ3" s="1259"/>
      <c r="LMK3" s="1259"/>
      <c r="LML3" s="1259"/>
      <c r="LMM3" s="1259"/>
      <c r="LMN3" s="1259"/>
      <c r="LMO3" s="1259"/>
      <c r="LMP3" s="1259"/>
      <c r="LMQ3" s="1259"/>
      <c r="LMR3" s="1259"/>
      <c r="LMS3" s="1259"/>
      <c r="LMT3" s="1259"/>
      <c r="LMU3" s="1259"/>
      <c r="LMV3" s="1259"/>
      <c r="LMW3" s="1259"/>
      <c r="LMX3" s="1259"/>
      <c r="LMY3" s="1259"/>
      <c r="LMZ3" s="1259"/>
      <c r="LNA3" s="1259"/>
      <c r="LNB3" s="1259"/>
      <c r="LNC3" s="1259"/>
      <c r="LND3" s="1259"/>
      <c r="LNE3" s="1259"/>
      <c r="LNF3" s="1259"/>
      <c r="LNG3" s="1259"/>
      <c r="LNH3" s="1259"/>
      <c r="LNI3" s="1259"/>
      <c r="LNJ3" s="1259"/>
      <c r="LNK3" s="1259"/>
      <c r="LNL3" s="1259"/>
      <c r="LNM3" s="1259"/>
      <c r="LNN3" s="1259"/>
      <c r="LNO3" s="1259"/>
      <c r="LNP3" s="1259"/>
      <c r="LNQ3" s="1259"/>
      <c r="LNR3" s="1259"/>
      <c r="LNS3" s="1259"/>
      <c r="LNT3" s="1259"/>
      <c r="LNU3" s="1259"/>
      <c r="LNV3" s="1259"/>
      <c r="LNW3" s="1259"/>
      <c r="LNX3" s="1259"/>
      <c r="LNY3" s="1259"/>
      <c r="LNZ3" s="1259"/>
      <c r="LOA3" s="1259"/>
      <c r="LOB3" s="1259"/>
      <c r="LOC3" s="1259"/>
      <c r="LOD3" s="1259"/>
      <c r="LOE3" s="1259"/>
      <c r="LOF3" s="1259"/>
      <c r="LOG3" s="1259"/>
      <c r="LOH3" s="1259"/>
      <c r="LOI3" s="1259"/>
      <c r="LOJ3" s="1259"/>
      <c r="LOK3" s="1259"/>
      <c r="LOL3" s="1259"/>
      <c r="LOM3" s="1259"/>
      <c r="LON3" s="1259"/>
      <c r="LOO3" s="1259"/>
      <c r="LOP3" s="1259"/>
      <c r="LOQ3" s="1259"/>
      <c r="LOR3" s="1259"/>
      <c r="LOS3" s="1259"/>
      <c r="LOT3" s="1259"/>
      <c r="LOU3" s="1259"/>
      <c r="LOV3" s="1259"/>
      <c r="LOW3" s="1259"/>
      <c r="LOX3" s="1259"/>
      <c r="LOY3" s="1259"/>
      <c r="LOZ3" s="1259"/>
      <c r="LPA3" s="1259"/>
      <c r="LPB3" s="1259"/>
      <c r="LPC3" s="1259"/>
      <c r="LPD3" s="1259"/>
      <c r="LPE3" s="1259"/>
      <c r="LPF3" s="1259"/>
      <c r="LPG3" s="1259"/>
      <c r="LPH3" s="1259"/>
      <c r="LPI3" s="1259"/>
      <c r="LPJ3" s="1259"/>
      <c r="LPK3" s="1259"/>
      <c r="LPL3" s="1259"/>
      <c r="LPM3" s="1259"/>
      <c r="LPN3" s="1259"/>
      <c r="LPO3" s="1259"/>
      <c r="LPP3" s="1259"/>
      <c r="LPQ3" s="1259"/>
      <c r="LPR3" s="1259"/>
      <c r="LPS3" s="1259"/>
      <c r="LPT3" s="1259"/>
      <c r="LPU3" s="1259"/>
      <c r="LPV3" s="1259"/>
      <c r="LPW3" s="1259"/>
      <c r="LPX3" s="1259"/>
      <c r="LPY3" s="1259"/>
      <c r="LPZ3" s="1259"/>
      <c r="LQA3" s="1259"/>
      <c r="LQB3" s="1259"/>
      <c r="LQC3" s="1259"/>
      <c r="LQD3" s="1259"/>
      <c r="LQE3" s="1259"/>
      <c r="LQF3" s="1259"/>
      <c r="LQG3" s="1259"/>
      <c r="LQH3" s="1259"/>
      <c r="LQI3" s="1259"/>
      <c r="LQJ3" s="1259"/>
      <c r="LQK3" s="1259"/>
      <c r="LQL3" s="1259"/>
      <c r="LQM3" s="1259"/>
      <c r="LQN3" s="1259"/>
      <c r="LQO3" s="1259"/>
      <c r="LQP3" s="1259"/>
      <c r="LQQ3" s="1259"/>
      <c r="LQR3" s="1259"/>
      <c r="LQS3" s="1259"/>
      <c r="LQT3" s="1259"/>
      <c r="LQU3" s="1259"/>
      <c r="LQV3" s="1259"/>
      <c r="LQW3" s="1259"/>
      <c r="LQX3" s="1259"/>
      <c r="LQY3" s="1259"/>
      <c r="LQZ3" s="1259"/>
      <c r="LRA3" s="1259"/>
      <c r="LRB3" s="1259"/>
      <c r="LRC3" s="1259"/>
      <c r="LRD3" s="1259"/>
      <c r="LRE3" s="1259"/>
      <c r="LRF3" s="1259"/>
      <c r="LRG3" s="1259"/>
      <c r="LRH3" s="1259"/>
      <c r="LRI3" s="1259"/>
      <c r="LRJ3" s="1259"/>
      <c r="LRK3" s="1259"/>
      <c r="LRL3" s="1259"/>
      <c r="LRM3" s="1259"/>
      <c r="LRN3" s="1259"/>
      <c r="LRO3" s="1259"/>
      <c r="LRP3" s="1259"/>
      <c r="LRQ3" s="1259"/>
      <c r="LRR3" s="1259"/>
      <c r="LRS3" s="1259"/>
      <c r="LRT3" s="1259"/>
      <c r="LRU3" s="1259"/>
      <c r="LRV3" s="1259"/>
      <c r="LRW3" s="1259"/>
      <c r="LRX3" s="1259"/>
      <c r="LRY3" s="1259"/>
      <c r="LRZ3" s="1259"/>
      <c r="LSA3" s="1259"/>
      <c r="LSB3" s="1259"/>
      <c r="LSC3" s="1259"/>
      <c r="LSD3" s="1259"/>
      <c r="LSE3" s="1259"/>
      <c r="LSF3" s="1259"/>
      <c r="LSG3" s="1259"/>
      <c r="LSH3" s="1259"/>
      <c r="LSI3" s="1259"/>
      <c r="LSJ3" s="1259"/>
      <c r="LSK3" s="1259"/>
      <c r="LSL3" s="1259"/>
      <c r="LSM3" s="1259"/>
      <c r="LSN3" s="1259"/>
      <c r="LSO3" s="1259"/>
      <c r="LSP3" s="1259"/>
      <c r="LSQ3" s="1259"/>
      <c r="LSR3" s="1259"/>
      <c r="LSS3" s="1259"/>
      <c r="LST3" s="1259"/>
      <c r="LSU3" s="1259"/>
      <c r="LSV3" s="1259"/>
      <c r="LSW3" s="1259"/>
      <c r="LSX3" s="1259"/>
      <c r="LSY3" s="1259"/>
      <c r="LSZ3" s="1259"/>
      <c r="LTA3" s="1259"/>
      <c r="LTB3" s="1259"/>
      <c r="LTC3" s="1259"/>
      <c r="LTD3" s="1259"/>
      <c r="LTE3" s="1259"/>
      <c r="LTF3" s="1259"/>
      <c r="LTG3" s="1259"/>
      <c r="LTH3" s="1259"/>
      <c r="LTI3" s="1259"/>
      <c r="LTJ3" s="1259"/>
      <c r="LTK3" s="1259"/>
      <c r="LTL3" s="1259"/>
      <c r="LTM3" s="1259"/>
      <c r="LTN3" s="1259"/>
      <c r="LTO3" s="1259"/>
      <c r="LTP3" s="1259"/>
      <c r="LTQ3" s="1259"/>
      <c r="LTR3" s="1259"/>
      <c r="LTS3" s="1259"/>
      <c r="LTT3" s="1259"/>
      <c r="LTU3" s="1259"/>
      <c r="LTV3" s="1259"/>
      <c r="LTW3" s="1259"/>
      <c r="LTX3" s="1259"/>
      <c r="LTY3" s="1259"/>
      <c r="LTZ3" s="1259"/>
      <c r="LUA3" s="1259"/>
      <c r="LUB3" s="1259"/>
      <c r="LUC3" s="1259"/>
      <c r="LUD3" s="1259"/>
      <c r="LUE3" s="1259"/>
      <c r="LUF3" s="1259"/>
      <c r="LUG3" s="1259"/>
      <c r="LUH3" s="1259"/>
      <c r="LUI3" s="1259"/>
      <c r="LUJ3" s="1259"/>
      <c r="LUK3" s="1259"/>
      <c r="LUL3" s="1259"/>
      <c r="LUM3" s="1259"/>
      <c r="LUN3" s="1259"/>
      <c r="LUO3" s="1259"/>
      <c r="LUP3" s="1259"/>
      <c r="LUQ3" s="1259"/>
      <c r="LUR3" s="1259"/>
      <c r="LUS3" s="1259"/>
      <c r="LUT3" s="1259"/>
      <c r="LUU3" s="1259"/>
      <c r="LUV3" s="1259"/>
      <c r="LUW3" s="1259"/>
      <c r="LUX3" s="1259"/>
      <c r="LUY3" s="1259"/>
      <c r="LUZ3" s="1259"/>
      <c r="LVA3" s="1259"/>
      <c r="LVB3" s="1259"/>
      <c r="LVC3" s="1259"/>
      <c r="LVD3" s="1259"/>
      <c r="LVE3" s="1259"/>
      <c r="LVF3" s="1259"/>
      <c r="LVG3" s="1259"/>
      <c r="LVH3" s="1259"/>
      <c r="LVI3" s="1259"/>
      <c r="LVJ3" s="1259"/>
      <c r="LVK3" s="1259"/>
      <c r="LVL3" s="1259"/>
      <c r="LVM3" s="1259"/>
      <c r="LVN3" s="1259"/>
      <c r="LVO3" s="1259"/>
      <c r="LVP3" s="1259"/>
      <c r="LVQ3" s="1259"/>
      <c r="LVR3" s="1259"/>
      <c r="LVS3" s="1259"/>
      <c r="LVT3" s="1259"/>
      <c r="LVU3" s="1259"/>
      <c r="LVV3" s="1259"/>
      <c r="LVW3" s="1259"/>
      <c r="LVX3" s="1259"/>
      <c r="LVY3" s="1259"/>
      <c r="LVZ3" s="1259"/>
      <c r="LWA3" s="1259"/>
      <c r="LWB3" s="1259"/>
      <c r="LWC3" s="1259"/>
      <c r="LWD3" s="1259"/>
      <c r="LWE3" s="1259"/>
      <c r="LWF3" s="1259"/>
      <c r="LWG3" s="1259"/>
      <c r="LWH3" s="1259"/>
      <c r="LWI3" s="1259"/>
      <c r="LWJ3" s="1259"/>
      <c r="LWK3" s="1259"/>
      <c r="LWL3" s="1259"/>
      <c r="LWM3" s="1259"/>
      <c r="LWN3" s="1259"/>
      <c r="LWO3" s="1259"/>
      <c r="LWP3" s="1259"/>
      <c r="LWQ3" s="1259"/>
      <c r="LWR3" s="1259"/>
      <c r="LWS3" s="1259"/>
      <c r="LWT3" s="1259"/>
      <c r="LWU3" s="1259"/>
      <c r="LWV3" s="1259"/>
      <c r="LWW3" s="1259"/>
      <c r="LWX3" s="1259"/>
      <c r="LWY3" s="1259"/>
      <c r="LWZ3" s="1259"/>
      <c r="LXA3" s="1259"/>
      <c r="LXB3" s="1259"/>
      <c r="LXC3" s="1259"/>
      <c r="LXD3" s="1259"/>
      <c r="LXE3" s="1259"/>
      <c r="LXF3" s="1259"/>
      <c r="LXG3" s="1259"/>
      <c r="LXH3" s="1259"/>
      <c r="LXI3" s="1259"/>
      <c r="LXJ3" s="1259"/>
      <c r="LXK3" s="1259"/>
      <c r="LXL3" s="1259"/>
      <c r="LXM3" s="1259"/>
      <c r="LXN3" s="1259"/>
      <c r="LXO3" s="1259"/>
      <c r="LXP3" s="1259"/>
      <c r="LXQ3" s="1259"/>
      <c r="LXR3" s="1259"/>
      <c r="LXS3" s="1259"/>
      <c r="LXT3" s="1259"/>
      <c r="LXU3" s="1259"/>
      <c r="LXV3" s="1259"/>
      <c r="LXW3" s="1259"/>
      <c r="LXX3" s="1259"/>
      <c r="LXY3" s="1259"/>
      <c r="LXZ3" s="1259"/>
      <c r="LYA3" s="1259"/>
      <c r="LYB3" s="1259"/>
      <c r="LYC3" s="1259"/>
      <c r="LYD3" s="1259"/>
      <c r="LYE3" s="1259"/>
      <c r="LYF3" s="1259"/>
      <c r="LYG3" s="1259"/>
      <c r="LYH3" s="1259"/>
      <c r="LYI3" s="1259"/>
      <c r="LYJ3" s="1259"/>
      <c r="LYK3" s="1259"/>
      <c r="LYL3" s="1259"/>
      <c r="LYM3" s="1259"/>
      <c r="LYN3" s="1259"/>
      <c r="LYO3" s="1259"/>
      <c r="LYP3" s="1259"/>
      <c r="LYQ3" s="1259"/>
      <c r="LYR3" s="1259"/>
      <c r="LYS3" s="1259"/>
      <c r="LYT3" s="1259"/>
      <c r="LYU3" s="1259"/>
      <c r="LYV3" s="1259"/>
      <c r="LYW3" s="1259"/>
      <c r="LYX3" s="1259"/>
      <c r="LYY3" s="1259"/>
      <c r="LYZ3" s="1259"/>
      <c r="LZA3" s="1259"/>
      <c r="LZB3" s="1259"/>
      <c r="LZC3" s="1259"/>
      <c r="LZD3" s="1259"/>
      <c r="LZE3" s="1259"/>
      <c r="LZF3" s="1259"/>
      <c r="LZG3" s="1259"/>
      <c r="LZH3" s="1259"/>
      <c r="LZI3" s="1259"/>
      <c r="LZJ3" s="1259"/>
      <c r="LZK3" s="1259"/>
      <c r="LZL3" s="1259"/>
      <c r="LZM3" s="1259"/>
      <c r="LZN3" s="1259"/>
      <c r="LZO3" s="1259"/>
      <c r="LZP3" s="1259"/>
      <c r="LZQ3" s="1259"/>
      <c r="LZR3" s="1259"/>
      <c r="LZS3" s="1259"/>
      <c r="LZT3" s="1259"/>
      <c r="LZU3" s="1259"/>
      <c r="LZV3" s="1259"/>
      <c r="LZW3" s="1259"/>
      <c r="LZX3" s="1259"/>
      <c r="LZY3" s="1259"/>
      <c r="LZZ3" s="1259"/>
      <c r="MAA3" s="1259"/>
      <c r="MAB3" s="1259"/>
      <c r="MAC3" s="1259"/>
      <c r="MAD3" s="1259"/>
      <c r="MAE3" s="1259"/>
      <c r="MAF3" s="1259"/>
      <c r="MAG3" s="1259"/>
      <c r="MAH3" s="1259"/>
      <c r="MAI3" s="1259"/>
      <c r="MAJ3" s="1259"/>
      <c r="MAK3" s="1259"/>
      <c r="MAL3" s="1259"/>
      <c r="MAM3" s="1259"/>
      <c r="MAN3" s="1259"/>
      <c r="MAO3" s="1259"/>
      <c r="MAP3" s="1259"/>
      <c r="MAQ3" s="1259"/>
      <c r="MAR3" s="1259"/>
      <c r="MAS3" s="1259"/>
      <c r="MAT3" s="1259"/>
      <c r="MAU3" s="1259"/>
      <c r="MAV3" s="1259"/>
      <c r="MAW3" s="1259"/>
      <c r="MAX3" s="1259"/>
      <c r="MAY3" s="1259"/>
      <c r="MAZ3" s="1259"/>
      <c r="MBA3" s="1259"/>
      <c r="MBB3" s="1259"/>
      <c r="MBC3" s="1259"/>
      <c r="MBD3" s="1259"/>
      <c r="MBE3" s="1259"/>
      <c r="MBF3" s="1259"/>
      <c r="MBG3" s="1259"/>
      <c r="MBH3" s="1259"/>
      <c r="MBI3" s="1259"/>
      <c r="MBJ3" s="1259"/>
      <c r="MBK3" s="1259"/>
      <c r="MBL3" s="1259"/>
      <c r="MBM3" s="1259"/>
      <c r="MBN3" s="1259"/>
      <c r="MBO3" s="1259"/>
      <c r="MBP3" s="1259"/>
      <c r="MBQ3" s="1259"/>
      <c r="MBR3" s="1259"/>
      <c r="MBS3" s="1259"/>
      <c r="MBT3" s="1259"/>
      <c r="MBU3" s="1259"/>
      <c r="MBV3" s="1259"/>
      <c r="MBW3" s="1259"/>
      <c r="MBX3" s="1259"/>
      <c r="MBY3" s="1259"/>
      <c r="MBZ3" s="1259"/>
      <c r="MCA3" s="1259"/>
      <c r="MCB3" s="1259"/>
      <c r="MCC3" s="1259"/>
      <c r="MCD3" s="1259"/>
      <c r="MCE3" s="1259"/>
      <c r="MCF3" s="1259"/>
      <c r="MCG3" s="1259"/>
      <c r="MCH3" s="1259"/>
      <c r="MCI3" s="1259"/>
      <c r="MCJ3" s="1259"/>
      <c r="MCK3" s="1259"/>
      <c r="MCL3" s="1259"/>
      <c r="MCM3" s="1259"/>
      <c r="MCN3" s="1259"/>
      <c r="MCO3" s="1259"/>
      <c r="MCP3" s="1259"/>
      <c r="MCQ3" s="1259"/>
      <c r="MCR3" s="1259"/>
      <c r="MCS3" s="1259"/>
      <c r="MCT3" s="1259"/>
      <c r="MCU3" s="1259"/>
      <c r="MCV3" s="1259"/>
      <c r="MCW3" s="1259"/>
      <c r="MCX3" s="1259"/>
      <c r="MCY3" s="1259"/>
      <c r="MCZ3" s="1259"/>
      <c r="MDA3" s="1259"/>
      <c r="MDB3" s="1259"/>
      <c r="MDC3" s="1259"/>
      <c r="MDD3" s="1259"/>
      <c r="MDE3" s="1259"/>
      <c r="MDF3" s="1259"/>
      <c r="MDG3" s="1259"/>
      <c r="MDH3" s="1259"/>
      <c r="MDI3" s="1259"/>
      <c r="MDJ3" s="1259"/>
      <c r="MDK3" s="1259"/>
      <c r="MDL3" s="1259"/>
      <c r="MDM3" s="1259"/>
      <c r="MDN3" s="1259"/>
      <c r="MDO3" s="1259"/>
      <c r="MDP3" s="1259"/>
      <c r="MDQ3" s="1259"/>
      <c r="MDR3" s="1259"/>
      <c r="MDS3" s="1259"/>
      <c r="MDT3" s="1259"/>
      <c r="MDU3" s="1259"/>
      <c r="MDV3" s="1259"/>
      <c r="MDW3" s="1259"/>
      <c r="MDX3" s="1259"/>
      <c r="MDY3" s="1259"/>
      <c r="MDZ3" s="1259"/>
      <c r="MEA3" s="1259"/>
      <c r="MEB3" s="1259"/>
      <c r="MEC3" s="1259"/>
      <c r="MED3" s="1259"/>
      <c r="MEE3" s="1259"/>
      <c r="MEF3" s="1259"/>
      <c r="MEG3" s="1259"/>
      <c r="MEH3" s="1259"/>
      <c r="MEI3" s="1259"/>
      <c r="MEJ3" s="1259"/>
      <c r="MEK3" s="1259"/>
      <c r="MEL3" s="1259"/>
      <c r="MEM3" s="1259"/>
      <c r="MEN3" s="1259"/>
      <c r="MEO3" s="1259"/>
      <c r="MEP3" s="1259"/>
      <c r="MEQ3" s="1259"/>
      <c r="MER3" s="1259"/>
      <c r="MES3" s="1259"/>
      <c r="MET3" s="1259"/>
      <c r="MEU3" s="1259"/>
      <c r="MEV3" s="1259"/>
      <c r="MEW3" s="1259"/>
      <c r="MEX3" s="1259"/>
      <c r="MEY3" s="1259"/>
      <c r="MEZ3" s="1259"/>
      <c r="MFA3" s="1259"/>
      <c r="MFB3" s="1259"/>
      <c r="MFC3" s="1259"/>
      <c r="MFD3" s="1259"/>
      <c r="MFE3" s="1259"/>
      <c r="MFF3" s="1259"/>
      <c r="MFG3" s="1259"/>
      <c r="MFH3" s="1259"/>
      <c r="MFI3" s="1259"/>
      <c r="MFJ3" s="1259"/>
      <c r="MFK3" s="1259"/>
      <c r="MFL3" s="1259"/>
      <c r="MFM3" s="1259"/>
      <c r="MFN3" s="1259"/>
      <c r="MFO3" s="1259"/>
      <c r="MFP3" s="1259"/>
      <c r="MFQ3" s="1259"/>
      <c r="MFR3" s="1259"/>
      <c r="MFS3" s="1259"/>
      <c r="MFT3" s="1259"/>
      <c r="MFU3" s="1259"/>
      <c r="MFV3" s="1259"/>
      <c r="MFW3" s="1259"/>
      <c r="MFX3" s="1259"/>
      <c r="MFY3" s="1259"/>
      <c r="MFZ3" s="1259"/>
      <c r="MGA3" s="1259"/>
      <c r="MGB3" s="1259"/>
      <c r="MGC3" s="1259"/>
      <c r="MGD3" s="1259"/>
      <c r="MGE3" s="1259"/>
      <c r="MGF3" s="1259"/>
      <c r="MGG3" s="1259"/>
      <c r="MGH3" s="1259"/>
      <c r="MGI3" s="1259"/>
      <c r="MGJ3" s="1259"/>
      <c r="MGK3" s="1259"/>
      <c r="MGL3" s="1259"/>
      <c r="MGM3" s="1259"/>
      <c r="MGN3" s="1259"/>
      <c r="MGO3" s="1259"/>
      <c r="MGP3" s="1259"/>
      <c r="MGQ3" s="1259"/>
      <c r="MGR3" s="1259"/>
      <c r="MGS3" s="1259"/>
      <c r="MGT3" s="1259"/>
      <c r="MGU3" s="1259"/>
      <c r="MGV3" s="1259"/>
      <c r="MGW3" s="1259"/>
      <c r="MGX3" s="1259"/>
      <c r="MGY3" s="1259"/>
      <c r="MGZ3" s="1259"/>
      <c r="MHA3" s="1259"/>
      <c r="MHB3" s="1259"/>
      <c r="MHC3" s="1259"/>
      <c r="MHD3" s="1259"/>
      <c r="MHE3" s="1259"/>
      <c r="MHF3" s="1259"/>
      <c r="MHG3" s="1259"/>
      <c r="MHH3" s="1259"/>
      <c r="MHI3" s="1259"/>
      <c r="MHJ3" s="1259"/>
      <c r="MHK3" s="1259"/>
      <c r="MHL3" s="1259"/>
      <c r="MHM3" s="1259"/>
      <c r="MHN3" s="1259"/>
      <c r="MHO3" s="1259"/>
      <c r="MHP3" s="1259"/>
      <c r="MHQ3" s="1259"/>
      <c r="MHR3" s="1259"/>
      <c r="MHS3" s="1259"/>
      <c r="MHT3" s="1259"/>
      <c r="MHU3" s="1259"/>
      <c r="MHV3" s="1259"/>
      <c r="MHW3" s="1259"/>
      <c r="MHX3" s="1259"/>
      <c r="MHY3" s="1259"/>
      <c r="MHZ3" s="1259"/>
      <c r="MIA3" s="1259"/>
      <c r="MIB3" s="1259"/>
      <c r="MIC3" s="1259"/>
      <c r="MID3" s="1259"/>
      <c r="MIE3" s="1259"/>
      <c r="MIF3" s="1259"/>
      <c r="MIG3" s="1259"/>
      <c r="MIH3" s="1259"/>
      <c r="MII3" s="1259"/>
      <c r="MIJ3" s="1259"/>
      <c r="MIK3" s="1259"/>
      <c r="MIL3" s="1259"/>
      <c r="MIM3" s="1259"/>
      <c r="MIN3" s="1259"/>
      <c r="MIO3" s="1259"/>
      <c r="MIP3" s="1259"/>
      <c r="MIQ3" s="1259"/>
      <c r="MIR3" s="1259"/>
      <c r="MIS3" s="1259"/>
      <c r="MIT3" s="1259"/>
      <c r="MIU3" s="1259"/>
      <c r="MIV3" s="1259"/>
      <c r="MIW3" s="1259"/>
      <c r="MIX3" s="1259"/>
      <c r="MIY3" s="1259"/>
      <c r="MIZ3" s="1259"/>
      <c r="MJA3" s="1259"/>
      <c r="MJB3" s="1259"/>
      <c r="MJC3" s="1259"/>
      <c r="MJD3" s="1259"/>
      <c r="MJE3" s="1259"/>
      <c r="MJF3" s="1259"/>
      <c r="MJG3" s="1259"/>
      <c r="MJH3" s="1259"/>
      <c r="MJI3" s="1259"/>
      <c r="MJJ3" s="1259"/>
      <c r="MJK3" s="1259"/>
      <c r="MJL3" s="1259"/>
      <c r="MJM3" s="1259"/>
      <c r="MJN3" s="1259"/>
      <c r="MJO3" s="1259"/>
      <c r="MJP3" s="1259"/>
      <c r="MJQ3" s="1259"/>
      <c r="MJR3" s="1259"/>
      <c r="MJS3" s="1259"/>
      <c r="MJT3" s="1259"/>
      <c r="MJU3" s="1259"/>
      <c r="MJV3" s="1259"/>
      <c r="MJW3" s="1259"/>
      <c r="MJX3" s="1259"/>
      <c r="MJY3" s="1259"/>
      <c r="MJZ3" s="1259"/>
      <c r="MKA3" s="1259"/>
      <c r="MKB3" s="1259"/>
      <c r="MKC3" s="1259"/>
      <c r="MKD3" s="1259"/>
      <c r="MKE3" s="1259"/>
      <c r="MKF3" s="1259"/>
      <c r="MKG3" s="1259"/>
      <c r="MKH3" s="1259"/>
      <c r="MKI3" s="1259"/>
      <c r="MKJ3" s="1259"/>
      <c r="MKK3" s="1259"/>
      <c r="MKL3" s="1259"/>
      <c r="MKM3" s="1259"/>
      <c r="MKN3" s="1259"/>
      <c r="MKO3" s="1259"/>
      <c r="MKP3" s="1259"/>
      <c r="MKQ3" s="1259"/>
      <c r="MKR3" s="1259"/>
      <c r="MKS3" s="1259"/>
      <c r="MKT3" s="1259"/>
      <c r="MKU3" s="1259"/>
      <c r="MKV3" s="1259"/>
      <c r="MKW3" s="1259"/>
      <c r="MKX3" s="1259"/>
      <c r="MKY3" s="1259"/>
      <c r="MKZ3" s="1259"/>
      <c r="MLA3" s="1259"/>
      <c r="MLB3" s="1259"/>
      <c r="MLC3" s="1259"/>
      <c r="MLD3" s="1259"/>
      <c r="MLE3" s="1259"/>
      <c r="MLF3" s="1259"/>
      <c r="MLG3" s="1259"/>
      <c r="MLH3" s="1259"/>
      <c r="MLI3" s="1259"/>
      <c r="MLJ3" s="1259"/>
      <c r="MLK3" s="1259"/>
      <c r="MLL3" s="1259"/>
      <c r="MLM3" s="1259"/>
      <c r="MLN3" s="1259"/>
      <c r="MLO3" s="1259"/>
      <c r="MLP3" s="1259"/>
      <c r="MLQ3" s="1259"/>
      <c r="MLR3" s="1259"/>
      <c r="MLS3" s="1259"/>
      <c r="MLT3" s="1259"/>
      <c r="MLU3" s="1259"/>
      <c r="MLV3" s="1259"/>
      <c r="MLW3" s="1259"/>
      <c r="MLX3" s="1259"/>
      <c r="MLY3" s="1259"/>
      <c r="MLZ3" s="1259"/>
      <c r="MMA3" s="1259"/>
      <c r="MMB3" s="1259"/>
      <c r="MMC3" s="1259"/>
      <c r="MMD3" s="1259"/>
      <c r="MME3" s="1259"/>
      <c r="MMF3" s="1259"/>
      <c r="MMG3" s="1259"/>
      <c r="MMH3" s="1259"/>
      <c r="MMI3" s="1259"/>
      <c r="MMJ3" s="1259"/>
      <c r="MMK3" s="1259"/>
      <c r="MML3" s="1259"/>
      <c r="MMM3" s="1259"/>
      <c r="MMN3" s="1259"/>
      <c r="MMO3" s="1259"/>
      <c r="MMP3" s="1259"/>
      <c r="MMQ3" s="1259"/>
      <c r="MMR3" s="1259"/>
      <c r="MMS3" s="1259"/>
      <c r="MMT3" s="1259"/>
      <c r="MMU3" s="1259"/>
      <c r="MMV3" s="1259"/>
      <c r="MMW3" s="1259"/>
      <c r="MMX3" s="1259"/>
      <c r="MMY3" s="1259"/>
      <c r="MMZ3" s="1259"/>
      <c r="MNA3" s="1259"/>
      <c r="MNB3" s="1259"/>
      <c r="MNC3" s="1259"/>
      <c r="MND3" s="1259"/>
      <c r="MNE3" s="1259"/>
      <c r="MNF3" s="1259"/>
      <c r="MNG3" s="1259"/>
      <c r="MNH3" s="1259"/>
      <c r="MNI3" s="1259"/>
      <c r="MNJ3" s="1259"/>
      <c r="MNK3" s="1259"/>
      <c r="MNL3" s="1259"/>
      <c r="MNM3" s="1259"/>
      <c r="MNN3" s="1259"/>
      <c r="MNO3" s="1259"/>
      <c r="MNP3" s="1259"/>
      <c r="MNQ3" s="1259"/>
      <c r="MNR3" s="1259"/>
      <c r="MNS3" s="1259"/>
      <c r="MNT3" s="1259"/>
      <c r="MNU3" s="1259"/>
      <c r="MNV3" s="1259"/>
      <c r="MNW3" s="1259"/>
      <c r="MNX3" s="1259"/>
      <c r="MNY3" s="1259"/>
      <c r="MNZ3" s="1259"/>
      <c r="MOA3" s="1259"/>
      <c r="MOB3" s="1259"/>
      <c r="MOC3" s="1259"/>
      <c r="MOD3" s="1259"/>
      <c r="MOE3" s="1259"/>
      <c r="MOF3" s="1259"/>
      <c r="MOG3" s="1259"/>
      <c r="MOH3" s="1259"/>
      <c r="MOI3" s="1259"/>
      <c r="MOJ3" s="1259"/>
      <c r="MOK3" s="1259"/>
      <c r="MOL3" s="1259"/>
      <c r="MOM3" s="1259"/>
      <c r="MON3" s="1259"/>
      <c r="MOO3" s="1259"/>
      <c r="MOP3" s="1259"/>
      <c r="MOQ3" s="1259"/>
      <c r="MOR3" s="1259"/>
      <c r="MOS3" s="1259"/>
      <c r="MOT3" s="1259"/>
      <c r="MOU3" s="1259"/>
      <c r="MOV3" s="1259"/>
      <c r="MOW3" s="1259"/>
      <c r="MOX3" s="1259"/>
      <c r="MOY3" s="1259"/>
      <c r="MOZ3" s="1259"/>
      <c r="MPA3" s="1259"/>
      <c r="MPB3" s="1259"/>
      <c r="MPC3" s="1259"/>
      <c r="MPD3" s="1259"/>
      <c r="MPE3" s="1259"/>
      <c r="MPF3" s="1259"/>
      <c r="MPG3" s="1259"/>
      <c r="MPH3" s="1259"/>
      <c r="MPI3" s="1259"/>
      <c r="MPJ3" s="1259"/>
      <c r="MPK3" s="1259"/>
      <c r="MPL3" s="1259"/>
      <c r="MPM3" s="1259"/>
      <c r="MPN3" s="1259"/>
      <c r="MPO3" s="1259"/>
      <c r="MPP3" s="1259"/>
      <c r="MPQ3" s="1259"/>
      <c r="MPR3" s="1259"/>
      <c r="MPS3" s="1259"/>
      <c r="MPT3" s="1259"/>
      <c r="MPU3" s="1259"/>
      <c r="MPV3" s="1259"/>
      <c r="MPW3" s="1259"/>
      <c r="MPX3" s="1259"/>
      <c r="MPY3" s="1259"/>
      <c r="MPZ3" s="1259"/>
      <c r="MQA3" s="1259"/>
      <c r="MQB3" s="1259"/>
      <c r="MQC3" s="1259"/>
      <c r="MQD3" s="1259"/>
      <c r="MQE3" s="1259"/>
      <c r="MQF3" s="1259"/>
      <c r="MQG3" s="1259"/>
      <c r="MQH3" s="1259"/>
      <c r="MQI3" s="1259"/>
      <c r="MQJ3" s="1259"/>
      <c r="MQK3" s="1259"/>
      <c r="MQL3" s="1259"/>
      <c r="MQM3" s="1259"/>
      <c r="MQN3" s="1259"/>
      <c r="MQO3" s="1259"/>
      <c r="MQP3" s="1259"/>
      <c r="MQQ3" s="1259"/>
      <c r="MQR3" s="1259"/>
      <c r="MQS3" s="1259"/>
      <c r="MQT3" s="1259"/>
      <c r="MQU3" s="1259"/>
      <c r="MQV3" s="1259"/>
      <c r="MQW3" s="1259"/>
      <c r="MQX3" s="1259"/>
      <c r="MQY3" s="1259"/>
      <c r="MQZ3" s="1259"/>
      <c r="MRA3" s="1259"/>
      <c r="MRB3" s="1259"/>
      <c r="MRC3" s="1259"/>
      <c r="MRD3" s="1259"/>
      <c r="MRE3" s="1259"/>
      <c r="MRF3" s="1259"/>
      <c r="MRG3" s="1259"/>
      <c r="MRH3" s="1259"/>
      <c r="MRI3" s="1259"/>
      <c r="MRJ3" s="1259"/>
      <c r="MRK3" s="1259"/>
      <c r="MRL3" s="1259"/>
      <c r="MRM3" s="1259"/>
      <c r="MRN3" s="1259"/>
      <c r="MRO3" s="1259"/>
      <c r="MRP3" s="1259"/>
      <c r="MRQ3" s="1259"/>
      <c r="MRR3" s="1259"/>
      <c r="MRS3" s="1259"/>
      <c r="MRT3" s="1259"/>
      <c r="MRU3" s="1259"/>
      <c r="MRV3" s="1259"/>
      <c r="MRW3" s="1259"/>
      <c r="MRX3" s="1259"/>
      <c r="MRY3" s="1259"/>
      <c r="MRZ3" s="1259"/>
      <c r="MSA3" s="1259"/>
      <c r="MSB3" s="1259"/>
      <c r="MSC3" s="1259"/>
      <c r="MSD3" s="1259"/>
      <c r="MSE3" s="1259"/>
      <c r="MSF3" s="1259"/>
      <c r="MSG3" s="1259"/>
      <c r="MSH3" s="1259"/>
      <c r="MSI3" s="1259"/>
      <c r="MSJ3" s="1259"/>
      <c r="MSK3" s="1259"/>
      <c r="MSL3" s="1259"/>
      <c r="MSM3" s="1259"/>
      <c r="MSN3" s="1259"/>
      <c r="MSO3" s="1259"/>
      <c r="MSP3" s="1259"/>
      <c r="MSQ3" s="1259"/>
      <c r="MSR3" s="1259"/>
      <c r="MSS3" s="1259"/>
      <c r="MST3" s="1259"/>
      <c r="MSU3" s="1259"/>
      <c r="MSV3" s="1259"/>
      <c r="MSW3" s="1259"/>
      <c r="MSX3" s="1259"/>
      <c r="MSY3" s="1259"/>
      <c r="MSZ3" s="1259"/>
      <c r="MTA3" s="1259"/>
      <c r="MTB3" s="1259"/>
      <c r="MTC3" s="1259"/>
      <c r="MTD3" s="1259"/>
      <c r="MTE3" s="1259"/>
      <c r="MTF3" s="1259"/>
      <c r="MTG3" s="1259"/>
      <c r="MTH3" s="1259"/>
      <c r="MTI3" s="1259"/>
      <c r="MTJ3" s="1259"/>
      <c r="MTK3" s="1259"/>
      <c r="MTL3" s="1259"/>
      <c r="MTM3" s="1259"/>
      <c r="MTN3" s="1259"/>
      <c r="MTO3" s="1259"/>
      <c r="MTP3" s="1259"/>
      <c r="MTQ3" s="1259"/>
      <c r="MTR3" s="1259"/>
      <c r="MTS3" s="1259"/>
      <c r="MTT3" s="1259"/>
      <c r="MTU3" s="1259"/>
      <c r="MTV3" s="1259"/>
      <c r="MTW3" s="1259"/>
      <c r="MTX3" s="1259"/>
      <c r="MTY3" s="1259"/>
      <c r="MTZ3" s="1259"/>
      <c r="MUA3" s="1259"/>
      <c r="MUB3" s="1259"/>
      <c r="MUC3" s="1259"/>
      <c r="MUD3" s="1259"/>
      <c r="MUE3" s="1259"/>
      <c r="MUF3" s="1259"/>
      <c r="MUG3" s="1259"/>
      <c r="MUH3" s="1259"/>
      <c r="MUI3" s="1259"/>
      <c r="MUJ3" s="1259"/>
      <c r="MUK3" s="1259"/>
      <c r="MUL3" s="1259"/>
      <c r="MUM3" s="1259"/>
      <c r="MUN3" s="1259"/>
      <c r="MUO3" s="1259"/>
      <c r="MUP3" s="1259"/>
      <c r="MUQ3" s="1259"/>
      <c r="MUR3" s="1259"/>
      <c r="MUS3" s="1259"/>
      <c r="MUT3" s="1259"/>
      <c r="MUU3" s="1259"/>
      <c r="MUV3" s="1259"/>
      <c r="MUW3" s="1259"/>
      <c r="MUX3" s="1259"/>
      <c r="MUY3" s="1259"/>
      <c r="MUZ3" s="1259"/>
      <c r="MVA3" s="1259"/>
      <c r="MVB3" s="1259"/>
      <c r="MVC3" s="1259"/>
      <c r="MVD3" s="1259"/>
      <c r="MVE3" s="1259"/>
      <c r="MVF3" s="1259"/>
      <c r="MVG3" s="1259"/>
      <c r="MVH3" s="1259"/>
      <c r="MVI3" s="1259"/>
      <c r="MVJ3" s="1259"/>
      <c r="MVK3" s="1259"/>
      <c r="MVL3" s="1259"/>
      <c r="MVM3" s="1259"/>
      <c r="MVN3" s="1259"/>
      <c r="MVO3" s="1259"/>
      <c r="MVP3" s="1259"/>
      <c r="MVQ3" s="1259"/>
      <c r="MVR3" s="1259"/>
      <c r="MVS3" s="1259"/>
      <c r="MVT3" s="1259"/>
      <c r="MVU3" s="1259"/>
      <c r="MVV3" s="1259"/>
      <c r="MVW3" s="1259"/>
      <c r="MVX3" s="1259"/>
      <c r="MVY3" s="1259"/>
      <c r="MVZ3" s="1259"/>
      <c r="MWA3" s="1259"/>
      <c r="MWB3" s="1259"/>
      <c r="MWC3" s="1259"/>
      <c r="MWD3" s="1259"/>
      <c r="MWE3" s="1259"/>
      <c r="MWF3" s="1259"/>
      <c r="MWG3" s="1259"/>
      <c r="MWH3" s="1259"/>
      <c r="MWI3" s="1259"/>
      <c r="MWJ3" s="1259"/>
      <c r="MWK3" s="1259"/>
      <c r="MWL3" s="1259"/>
      <c r="MWM3" s="1259"/>
      <c r="MWN3" s="1259"/>
      <c r="MWO3" s="1259"/>
      <c r="MWP3" s="1259"/>
      <c r="MWQ3" s="1259"/>
      <c r="MWR3" s="1259"/>
      <c r="MWS3" s="1259"/>
      <c r="MWT3" s="1259"/>
      <c r="MWU3" s="1259"/>
      <c r="MWV3" s="1259"/>
      <c r="MWW3" s="1259"/>
      <c r="MWX3" s="1259"/>
      <c r="MWY3" s="1259"/>
      <c r="MWZ3" s="1259"/>
      <c r="MXA3" s="1259"/>
      <c r="MXB3" s="1259"/>
      <c r="MXC3" s="1259"/>
      <c r="MXD3" s="1259"/>
      <c r="MXE3" s="1259"/>
      <c r="MXF3" s="1259"/>
      <c r="MXG3" s="1259"/>
      <c r="MXH3" s="1259"/>
      <c r="MXI3" s="1259"/>
      <c r="MXJ3" s="1259"/>
      <c r="MXK3" s="1259"/>
      <c r="MXL3" s="1259"/>
      <c r="MXM3" s="1259"/>
      <c r="MXN3" s="1259"/>
      <c r="MXO3" s="1259"/>
      <c r="MXP3" s="1259"/>
      <c r="MXQ3" s="1259"/>
      <c r="MXR3" s="1259"/>
      <c r="MXS3" s="1259"/>
      <c r="MXT3" s="1259"/>
      <c r="MXU3" s="1259"/>
      <c r="MXV3" s="1259"/>
      <c r="MXW3" s="1259"/>
      <c r="MXX3" s="1259"/>
      <c r="MXY3" s="1259"/>
      <c r="MXZ3" s="1259"/>
      <c r="MYA3" s="1259"/>
      <c r="MYB3" s="1259"/>
      <c r="MYC3" s="1259"/>
      <c r="MYD3" s="1259"/>
      <c r="MYE3" s="1259"/>
      <c r="MYF3" s="1259"/>
      <c r="MYG3" s="1259"/>
      <c r="MYH3" s="1259"/>
      <c r="MYI3" s="1259"/>
      <c r="MYJ3" s="1259"/>
      <c r="MYK3" s="1259"/>
      <c r="MYL3" s="1259"/>
      <c r="MYM3" s="1259"/>
      <c r="MYN3" s="1259"/>
      <c r="MYO3" s="1259"/>
      <c r="MYP3" s="1259"/>
      <c r="MYQ3" s="1259"/>
      <c r="MYR3" s="1259"/>
      <c r="MYS3" s="1259"/>
      <c r="MYT3" s="1259"/>
      <c r="MYU3" s="1259"/>
      <c r="MYV3" s="1259"/>
      <c r="MYW3" s="1259"/>
      <c r="MYX3" s="1259"/>
      <c r="MYY3" s="1259"/>
      <c r="MYZ3" s="1259"/>
      <c r="MZA3" s="1259"/>
      <c r="MZB3" s="1259"/>
      <c r="MZC3" s="1259"/>
      <c r="MZD3" s="1259"/>
      <c r="MZE3" s="1259"/>
      <c r="MZF3" s="1259"/>
      <c r="MZG3" s="1259"/>
      <c r="MZH3" s="1259"/>
      <c r="MZI3" s="1259"/>
      <c r="MZJ3" s="1259"/>
      <c r="MZK3" s="1259"/>
      <c r="MZL3" s="1259"/>
      <c r="MZM3" s="1259"/>
      <c r="MZN3" s="1259"/>
      <c r="MZO3" s="1259"/>
      <c r="MZP3" s="1259"/>
      <c r="MZQ3" s="1259"/>
      <c r="MZR3" s="1259"/>
      <c r="MZS3" s="1259"/>
      <c r="MZT3" s="1259"/>
      <c r="MZU3" s="1259"/>
      <c r="MZV3" s="1259"/>
      <c r="MZW3" s="1259"/>
      <c r="MZX3" s="1259"/>
      <c r="MZY3" s="1259"/>
      <c r="MZZ3" s="1259"/>
      <c r="NAA3" s="1259"/>
      <c r="NAB3" s="1259"/>
      <c r="NAC3" s="1259"/>
      <c r="NAD3" s="1259"/>
      <c r="NAE3" s="1259"/>
      <c r="NAF3" s="1259"/>
      <c r="NAG3" s="1259"/>
      <c r="NAH3" s="1259"/>
      <c r="NAI3" s="1259"/>
      <c r="NAJ3" s="1259"/>
      <c r="NAK3" s="1259"/>
      <c r="NAL3" s="1259"/>
      <c r="NAM3" s="1259"/>
      <c r="NAN3" s="1259"/>
      <c r="NAO3" s="1259"/>
      <c r="NAP3" s="1259"/>
      <c r="NAQ3" s="1259"/>
      <c r="NAR3" s="1259"/>
      <c r="NAS3" s="1259"/>
      <c r="NAT3" s="1259"/>
      <c r="NAU3" s="1259"/>
      <c r="NAV3" s="1259"/>
      <c r="NAW3" s="1259"/>
      <c r="NAX3" s="1259"/>
      <c r="NAY3" s="1259"/>
      <c r="NAZ3" s="1259"/>
      <c r="NBA3" s="1259"/>
      <c r="NBB3" s="1259"/>
      <c r="NBC3" s="1259"/>
      <c r="NBD3" s="1259"/>
      <c r="NBE3" s="1259"/>
      <c r="NBF3" s="1259"/>
      <c r="NBG3" s="1259"/>
      <c r="NBH3" s="1259"/>
      <c r="NBI3" s="1259"/>
      <c r="NBJ3" s="1259"/>
      <c r="NBK3" s="1259"/>
      <c r="NBL3" s="1259"/>
      <c r="NBM3" s="1259"/>
      <c r="NBN3" s="1259"/>
      <c r="NBO3" s="1259"/>
      <c r="NBP3" s="1259"/>
      <c r="NBQ3" s="1259"/>
      <c r="NBR3" s="1259"/>
      <c r="NBS3" s="1259"/>
      <c r="NBT3" s="1259"/>
      <c r="NBU3" s="1259"/>
      <c r="NBV3" s="1259"/>
      <c r="NBW3" s="1259"/>
      <c r="NBX3" s="1259"/>
      <c r="NBY3" s="1259"/>
      <c r="NBZ3" s="1259"/>
      <c r="NCA3" s="1259"/>
      <c r="NCB3" s="1259"/>
      <c r="NCC3" s="1259"/>
      <c r="NCD3" s="1259"/>
      <c r="NCE3" s="1259"/>
      <c r="NCF3" s="1259"/>
      <c r="NCG3" s="1259"/>
      <c r="NCH3" s="1259"/>
      <c r="NCI3" s="1259"/>
      <c r="NCJ3" s="1259"/>
      <c r="NCK3" s="1259"/>
      <c r="NCL3" s="1259"/>
      <c r="NCM3" s="1259"/>
      <c r="NCN3" s="1259"/>
      <c r="NCO3" s="1259"/>
      <c r="NCP3" s="1259"/>
      <c r="NCQ3" s="1259"/>
      <c r="NCR3" s="1259"/>
      <c r="NCS3" s="1259"/>
      <c r="NCT3" s="1259"/>
      <c r="NCU3" s="1259"/>
      <c r="NCV3" s="1259"/>
      <c r="NCW3" s="1259"/>
      <c r="NCX3" s="1259"/>
      <c r="NCY3" s="1259"/>
      <c r="NCZ3" s="1259"/>
      <c r="NDA3" s="1259"/>
      <c r="NDB3" s="1259"/>
      <c r="NDC3" s="1259"/>
      <c r="NDD3" s="1259"/>
      <c r="NDE3" s="1259"/>
      <c r="NDF3" s="1259"/>
      <c r="NDG3" s="1259"/>
      <c r="NDH3" s="1259"/>
      <c r="NDI3" s="1259"/>
      <c r="NDJ3" s="1259"/>
      <c r="NDK3" s="1259"/>
      <c r="NDL3" s="1259"/>
      <c r="NDM3" s="1259"/>
      <c r="NDN3" s="1259"/>
      <c r="NDO3" s="1259"/>
      <c r="NDP3" s="1259"/>
      <c r="NDQ3" s="1259"/>
      <c r="NDR3" s="1259"/>
      <c r="NDS3" s="1259"/>
      <c r="NDT3" s="1259"/>
      <c r="NDU3" s="1259"/>
      <c r="NDV3" s="1259"/>
      <c r="NDW3" s="1259"/>
      <c r="NDX3" s="1259"/>
      <c r="NDY3" s="1259"/>
      <c r="NDZ3" s="1259"/>
      <c r="NEA3" s="1259"/>
      <c r="NEB3" s="1259"/>
      <c r="NEC3" s="1259"/>
      <c r="NED3" s="1259"/>
      <c r="NEE3" s="1259"/>
      <c r="NEF3" s="1259"/>
      <c r="NEG3" s="1259"/>
      <c r="NEH3" s="1259"/>
      <c r="NEI3" s="1259"/>
      <c r="NEJ3" s="1259"/>
      <c r="NEK3" s="1259"/>
      <c r="NEL3" s="1259"/>
      <c r="NEM3" s="1259"/>
      <c r="NEN3" s="1259"/>
      <c r="NEO3" s="1259"/>
      <c r="NEP3" s="1259"/>
      <c r="NEQ3" s="1259"/>
      <c r="NER3" s="1259"/>
      <c r="NES3" s="1259"/>
      <c r="NET3" s="1259"/>
      <c r="NEU3" s="1259"/>
      <c r="NEV3" s="1259"/>
      <c r="NEW3" s="1259"/>
      <c r="NEX3" s="1259"/>
      <c r="NEY3" s="1259"/>
      <c r="NEZ3" s="1259"/>
      <c r="NFA3" s="1259"/>
      <c r="NFB3" s="1259"/>
      <c r="NFC3" s="1259"/>
      <c r="NFD3" s="1259"/>
      <c r="NFE3" s="1259"/>
      <c r="NFF3" s="1259"/>
      <c r="NFG3" s="1259"/>
      <c r="NFH3" s="1259"/>
      <c r="NFI3" s="1259"/>
      <c r="NFJ3" s="1259"/>
      <c r="NFK3" s="1259"/>
      <c r="NFL3" s="1259"/>
      <c r="NFM3" s="1259"/>
      <c r="NFN3" s="1259"/>
      <c r="NFO3" s="1259"/>
      <c r="NFP3" s="1259"/>
      <c r="NFQ3" s="1259"/>
      <c r="NFR3" s="1259"/>
      <c r="NFS3" s="1259"/>
      <c r="NFT3" s="1259"/>
      <c r="NFU3" s="1259"/>
      <c r="NFV3" s="1259"/>
      <c r="NFW3" s="1259"/>
      <c r="NFX3" s="1259"/>
      <c r="NFY3" s="1259"/>
      <c r="NFZ3" s="1259"/>
      <c r="NGA3" s="1259"/>
      <c r="NGB3" s="1259"/>
      <c r="NGC3" s="1259"/>
      <c r="NGD3" s="1259"/>
      <c r="NGE3" s="1259"/>
      <c r="NGF3" s="1259"/>
      <c r="NGG3" s="1259"/>
      <c r="NGH3" s="1259"/>
      <c r="NGI3" s="1259"/>
      <c r="NGJ3" s="1259"/>
      <c r="NGK3" s="1259"/>
      <c r="NGL3" s="1259"/>
      <c r="NGM3" s="1259"/>
      <c r="NGN3" s="1259"/>
      <c r="NGO3" s="1259"/>
      <c r="NGP3" s="1259"/>
      <c r="NGQ3" s="1259"/>
      <c r="NGR3" s="1259"/>
      <c r="NGS3" s="1259"/>
      <c r="NGT3" s="1259"/>
      <c r="NGU3" s="1259"/>
      <c r="NGV3" s="1259"/>
      <c r="NGW3" s="1259"/>
      <c r="NGX3" s="1259"/>
      <c r="NGY3" s="1259"/>
      <c r="NGZ3" s="1259"/>
      <c r="NHA3" s="1259"/>
      <c r="NHB3" s="1259"/>
      <c r="NHC3" s="1259"/>
      <c r="NHD3" s="1259"/>
      <c r="NHE3" s="1259"/>
      <c r="NHF3" s="1259"/>
      <c r="NHG3" s="1259"/>
      <c r="NHH3" s="1259"/>
      <c r="NHI3" s="1259"/>
      <c r="NHJ3" s="1259"/>
      <c r="NHK3" s="1259"/>
      <c r="NHL3" s="1259"/>
      <c r="NHM3" s="1259"/>
      <c r="NHN3" s="1259"/>
      <c r="NHO3" s="1259"/>
      <c r="NHP3" s="1259"/>
      <c r="NHQ3" s="1259"/>
      <c r="NHR3" s="1259"/>
      <c r="NHS3" s="1259"/>
      <c r="NHT3" s="1259"/>
      <c r="NHU3" s="1259"/>
      <c r="NHV3" s="1259"/>
      <c r="NHW3" s="1259"/>
      <c r="NHX3" s="1259"/>
      <c r="NHY3" s="1259"/>
      <c r="NHZ3" s="1259"/>
      <c r="NIA3" s="1259"/>
      <c r="NIB3" s="1259"/>
      <c r="NIC3" s="1259"/>
      <c r="NID3" s="1259"/>
      <c r="NIE3" s="1259"/>
      <c r="NIF3" s="1259"/>
      <c r="NIG3" s="1259"/>
      <c r="NIH3" s="1259"/>
      <c r="NII3" s="1259"/>
      <c r="NIJ3" s="1259"/>
      <c r="NIK3" s="1259"/>
      <c r="NIL3" s="1259"/>
      <c r="NIM3" s="1259"/>
      <c r="NIN3" s="1259"/>
      <c r="NIO3" s="1259"/>
      <c r="NIP3" s="1259"/>
      <c r="NIQ3" s="1259"/>
      <c r="NIR3" s="1259"/>
      <c r="NIS3" s="1259"/>
      <c r="NIT3" s="1259"/>
      <c r="NIU3" s="1259"/>
      <c r="NIV3" s="1259"/>
      <c r="NIW3" s="1259"/>
      <c r="NIX3" s="1259"/>
      <c r="NIY3" s="1259"/>
      <c r="NIZ3" s="1259"/>
      <c r="NJA3" s="1259"/>
      <c r="NJB3" s="1259"/>
      <c r="NJC3" s="1259"/>
      <c r="NJD3" s="1259"/>
      <c r="NJE3" s="1259"/>
      <c r="NJF3" s="1259"/>
      <c r="NJG3" s="1259"/>
      <c r="NJH3" s="1259"/>
      <c r="NJI3" s="1259"/>
      <c r="NJJ3" s="1259"/>
      <c r="NJK3" s="1259"/>
      <c r="NJL3" s="1259"/>
      <c r="NJM3" s="1259"/>
      <c r="NJN3" s="1259"/>
      <c r="NJO3" s="1259"/>
      <c r="NJP3" s="1259"/>
      <c r="NJQ3" s="1259"/>
      <c r="NJR3" s="1259"/>
      <c r="NJS3" s="1259"/>
      <c r="NJT3" s="1259"/>
      <c r="NJU3" s="1259"/>
      <c r="NJV3" s="1259"/>
      <c r="NJW3" s="1259"/>
      <c r="NJX3" s="1259"/>
      <c r="NJY3" s="1259"/>
      <c r="NJZ3" s="1259"/>
      <c r="NKA3" s="1259"/>
      <c r="NKB3" s="1259"/>
      <c r="NKC3" s="1259"/>
      <c r="NKD3" s="1259"/>
      <c r="NKE3" s="1259"/>
      <c r="NKF3" s="1259"/>
      <c r="NKG3" s="1259"/>
      <c r="NKH3" s="1259"/>
      <c r="NKI3" s="1259"/>
      <c r="NKJ3" s="1259"/>
      <c r="NKK3" s="1259"/>
      <c r="NKL3" s="1259"/>
      <c r="NKM3" s="1259"/>
      <c r="NKN3" s="1259"/>
      <c r="NKO3" s="1259"/>
      <c r="NKP3" s="1259"/>
      <c r="NKQ3" s="1259"/>
      <c r="NKR3" s="1259"/>
      <c r="NKS3" s="1259"/>
      <c r="NKT3" s="1259"/>
      <c r="NKU3" s="1259"/>
      <c r="NKV3" s="1259"/>
      <c r="NKW3" s="1259"/>
      <c r="NKX3" s="1259"/>
      <c r="NKY3" s="1259"/>
      <c r="NKZ3" s="1259"/>
      <c r="NLA3" s="1259"/>
      <c r="NLB3" s="1259"/>
      <c r="NLC3" s="1259"/>
      <c r="NLD3" s="1259"/>
      <c r="NLE3" s="1259"/>
      <c r="NLF3" s="1259"/>
      <c r="NLG3" s="1259"/>
      <c r="NLH3" s="1259"/>
      <c r="NLI3" s="1259"/>
      <c r="NLJ3" s="1259"/>
      <c r="NLK3" s="1259"/>
      <c r="NLL3" s="1259"/>
      <c r="NLM3" s="1259"/>
      <c r="NLN3" s="1259"/>
      <c r="NLO3" s="1259"/>
      <c r="NLP3" s="1259"/>
      <c r="NLQ3" s="1259"/>
      <c r="NLR3" s="1259"/>
      <c r="NLS3" s="1259"/>
      <c r="NLT3" s="1259"/>
      <c r="NLU3" s="1259"/>
      <c r="NLV3" s="1259"/>
      <c r="NLW3" s="1259"/>
      <c r="NLX3" s="1259"/>
      <c r="NLY3" s="1259"/>
      <c r="NLZ3" s="1259"/>
      <c r="NMA3" s="1259"/>
      <c r="NMB3" s="1259"/>
      <c r="NMC3" s="1259"/>
      <c r="NMD3" s="1259"/>
      <c r="NME3" s="1259"/>
      <c r="NMF3" s="1259"/>
      <c r="NMG3" s="1259"/>
      <c r="NMH3" s="1259"/>
      <c r="NMI3" s="1259"/>
      <c r="NMJ3" s="1259"/>
      <c r="NMK3" s="1259"/>
      <c r="NML3" s="1259"/>
      <c r="NMM3" s="1259"/>
      <c r="NMN3" s="1259"/>
      <c r="NMO3" s="1259"/>
      <c r="NMP3" s="1259"/>
      <c r="NMQ3" s="1259"/>
      <c r="NMR3" s="1259"/>
      <c r="NMS3" s="1259"/>
      <c r="NMT3" s="1259"/>
      <c r="NMU3" s="1259"/>
      <c r="NMV3" s="1259"/>
      <c r="NMW3" s="1259"/>
      <c r="NMX3" s="1259"/>
      <c r="NMY3" s="1259"/>
      <c r="NMZ3" s="1259"/>
      <c r="NNA3" s="1259"/>
      <c r="NNB3" s="1259"/>
      <c r="NNC3" s="1259"/>
      <c r="NND3" s="1259"/>
      <c r="NNE3" s="1259"/>
      <c r="NNF3" s="1259"/>
      <c r="NNG3" s="1259"/>
      <c r="NNH3" s="1259"/>
      <c r="NNI3" s="1259"/>
      <c r="NNJ3" s="1259"/>
      <c r="NNK3" s="1259"/>
      <c r="NNL3" s="1259"/>
      <c r="NNM3" s="1259"/>
      <c r="NNN3" s="1259"/>
      <c r="NNO3" s="1259"/>
      <c r="NNP3" s="1259"/>
      <c r="NNQ3" s="1259"/>
      <c r="NNR3" s="1259"/>
      <c r="NNS3" s="1259"/>
      <c r="NNT3" s="1259"/>
      <c r="NNU3" s="1259"/>
      <c r="NNV3" s="1259"/>
      <c r="NNW3" s="1259"/>
      <c r="NNX3" s="1259"/>
      <c r="NNY3" s="1259"/>
      <c r="NNZ3" s="1259"/>
      <c r="NOA3" s="1259"/>
      <c r="NOB3" s="1259"/>
      <c r="NOC3" s="1259"/>
      <c r="NOD3" s="1259"/>
      <c r="NOE3" s="1259"/>
      <c r="NOF3" s="1259"/>
      <c r="NOG3" s="1259"/>
      <c r="NOH3" s="1259"/>
      <c r="NOI3" s="1259"/>
      <c r="NOJ3" s="1259"/>
      <c r="NOK3" s="1259"/>
      <c r="NOL3" s="1259"/>
      <c r="NOM3" s="1259"/>
      <c r="NON3" s="1259"/>
      <c r="NOO3" s="1259"/>
      <c r="NOP3" s="1259"/>
      <c r="NOQ3" s="1259"/>
      <c r="NOR3" s="1259"/>
      <c r="NOS3" s="1259"/>
      <c r="NOT3" s="1259"/>
      <c r="NOU3" s="1259"/>
      <c r="NOV3" s="1259"/>
      <c r="NOW3" s="1259"/>
      <c r="NOX3" s="1259"/>
      <c r="NOY3" s="1259"/>
      <c r="NOZ3" s="1259"/>
      <c r="NPA3" s="1259"/>
      <c r="NPB3" s="1259"/>
      <c r="NPC3" s="1259"/>
      <c r="NPD3" s="1259"/>
      <c r="NPE3" s="1259"/>
      <c r="NPF3" s="1259"/>
      <c r="NPG3" s="1259"/>
      <c r="NPH3" s="1259"/>
      <c r="NPI3" s="1259"/>
      <c r="NPJ3" s="1259"/>
      <c r="NPK3" s="1259"/>
      <c r="NPL3" s="1259"/>
      <c r="NPM3" s="1259"/>
      <c r="NPN3" s="1259"/>
      <c r="NPO3" s="1259"/>
      <c r="NPP3" s="1259"/>
      <c r="NPQ3" s="1259"/>
      <c r="NPR3" s="1259"/>
      <c r="NPS3" s="1259"/>
      <c r="NPT3" s="1259"/>
      <c r="NPU3" s="1259"/>
      <c r="NPV3" s="1259"/>
      <c r="NPW3" s="1259"/>
      <c r="NPX3" s="1259"/>
      <c r="NPY3" s="1259"/>
      <c r="NPZ3" s="1259"/>
      <c r="NQA3" s="1259"/>
      <c r="NQB3" s="1259"/>
      <c r="NQC3" s="1259"/>
      <c r="NQD3" s="1259"/>
      <c r="NQE3" s="1259"/>
      <c r="NQF3" s="1259"/>
      <c r="NQG3" s="1259"/>
      <c r="NQH3" s="1259"/>
      <c r="NQI3" s="1259"/>
      <c r="NQJ3" s="1259"/>
      <c r="NQK3" s="1259"/>
      <c r="NQL3" s="1259"/>
      <c r="NQM3" s="1259"/>
      <c r="NQN3" s="1259"/>
      <c r="NQO3" s="1259"/>
      <c r="NQP3" s="1259"/>
      <c r="NQQ3" s="1259"/>
      <c r="NQR3" s="1259"/>
      <c r="NQS3" s="1259"/>
      <c r="NQT3" s="1259"/>
      <c r="NQU3" s="1259"/>
      <c r="NQV3" s="1259"/>
      <c r="NQW3" s="1259"/>
      <c r="NQX3" s="1259"/>
      <c r="NQY3" s="1259"/>
      <c r="NQZ3" s="1259"/>
      <c r="NRA3" s="1259"/>
      <c r="NRB3" s="1259"/>
      <c r="NRC3" s="1259"/>
      <c r="NRD3" s="1259"/>
      <c r="NRE3" s="1259"/>
      <c r="NRF3" s="1259"/>
      <c r="NRG3" s="1259"/>
      <c r="NRH3" s="1259"/>
      <c r="NRI3" s="1259"/>
      <c r="NRJ3" s="1259"/>
      <c r="NRK3" s="1259"/>
      <c r="NRL3" s="1259"/>
      <c r="NRM3" s="1259"/>
      <c r="NRN3" s="1259"/>
      <c r="NRO3" s="1259"/>
      <c r="NRP3" s="1259"/>
      <c r="NRQ3" s="1259"/>
      <c r="NRR3" s="1259"/>
      <c r="NRS3" s="1259"/>
      <c r="NRT3" s="1259"/>
      <c r="NRU3" s="1259"/>
      <c r="NRV3" s="1259"/>
      <c r="NRW3" s="1259"/>
      <c r="NRX3" s="1259"/>
      <c r="NRY3" s="1259"/>
      <c r="NRZ3" s="1259"/>
      <c r="NSA3" s="1259"/>
      <c r="NSB3" s="1259"/>
      <c r="NSC3" s="1259"/>
      <c r="NSD3" s="1259"/>
      <c r="NSE3" s="1259"/>
      <c r="NSF3" s="1259"/>
      <c r="NSG3" s="1259"/>
      <c r="NSH3" s="1259"/>
      <c r="NSI3" s="1259"/>
      <c r="NSJ3" s="1259"/>
      <c r="NSK3" s="1259"/>
      <c r="NSL3" s="1259"/>
      <c r="NSM3" s="1259"/>
      <c r="NSN3" s="1259"/>
      <c r="NSO3" s="1259"/>
      <c r="NSP3" s="1259"/>
      <c r="NSQ3" s="1259"/>
      <c r="NSR3" s="1259"/>
      <c r="NSS3" s="1259"/>
      <c r="NST3" s="1259"/>
      <c r="NSU3" s="1259"/>
      <c r="NSV3" s="1259"/>
      <c r="NSW3" s="1259"/>
      <c r="NSX3" s="1259"/>
      <c r="NSY3" s="1259"/>
      <c r="NSZ3" s="1259"/>
      <c r="NTA3" s="1259"/>
      <c r="NTB3" s="1259"/>
      <c r="NTC3" s="1259"/>
      <c r="NTD3" s="1259"/>
      <c r="NTE3" s="1259"/>
      <c r="NTF3" s="1259"/>
      <c r="NTG3" s="1259"/>
      <c r="NTH3" s="1259"/>
      <c r="NTI3" s="1259"/>
      <c r="NTJ3" s="1259"/>
      <c r="NTK3" s="1259"/>
      <c r="NTL3" s="1259"/>
      <c r="NTM3" s="1259"/>
      <c r="NTN3" s="1259"/>
      <c r="NTO3" s="1259"/>
      <c r="NTP3" s="1259"/>
      <c r="NTQ3" s="1259"/>
      <c r="NTR3" s="1259"/>
      <c r="NTS3" s="1259"/>
      <c r="NTT3" s="1259"/>
      <c r="NTU3" s="1259"/>
      <c r="NTV3" s="1259"/>
      <c r="NTW3" s="1259"/>
      <c r="NTX3" s="1259"/>
      <c r="NTY3" s="1259"/>
      <c r="NTZ3" s="1259"/>
      <c r="NUA3" s="1259"/>
      <c r="NUB3" s="1259"/>
      <c r="NUC3" s="1259"/>
      <c r="NUD3" s="1259"/>
      <c r="NUE3" s="1259"/>
      <c r="NUF3" s="1259"/>
      <c r="NUG3" s="1259"/>
      <c r="NUH3" s="1259"/>
      <c r="NUI3" s="1259"/>
      <c r="NUJ3" s="1259"/>
      <c r="NUK3" s="1259"/>
      <c r="NUL3" s="1259"/>
      <c r="NUM3" s="1259"/>
      <c r="NUN3" s="1259"/>
      <c r="NUO3" s="1259"/>
      <c r="NUP3" s="1259"/>
      <c r="NUQ3" s="1259"/>
      <c r="NUR3" s="1259"/>
      <c r="NUS3" s="1259"/>
      <c r="NUT3" s="1259"/>
      <c r="NUU3" s="1259"/>
      <c r="NUV3" s="1259"/>
      <c r="NUW3" s="1259"/>
      <c r="NUX3" s="1259"/>
      <c r="NUY3" s="1259"/>
      <c r="NUZ3" s="1259"/>
      <c r="NVA3" s="1259"/>
      <c r="NVB3" s="1259"/>
      <c r="NVC3" s="1259"/>
      <c r="NVD3" s="1259"/>
      <c r="NVE3" s="1259"/>
      <c r="NVF3" s="1259"/>
      <c r="NVG3" s="1259"/>
      <c r="NVH3" s="1259"/>
      <c r="NVI3" s="1259"/>
      <c r="NVJ3" s="1259"/>
      <c r="NVK3" s="1259"/>
      <c r="NVL3" s="1259"/>
      <c r="NVM3" s="1259"/>
      <c r="NVN3" s="1259"/>
      <c r="NVO3" s="1259"/>
      <c r="NVP3" s="1259"/>
      <c r="NVQ3" s="1259"/>
      <c r="NVR3" s="1259"/>
      <c r="NVS3" s="1259"/>
      <c r="NVT3" s="1259"/>
      <c r="NVU3" s="1259"/>
      <c r="NVV3" s="1259"/>
      <c r="NVW3" s="1259"/>
      <c r="NVX3" s="1259"/>
      <c r="NVY3" s="1259"/>
      <c r="NVZ3" s="1259"/>
      <c r="NWA3" s="1259"/>
      <c r="NWB3" s="1259"/>
      <c r="NWC3" s="1259"/>
      <c r="NWD3" s="1259"/>
      <c r="NWE3" s="1259"/>
      <c r="NWF3" s="1259"/>
      <c r="NWG3" s="1259"/>
      <c r="NWH3" s="1259"/>
      <c r="NWI3" s="1259"/>
      <c r="NWJ3" s="1259"/>
      <c r="NWK3" s="1259"/>
      <c r="NWL3" s="1259"/>
      <c r="NWM3" s="1259"/>
      <c r="NWN3" s="1259"/>
      <c r="NWO3" s="1259"/>
      <c r="NWP3" s="1259"/>
      <c r="NWQ3" s="1259"/>
      <c r="NWR3" s="1259"/>
      <c r="NWS3" s="1259"/>
      <c r="NWT3" s="1259"/>
      <c r="NWU3" s="1259"/>
      <c r="NWV3" s="1259"/>
      <c r="NWW3" s="1259"/>
      <c r="NWX3" s="1259"/>
      <c r="NWY3" s="1259"/>
      <c r="NWZ3" s="1259"/>
      <c r="NXA3" s="1259"/>
      <c r="NXB3" s="1259"/>
      <c r="NXC3" s="1259"/>
      <c r="NXD3" s="1259"/>
      <c r="NXE3" s="1259"/>
      <c r="NXF3" s="1259"/>
      <c r="NXG3" s="1259"/>
      <c r="NXH3" s="1259"/>
      <c r="NXI3" s="1259"/>
      <c r="NXJ3" s="1259"/>
      <c r="NXK3" s="1259"/>
      <c r="NXL3" s="1259"/>
      <c r="NXM3" s="1259"/>
      <c r="NXN3" s="1259"/>
      <c r="NXO3" s="1259"/>
      <c r="NXP3" s="1259"/>
      <c r="NXQ3" s="1259"/>
      <c r="NXR3" s="1259"/>
      <c r="NXS3" s="1259"/>
      <c r="NXT3" s="1259"/>
      <c r="NXU3" s="1259"/>
      <c r="NXV3" s="1259"/>
      <c r="NXW3" s="1259"/>
      <c r="NXX3" s="1259"/>
      <c r="NXY3" s="1259"/>
      <c r="NXZ3" s="1259"/>
      <c r="NYA3" s="1259"/>
      <c r="NYB3" s="1259"/>
      <c r="NYC3" s="1259"/>
      <c r="NYD3" s="1259"/>
      <c r="NYE3" s="1259"/>
      <c r="NYF3" s="1259"/>
      <c r="NYG3" s="1259"/>
      <c r="NYH3" s="1259"/>
      <c r="NYI3" s="1259"/>
      <c r="NYJ3" s="1259"/>
      <c r="NYK3" s="1259"/>
      <c r="NYL3" s="1259"/>
      <c r="NYM3" s="1259"/>
      <c r="NYN3" s="1259"/>
      <c r="NYO3" s="1259"/>
      <c r="NYP3" s="1259"/>
      <c r="NYQ3" s="1259"/>
      <c r="NYR3" s="1259"/>
      <c r="NYS3" s="1259"/>
      <c r="NYT3" s="1259"/>
      <c r="NYU3" s="1259"/>
      <c r="NYV3" s="1259"/>
      <c r="NYW3" s="1259"/>
      <c r="NYX3" s="1259"/>
      <c r="NYY3" s="1259"/>
      <c r="NYZ3" s="1259"/>
      <c r="NZA3" s="1259"/>
      <c r="NZB3" s="1259"/>
      <c r="NZC3" s="1259"/>
      <c r="NZD3" s="1259"/>
      <c r="NZE3" s="1259"/>
      <c r="NZF3" s="1259"/>
      <c r="NZG3" s="1259"/>
      <c r="NZH3" s="1259"/>
      <c r="NZI3" s="1259"/>
      <c r="NZJ3" s="1259"/>
      <c r="NZK3" s="1259"/>
      <c r="NZL3" s="1259"/>
      <c r="NZM3" s="1259"/>
      <c r="NZN3" s="1259"/>
      <c r="NZO3" s="1259"/>
      <c r="NZP3" s="1259"/>
      <c r="NZQ3" s="1259"/>
      <c r="NZR3" s="1259"/>
      <c r="NZS3" s="1259"/>
      <c r="NZT3" s="1259"/>
      <c r="NZU3" s="1259"/>
      <c r="NZV3" s="1259"/>
      <c r="NZW3" s="1259"/>
      <c r="NZX3" s="1259"/>
      <c r="NZY3" s="1259"/>
      <c r="NZZ3" s="1259"/>
      <c r="OAA3" s="1259"/>
      <c r="OAB3" s="1259"/>
      <c r="OAC3" s="1259"/>
      <c r="OAD3" s="1259"/>
      <c r="OAE3" s="1259"/>
      <c r="OAF3" s="1259"/>
      <c r="OAG3" s="1259"/>
      <c r="OAH3" s="1259"/>
      <c r="OAI3" s="1259"/>
      <c r="OAJ3" s="1259"/>
      <c r="OAK3" s="1259"/>
      <c r="OAL3" s="1259"/>
      <c r="OAM3" s="1259"/>
      <c r="OAN3" s="1259"/>
      <c r="OAO3" s="1259"/>
      <c r="OAP3" s="1259"/>
      <c r="OAQ3" s="1259"/>
      <c r="OAR3" s="1259"/>
      <c r="OAS3" s="1259"/>
      <c r="OAT3" s="1259"/>
      <c r="OAU3" s="1259"/>
      <c r="OAV3" s="1259"/>
      <c r="OAW3" s="1259"/>
      <c r="OAX3" s="1259"/>
      <c r="OAY3" s="1259"/>
      <c r="OAZ3" s="1259"/>
      <c r="OBA3" s="1259"/>
      <c r="OBB3" s="1259"/>
      <c r="OBC3" s="1259"/>
      <c r="OBD3" s="1259"/>
      <c r="OBE3" s="1259"/>
      <c r="OBF3" s="1259"/>
      <c r="OBG3" s="1259"/>
      <c r="OBH3" s="1259"/>
      <c r="OBI3" s="1259"/>
      <c r="OBJ3" s="1259"/>
      <c r="OBK3" s="1259"/>
      <c r="OBL3" s="1259"/>
      <c r="OBM3" s="1259"/>
      <c r="OBN3" s="1259"/>
      <c r="OBO3" s="1259"/>
      <c r="OBP3" s="1259"/>
      <c r="OBQ3" s="1259"/>
      <c r="OBR3" s="1259"/>
      <c r="OBS3" s="1259"/>
      <c r="OBT3" s="1259"/>
      <c r="OBU3" s="1259"/>
      <c r="OBV3" s="1259"/>
      <c r="OBW3" s="1259"/>
      <c r="OBX3" s="1259"/>
      <c r="OBY3" s="1259"/>
      <c r="OBZ3" s="1259"/>
      <c r="OCA3" s="1259"/>
      <c r="OCB3" s="1259"/>
      <c r="OCC3" s="1259"/>
      <c r="OCD3" s="1259"/>
      <c r="OCE3" s="1259"/>
      <c r="OCF3" s="1259"/>
      <c r="OCG3" s="1259"/>
      <c r="OCH3" s="1259"/>
      <c r="OCI3" s="1259"/>
      <c r="OCJ3" s="1259"/>
      <c r="OCK3" s="1259"/>
      <c r="OCL3" s="1259"/>
      <c r="OCM3" s="1259"/>
      <c r="OCN3" s="1259"/>
      <c r="OCO3" s="1259"/>
      <c r="OCP3" s="1259"/>
      <c r="OCQ3" s="1259"/>
      <c r="OCR3" s="1259"/>
      <c r="OCS3" s="1259"/>
      <c r="OCT3" s="1259"/>
      <c r="OCU3" s="1259"/>
      <c r="OCV3" s="1259"/>
      <c r="OCW3" s="1259"/>
      <c r="OCX3" s="1259"/>
      <c r="OCY3" s="1259"/>
      <c r="OCZ3" s="1259"/>
      <c r="ODA3" s="1259"/>
      <c r="ODB3" s="1259"/>
      <c r="ODC3" s="1259"/>
      <c r="ODD3" s="1259"/>
      <c r="ODE3" s="1259"/>
      <c r="ODF3" s="1259"/>
      <c r="ODG3" s="1259"/>
      <c r="ODH3" s="1259"/>
      <c r="ODI3" s="1259"/>
      <c r="ODJ3" s="1259"/>
      <c r="ODK3" s="1259"/>
      <c r="ODL3" s="1259"/>
      <c r="ODM3" s="1259"/>
      <c r="ODN3" s="1259"/>
      <c r="ODO3" s="1259"/>
      <c r="ODP3" s="1259"/>
      <c r="ODQ3" s="1259"/>
      <c r="ODR3" s="1259"/>
      <c r="ODS3" s="1259"/>
      <c r="ODT3" s="1259"/>
      <c r="ODU3" s="1259"/>
      <c r="ODV3" s="1259"/>
      <c r="ODW3" s="1259"/>
      <c r="ODX3" s="1259"/>
      <c r="ODY3" s="1259"/>
      <c r="ODZ3" s="1259"/>
      <c r="OEA3" s="1259"/>
      <c r="OEB3" s="1259"/>
      <c r="OEC3" s="1259"/>
      <c r="OED3" s="1259"/>
      <c r="OEE3" s="1259"/>
      <c r="OEF3" s="1259"/>
      <c r="OEG3" s="1259"/>
      <c r="OEH3" s="1259"/>
      <c r="OEI3" s="1259"/>
      <c r="OEJ3" s="1259"/>
      <c r="OEK3" s="1259"/>
      <c r="OEL3" s="1259"/>
      <c r="OEM3" s="1259"/>
      <c r="OEN3" s="1259"/>
      <c r="OEO3" s="1259"/>
      <c r="OEP3" s="1259"/>
      <c r="OEQ3" s="1259"/>
      <c r="OER3" s="1259"/>
      <c r="OES3" s="1259"/>
      <c r="OET3" s="1259"/>
      <c r="OEU3" s="1259"/>
      <c r="OEV3" s="1259"/>
      <c r="OEW3" s="1259"/>
      <c r="OEX3" s="1259"/>
      <c r="OEY3" s="1259"/>
      <c r="OEZ3" s="1259"/>
      <c r="OFA3" s="1259"/>
      <c r="OFB3" s="1259"/>
      <c r="OFC3" s="1259"/>
      <c r="OFD3" s="1259"/>
      <c r="OFE3" s="1259"/>
      <c r="OFF3" s="1259"/>
      <c r="OFG3" s="1259"/>
      <c r="OFH3" s="1259"/>
      <c r="OFI3" s="1259"/>
      <c r="OFJ3" s="1259"/>
      <c r="OFK3" s="1259"/>
      <c r="OFL3" s="1259"/>
      <c r="OFM3" s="1259"/>
      <c r="OFN3" s="1259"/>
      <c r="OFO3" s="1259"/>
      <c r="OFP3" s="1259"/>
      <c r="OFQ3" s="1259"/>
      <c r="OFR3" s="1259"/>
      <c r="OFS3" s="1259"/>
      <c r="OFT3" s="1259"/>
      <c r="OFU3" s="1259"/>
      <c r="OFV3" s="1259"/>
      <c r="OFW3" s="1259"/>
      <c r="OFX3" s="1259"/>
      <c r="OFY3" s="1259"/>
      <c r="OFZ3" s="1259"/>
      <c r="OGA3" s="1259"/>
      <c r="OGB3" s="1259"/>
      <c r="OGC3" s="1259"/>
      <c r="OGD3" s="1259"/>
      <c r="OGE3" s="1259"/>
      <c r="OGF3" s="1259"/>
      <c r="OGG3" s="1259"/>
      <c r="OGH3" s="1259"/>
      <c r="OGI3" s="1259"/>
      <c r="OGJ3" s="1259"/>
      <c r="OGK3" s="1259"/>
      <c r="OGL3" s="1259"/>
      <c r="OGM3" s="1259"/>
      <c r="OGN3" s="1259"/>
      <c r="OGO3" s="1259"/>
      <c r="OGP3" s="1259"/>
      <c r="OGQ3" s="1259"/>
      <c r="OGR3" s="1259"/>
      <c r="OGS3" s="1259"/>
      <c r="OGT3" s="1259"/>
      <c r="OGU3" s="1259"/>
      <c r="OGV3" s="1259"/>
      <c r="OGW3" s="1259"/>
      <c r="OGX3" s="1259"/>
      <c r="OGY3" s="1259"/>
      <c r="OGZ3" s="1259"/>
      <c r="OHA3" s="1259"/>
      <c r="OHB3" s="1259"/>
      <c r="OHC3" s="1259"/>
      <c r="OHD3" s="1259"/>
      <c r="OHE3" s="1259"/>
      <c r="OHF3" s="1259"/>
      <c r="OHG3" s="1259"/>
      <c r="OHH3" s="1259"/>
      <c r="OHI3" s="1259"/>
      <c r="OHJ3" s="1259"/>
      <c r="OHK3" s="1259"/>
      <c r="OHL3" s="1259"/>
      <c r="OHM3" s="1259"/>
      <c r="OHN3" s="1259"/>
      <c r="OHO3" s="1259"/>
      <c r="OHP3" s="1259"/>
      <c r="OHQ3" s="1259"/>
      <c r="OHR3" s="1259"/>
      <c r="OHS3" s="1259"/>
      <c r="OHT3" s="1259"/>
      <c r="OHU3" s="1259"/>
      <c r="OHV3" s="1259"/>
      <c r="OHW3" s="1259"/>
      <c r="OHX3" s="1259"/>
      <c r="OHY3" s="1259"/>
      <c r="OHZ3" s="1259"/>
      <c r="OIA3" s="1259"/>
      <c r="OIB3" s="1259"/>
      <c r="OIC3" s="1259"/>
      <c r="OID3" s="1259"/>
      <c r="OIE3" s="1259"/>
      <c r="OIF3" s="1259"/>
      <c r="OIG3" s="1259"/>
      <c r="OIH3" s="1259"/>
      <c r="OII3" s="1259"/>
      <c r="OIJ3" s="1259"/>
      <c r="OIK3" s="1259"/>
      <c r="OIL3" s="1259"/>
      <c r="OIM3" s="1259"/>
      <c r="OIN3" s="1259"/>
      <c r="OIO3" s="1259"/>
      <c r="OIP3" s="1259"/>
      <c r="OIQ3" s="1259"/>
      <c r="OIR3" s="1259"/>
      <c r="OIS3" s="1259"/>
      <c r="OIT3" s="1259"/>
      <c r="OIU3" s="1259"/>
      <c r="OIV3" s="1259"/>
      <c r="OIW3" s="1259"/>
      <c r="OIX3" s="1259"/>
      <c r="OIY3" s="1259"/>
      <c r="OIZ3" s="1259"/>
      <c r="OJA3" s="1259"/>
      <c r="OJB3" s="1259"/>
      <c r="OJC3" s="1259"/>
      <c r="OJD3" s="1259"/>
      <c r="OJE3" s="1259"/>
      <c r="OJF3" s="1259"/>
      <c r="OJG3" s="1259"/>
      <c r="OJH3" s="1259"/>
      <c r="OJI3" s="1259"/>
      <c r="OJJ3" s="1259"/>
      <c r="OJK3" s="1259"/>
      <c r="OJL3" s="1259"/>
      <c r="OJM3" s="1259"/>
      <c r="OJN3" s="1259"/>
      <c r="OJO3" s="1259"/>
      <c r="OJP3" s="1259"/>
      <c r="OJQ3" s="1259"/>
      <c r="OJR3" s="1259"/>
      <c r="OJS3" s="1259"/>
      <c r="OJT3" s="1259"/>
      <c r="OJU3" s="1259"/>
      <c r="OJV3" s="1259"/>
      <c r="OJW3" s="1259"/>
      <c r="OJX3" s="1259"/>
      <c r="OJY3" s="1259"/>
      <c r="OJZ3" s="1259"/>
      <c r="OKA3" s="1259"/>
      <c r="OKB3" s="1259"/>
      <c r="OKC3" s="1259"/>
      <c r="OKD3" s="1259"/>
      <c r="OKE3" s="1259"/>
      <c r="OKF3" s="1259"/>
      <c r="OKG3" s="1259"/>
      <c r="OKH3" s="1259"/>
      <c r="OKI3" s="1259"/>
      <c r="OKJ3" s="1259"/>
      <c r="OKK3" s="1259"/>
      <c r="OKL3" s="1259"/>
      <c r="OKM3" s="1259"/>
      <c r="OKN3" s="1259"/>
      <c r="OKO3" s="1259"/>
      <c r="OKP3" s="1259"/>
      <c r="OKQ3" s="1259"/>
      <c r="OKR3" s="1259"/>
      <c r="OKS3" s="1259"/>
      <c r="OKT3" s="1259"/>
      <c r="OKU3" s="1259"/>
      <c r="OKV3" s="1259"/>
      <c r="OKW3" s="1259"/>
      <c r="OKX3" s="1259"/>
      <c r="OKY3" s="1259"/>
      <c r="OKZ3" s="1259"/>
      <c r="OLA3" s="1259"/>
      <c r="OLB3" s="1259"/>
      <c r="OLC3" s="1259"/>
      <c r="OLD3" s="1259"/>
      <c r="OLE3" s="1259"/>
      <c r="OLF3" s="1259"/>
      <c r="OLG3" s="1259"/>
      <c r="OLH3" s="1259"/>
      <c r="OLI3" s="1259"/>
      <c r="OLJ3" s="1259"/>
      <c r="OLK3" s="1259"/>
      <c r="OLL3" s="1259"/>
      <c r="OLM3" s="1259"/>
      <c r="OLN3" s="1259"/>
      <c r="OLO3" s="1259"/>
      <c r="OLP3" s="1259"/>
      <c r="OLQ3" s="1259"/>
      <c r="OLR3" s="1259"/>
      <c r="OLS3" s="1259"/>
      <c r="OLT3" s="1259"/>
      <c r="OLU3" s="1259"/>
      <c r="OLV3" s="1259"/>
      <c r="OLW3" s="1259"/>
      <c r="OLX3" s="1259"/>
      <c r="OLY3" s="1259"/>
      <c r="OLZ3" s="1259"/>
      <c r="OMA3" s="1259"/>
      <c r="OMB3" s="1259"/>
      <c r="OMC3" s="1259"/>
      <c r="OMD3" s="1259"/>
      <c r="OME3" s="1259"/>
      <c r="OMF3" s="1259"/>
      <c r="OMG3" s="1259"/>
      <c r="OMH3" s="1259"/>
      <c r="OMI3" s="1259"/>
      <c r="OMJ3" s="1259"/>
      <c r="OMK3" s="1259"/>
      <c r="OML3" s="1259"/>
      <c r="OMM3" s="1259"/>
      <c r="OMN3" s="1259"/>
      <c r="OMO3" s="1259"/>
      <c r="OMP3" s="1259"/>
      <c r="OMQ3" s="1259"/>
      <c r="OMR3" s="1259"/>
      <c r="OMS3" s="1259"/>
      <c r="OMT3" s="1259"/>
      <c r="OMU3" s="1259"/>
      <c r="OMV3" s="1259"/>
      <c r="OMW3" s="1259"/>
      <c r="OMX3" s="1259"/>
      <c r="OMY3" s="1259"/>
      <c r="OMZ3" s="1259"/>
      <c r="ONA3" s="1259"/>
      <c r="ONB3" s="1259"/>
      <c r="ONC3" s="1259"/>
      <c r="OND3" s="1259"/>
      <c r="ONE3" s="1259"/>
      <c r="ONF3" s="1259"/>
      <c r="ONG3" s="1259"/>
      <c r="ONH3" s="1259"/>
      <c r="ONI3" s="1259"/>
      <c r="ONJ3" s="1259"/>
      <c r="ONK3" s="1259"/>
      <c r="ONL3" s="1259"/>
      <c r="ONM3" s="1259"/>
      <c r="ONN3" s="1259"/>
      <c r="ONO3" s="1259"/>
      <c r="ONP3" s="1259"/>
      <c r="ONQ3" s="1259"/>
      <c r="ONR3" s="1259"/>
      <c r="ONS3" s="1259"/>
      <c r="ONT3" s="1259"/>
      <c r="ONU3" s="1259"/>
      <c r="ONV3" s="1259"/>
      <c r="ONW3" s="1259"/>
      <c r="ONX3" s="1259"/>
      <c r="ONY3" s="1259"/>
      <c r="ONZ3" s="1259"/>
      <c r="OOA3" s="1259"/>
      <c r="OOB3" s="1259"/>
      <c r="OOC3" s="1259"/>
      <c r="OOD3" s="1259"/>
      <c r="OOE3" s="1259"/>
      <c r="OOF3" s="1259"/>
      <c r="OOG3" s="1259"/>
      <c r="OOH3" s="1259"/>
      <c r="OOI3" s="1259"/>
      <c r="OOJ3" s="1259"/>
      <c r="OOK3" s="1259"/>
      <c r="OOL3" s="1259"/>
      <c r="OOM3" s="1259"/>
      <c r="OON3" s="1259"/>
      <c r="OOO3" s="1259"/>
      <c r="OOP3" s="1259"/>
      <c r="OOQ3" s="1259"/>
      <c r="OOR3" s="1259"/>
      <c r="OOS3" s="1259"/>
      <c r="OOT3" s="1259"/>
      <c r="OOU3" s="1259"/>
      <c r="OOV3" s="1259"/>
      <c r="OOW3" s="1259"/>
      <c r="OOX3" s="1259"/>
      <c r="OOY3" s="1259"/>
      <c r="OOZ3" s="1259"/>
      <c r="OPA3" s="1259"/>
      <c r="OPB3" s="1259"/>
      <c r="OPC3" s="1259"/>
      <c r="OPD3" s="1259"/>
      <c r="OPE3" s="1259"/>
      <c r="OPF3" s="1259"/>
      <c r="OPG3" s="1259"/>
      <c r="OPH3" s="1259"/>
      <c r="OPI3" s="1259"/>
      <c r="OPJ3" s="1259"/>
      <c r="OPK3" s="1259"/>
      <c r="OPL3" s="1259"/>
      <c r="OPM3" s="1259"/>
      <c r="OPN3" s="1259"/>
      <c r="OPO3" s="1259"/>
      <c r="OPP3" s="1259"/>
      <c r="OPQ3" s="1259"/>
      <c r="OPR3" s="1259"/>
      <c r="OPS3" s="1259"/>
      <c r="OPT3" s="1259"/>
      <c r="OPU3" s="1259"/>
      <c r="OPV3" s="1259"/>
      <c r="OPW3" s="1259"/>
      <c r="OPX3" s="1259"/>
      <c r="OPY3" s="1259"/>
      <c r="OPZ3" s="1259"/>
      <c r="OQA3" s="1259"/>
      <c r="OQB3" s="1259"/>
      <c r="OQC3" s="1259"/>
      <c r="OQD3" s="1259"/>
      <c r="OQE3" s="1259"/>
      <c r="OQF3" s="1259"/>
      <c r="OQG3" s="1259"/>
      <c r="OQH3" s="1259"/>
      <c r="OQI3" s="1259"/>
      <c r="OQJ3" s="1259"/>
      <c r="OQK3" s="1259"/>
      <c r="OQL3" s="1259"/>
      <c r="OQM3" s="1259"/>
      <c r="OQN3" s="1259"/>
      <c r="OQO3" s="1259"/>
      <c r="OQP3" s="1259"/>
      <c r="OQQ3" s="1259"/>
      <c r="OQR3" s="1259"/>
      <c r="OQS3" s="1259"/>
      <c r="OQT3" s="1259"/>
      <c r="OQU3" s="1259"/>
      <c r="OQV3" s="1259"/>
      <c r="OQW3" s="1259"/>
      <c r="OQX3" s="1259"/>
      <c r="OQY3" s="1259"/>
      <c r="OQZ3" s="1259"/>
      <c r="ORA3" s="1259"/>
      <c r="ORB3" s="1259"/>
      <c r="ORC3" s="1259"/>
      <c r="ORD3" s="1259"/>
      <c r="ORE3" s="1259"/>
      <c r="ORF3" s="1259"/>
      <c r="ORG3" s="1259"/>
      <c r="ORH3" s="1259"/>
      <c r="ORI3" s="1259"/>
      <c r="ORJ3" s="1259"/>
      <c r="ORK3" s="1259"/>
      <c r="ORL3" s="1259"/>
      <c r="ORM3" s="1259"/>
      <c r="ORN3" s="1259"/>
      <c r="ORO3" s="1259"/>
      <c r="ORP3" s="1259"/>
      <c r="ORQ3" s="1259"/>
      <c r="ORR3" s="1259"/>
      <c r="ORS3" s="1259"/>
      <c r="ORT3" s="1259"/>
      <c r="ORU3" s="1259"/>
      <c r="ORV3" s="1259"/>
      <c r="ORW3" s="1259"/>
      <c r="ORX3" s="1259"/>
      <c r="ORY3" s="1259"/>
      <c r="ORZ3" s="1259"/>
      <c r="OSA3" s="1259"/>
      <c r="OSB3" s="1259"/>
      <c r="OSC3" s="1259"/>
      <c r="OSD3" s="1259"/>
      <c r="OSE3" s="1259"/>
      <c r="OSF3" s="1259"/>
      <c r="OSG3" s="1259"/>
      <c r="OSH3" s="1259"/>
      <c r="OSI3" s="1259"/>
      <c r="OSJ3" s="1259"/>
      <c r="OSK3" s="1259"/>
      <c r="OSL3" s="1259"/>
      <c r="OSM3" s="1259"/>
      <c r="OSN3" s="1259"/>
      <c r="OSO3" s="1259"/>
      <c r="OSP3" s="1259"/>
      <c r="OSQ3" s="1259"/>
      <c r="OSR3" s="1259"/>
      <c r="OSS3" s="1259"/>
      <c r="OST3" s="1259"/>
      <c r="OSU3" s="1259"/>
      <c r="OSV3" s="1259"/>
      <c r="OSW3" s="1259"/>
      <c r="OSX3" s="1259"/>
      <c r="OSY3" s="1259"/>
      <c r="OSZ3" s="1259"/>
      <c r="OTA3" s="1259"/>
      <c r="OTB3" s="1259"/>
      <c r="OTC3" s="1259"/>
      <c r="OTD3" s="1259"/>
      <c r="OTE3" s="1259"/>
      <c r="OTF3" s="1259"/>
      <c r="OTG3" s="1259"/>
      <c r="OTH3" s="1259"/>
      <c r="OTI3" s="1259"/>
      <c r="OTJ3" s="1259"/>
      <c r="OTK3" s="1259"/>
      <c r="OTL3" s="1259"/>
      <c r="OTM3" s="1259"/>
      <c r="OTN3" s="1259"/>
      <c r="OTO3" s="1259"/>
      <c r="OTP3" s="1259"/>
      <c r="OTQ3" s="1259"/>
      <c r="OTR3" s="1259"/>
      <c r="OTS3" s="1259"/>
      <c r="OTT3" s="1259"/>
      <c r="OTU3" s="1259"/>
      <c r="OTV3" s="1259"/>
      <c r="OTW3" s="1259"/>
      <c r="OTX3" s="1259"/>
      <c r="OTY3" s="1259"/>
      <c r="OTZ3" s="1259"/>
      <c r="OUA3" s="1259"/>
      <c r="OUB3" s="1259"/>
      <c r="OUC3" s="1259"/>
      <c r="OUD3" s="1259"/>
      <c r="OUE3" s="1259"/>
      <c r="OUF3" s="1259"/>
      <c r="OUG3" s="1259"/>
      <c r="OUH3" s="1259"/>
      <c r="OUI3" s="1259"/>
      <c r="OUJ3" s="1259"/>
      <c r="OUK3" s="1259"/>
      <c r="OUL3" s="1259"/>
      <c r="OUM3" s="1259"/>
      <c r="OUN3" s="1259"/>
      <c r="OUO3" s="1259"/>
      <c r="OUP3" s="1259"/>
      <c r="OUQ3" s="1259"/>
      <c r="OUR3" s="1259"/>
      <c r="OUS3" s="1259"/>
      <c r="OUT3" s="1259"/>
      <c r="OUU3" s="1259"/>
      <c r="OUV3" s="1259"/>
      <c r="OUW3" s="1259"/>
      <c r="OUX3" s="1259"/>
      <c r="OUY3" s="1259"/>
      <c r="OUZ3" s="1259"/>
      <c r="OVA3" s="1259"/>
      <c r="OVB3" s="1259"/>
      <c r="OVC3" s="1259"/>
      <c r="OVD3" s="1259"/>
      <c r="OVE3" s="1259"/>
      <c r="OVF3" s="1259"/>
      <c r="OVG3" s="1259"/>
      <c r="OVH3" s="1259"/>
      <c r="OVI3" s="1259"/>
      <c r="OVJ3" s="1259"/>
      <c r="OVK3" s="1259"/>
      <c r="OVL3" s="1259"/>
      <c r="OVM3" s="1259"/>
      <c r="OVN3" s="1259"/>
      <c r="OVO3" s="1259"/>
      <c r="OVP3" s="1259"/>
      <c r="OVQ3" s="1259"/>
      <c r="OVR3" s="1259"/>
      <c r="OVS3" s="1259"/>
      <c r="OVT3" s="1259"/>
      <c r="OVU3" s="1259"/>
      <c r="OVV3" s="1259"/>
      <c r="OVW3" s="1259"/>
      <c r="OVX3" s="1259"/>
      <c r="OVY3" s="1259"/>
      <c r="OVZ3" s="1259"/>
      <c r="OWA3" s="1259"/>
      <c r="OWB3" s="1259"/>
      <c r="OWC3" s="1259"/>
      <c r="OWD3" s="1259"/>
      <c r="OWE3" s="1259"/>
      <c r="OWF3" s="1259"/>
      <c r="OWG3" s="1259"/>
      <c r="OWH3" s="1259"/>
      <c r="OWI3" s="1259"/>
      <c r="OWJ3" s="1259"/>
      <c r="OWK3" s="1259"/>
      <c r="OWL3" s="1259"/>
      <c r="OWM3" s="1259"/>
      <c r="OWN3" s="1259"/>
      <c r="OWO3" s="1259"/>
      <c r="OWP3" s="1259"/>
      <c r="OWQ3" s="1259"/>
      <c r="OWR3" s="1259"/>
      <c r="OWS3" s="1259"/>
      <c r="OWT3" s="1259"/>
      <c r="OWU3" s="1259"/>
      <c r="OWV3" s="1259"/>
      <c r="OWW3" s="1259"/>
      <c r="OWX3" s="1259"/>
      <c r="OWY3" s="1259"/>
      <c r="OWZ3" s="1259"/>
      <c r="OXA3" s="1259"/>
      <c r="OXB3" s="1259"/>
      <c r="OXC3" s="1259"/>
      <c r="OXD3" s="1259"/>
      <c r="OXE3" s="1259"/>
      <c r="OXF3" s="1259"/>
      <c r="OXG3" s="1259"/>
      <c r="OXH3" s="1259"/>
      <c r="OXI3" s="1259"/>
      <c r="OXJ3" s="1259"/>
      <c r="OXK3" s="1259"/>
      <c r="OXL3" s="1259"/>
      <c r="OXM3" s="1259"/>
      <c r="OXN3" s="1259"/>
      <c r="OXO3" s="1259"/>
      <c r="OXP3" s="1259"/>
      <c r="OXQ3" s="1259"/>
      <c r="OXR3" s="1259"/>
      <c r="OXS3" s="1259"/>
      <c r="OXT3" s="1259"/>
      <c r="OXU3" s="1259"/>
      <c r="OXV3" s="1259"/>
      <c r="OXW3" s="1259"/>
      <c r="OXX3" s="1259"/>
      <c r="OXY3" s="1259"/>
      <c r="OXZ3" s="1259"/>
      <c r="OYA3" s="1259"/>
      <c r="OYB3" s="1259"/>
      <c r="OYC3" s="1259"/>
      <c r="OYD3" s="1259"/>
      <c r="OYE3" s="1259"/>
      <c r="OYF3" s="1259"/>
      <c r="OYG3" s="1259"/>
      <c r="OYH3" s="1259"/>
      <c r="OYI3" s="1259"/>
      <c r="OYJ3" s="1259"/>
      <c r="OYK3" s="1259"/>
      <c r="OYL3" s="1259"/>
      <c r="OYM3" s="1259"/>
      <c r="OYN3" s="1259"/>
      <c r="OYO3" s="1259"/>
      <c r="OYP3" s="1259"/>
      <c r="OYQ3" s="1259"/>
      <c r="OYR3" s="1259"/>
      <c r="OYS3" s="1259"/>
      <c r="OYT3" s="1259"/>
      <c r="OYU3" s="1259"/>
      <c r="OYV3" s="1259"/>
      <c r="OYW3" s="1259"/>
      <c r="OYX3" s="1259"/>
      <c r="OYY3" s="1259"/>
      <c r="OYZ3" s="1259"/>
      <c r="OZA3" s="1259"/>
      <c r="OZB3" s="1259"/>
      <c r="OZC3" s="1259"/>
      <c r="OZD3" s="1259"/>
      <c r="OZE3" s="1259"/>
      <c r="OZF3" s="1259"/>
      <c r="OZG3" s="1259"/>
      <c r="OZH3" s="1259"/>
      <c r="OZI3" s="1259"/>
      <c r="OZJ3" s="1259"/>
      <c r="OZK3" s="1259"/>
      <c r="OZL3" s="1259"/>
      <c r="OZM3" s="1259"/>
      <c r="OZN3" s="1259"/>
      <c r="OZO3" s="1259"/>
      <c r="OZP3" s="1259"/>
      <c r="OZQ3" s="1259"/>
      <c r="OZR3" s="1259"/>
      <c r="OZS3" s="1259"/>
      <c r="OZT3" s="1259"/>
      <c r="OZU3" s="1259"/>
      <c r="OZV3" s="1259"/>
      <c r="OZW3" s="1259"/>
      <c r="OZX3" s="1259"/>
      <c r="OZY3" s="1259"/>
      <c r="OZZ3" s="1259"/>
      <c r="PAA3" s="1259"/>
      <c r="PAB3" s="1259"/>
      <c r="PAC3" s="1259"/>
      <c r="PAD3" s="1259"/>
      <c r="PAE3" s="1259"/>
      <c r="PAF3" s="1259"/>
      <c r="PAG3" s="1259"/>
      <c r="PAH3" s="1259"/>
      <c r="PAI3" s="1259"/>
      <c r="PAJ3" s="1259"/>
      <c r="PAK3" s="1259"/>
      <c r="PAL3" s="1259"/>
      <c r="PAM3" s="1259"/>
      <c r="PAN3" s="1259"/>
      <c r="PAO3" s="1259"/>
      <c r="PAP3" s="1259"/>
      <c r="PAQ3" s="1259"/>
      <c r="PAR3" s="1259"/>
      <c r="PAS3" s="1259"/>
      <c r="PAT3" s="1259"/>
      <c r="PAU3" s="1259"/>
      <c r="PAV3" s="1259"/>
      <c r="PAW3" s="1259"/>
      <c r="PAX3" s="1259"/>
      <c r="PAY3" s="1259"/>
      <c r="PAZ3" s="1259"/>
      <c r="PBA3" s="1259"/>
      <c r="PBB3" s="1259"/>
      <c r="PBC3" s="1259"/>
      <c r="PBD3" s="1259"/>
      <c r="PBE3" s="1259"/>
      <c r="PBF3" s="1259"/>
      <c r="PBG3" s="1259"/>
      <c r="PBH3" s="1259"/>
      <c r="PBI3" s="1259"/>
      <c r="PBJ3" s="1259"/>
      <c r="PBK3" s="1259"/>
      <c r="PBL3" s="1259"/>
      <c r="PBM3" s="1259"/>
      <c r="PBN3" s="1259"/>
      <c r="PBO3" s="1259"/>
      <c r="PBP3" s="1259"/>
      <c r="PBQ3" s="1259"/>
      <c r="PBR3" s="1259"/>
      <c r="PBS3" s="1259"/>
      <c r="PBT3" s="1259"/>
      <c r="PBU3" s="1259"/>
      <c r="PBV3" s="1259"/>
      <c r="PBW3" s="1259"/>
      <c r="PBX3" s="1259"/>
      <c r="PBY3" s="1259"/>
      <c r="PBZ3" s="1259"/>
      <c r="PCA3" s="1259"/>
      <c r="PCB3" s="1259"/>
      <c r="PCC3" s="1259"/>
      <c r="PCD3" s="1259"/>
      <c r="PCE3" s="1259"/>
      <c r="PCF3" s="1259"/>
      <c r="PCG3" s="1259"/>
      <c r="PCH3" s="1259"/>
      <c r="PCI3" s="1259"/>
      <c r="PCJ3" s="1259"/>
      <c r="PCK3" s="1259"/>
      <c r="PCL3" s="1259"/>
      <c r="PCM3" s="1259"/>
      <c r="PCN3" s="1259"/>
      <c r="PCO3" s="1259"/>
      <c r="PCP3" s="1259"/>
      <c r="PCQ3" s="1259"/>
      <c r="PCR3" s="1259"/>
      <c r="PCS3" s="1259"/>
      <c r="PCT3" s="1259"/>
      <c r="PCU3" s="1259"/>
      <c r="PCV3" s="1259"/>
      <c r="PCW3" s="1259"/>
      <c r="PCX3" s="1259"/>
      <c r="PCY3" s="1259"/>
      <c r="PCZ3" s="1259"/>
      <c r="PDA3" s="1259"/>
      <c r="PDB3" s="1259"/>
      <c r="PDC3" s="1259"/>
      <c r="PDD3" s="1259"/>
      <c r="PDE3" s="1259"/>
      <c r="PDF3" s="1259"/>
      <c r="PDG3" s="1259"/>
      <c r="PDH3" s="1259"/>
      <c r="PDI3" s="1259"/>
      <c r="PDJ3" s="1259"/>
      <c r="PDK3" s="1259"/>
      <c r="PDL3" s="1259"/>
      <c r="PDM3" s="1259"/>
      <c r="PDN3" s="1259"/>
      <c r="PDO3" s="1259"/>
      <c r="PDP3" s="1259"/>
      <c r="PDQ3" s="1259"/>
      <c r="PDR3" s="1259"/>
      <c r="PDS3" s="1259"/>
      <c r="PDT3" s="1259"/>
      <c r="PDU3" s="1259"/>
      <c r="PDV3" s="1259"/>
      <c r="PDW3" s="1259"/>
      <c r="PDX3" s="1259"/>
      <c r="PDY3" s="1259"/>
      <c r="PDZ3" s="1259"/>
      <c r="PEA3" s="1259"/>
      <c r="PEB3" s="1259"/>
      <c r="PEC3" s="1259"/>
      <c r="PED3" s="1259"/>
      <c r="PEE3" s="1259"/>
      <c r="PEF3" s="1259"/>
      <c r="PEG3" s="1259"/>
      <c r="PEH3" s="1259"/>
      <c r="PEI3" s="1259"/>
      <c r="PEJ3" s="1259"/>
      <c r="PEK3" s="1259"/>
      <c r="PEL3" s="1259"/>
      <c r="PEM3" s="1259"/>
      <c r="PEN3" s="1259"/>
      <c r="PEO3" s="1259"/>
      <c r="PEP3" s="1259"/>
      <c r="PEQ3" s="1259"/>
      <c r="PER3" s="1259"/>
      <c r="PES3" s="1259"/>
      <c r="PET3" s="1259"/>
      <c r="PEU3" s="1259"/>
      <c r="PEV3" s="1259"/>
      <c r="PEW3" s="1259"/>
      <c r="PEX3" s="1259"/>
      <c r="PEY3" s="1259"/>
      <c r="PEZ3" s="1259"/>
      <c r="PFA3" s="1259"/>
      <c r="PFB3" s="1259"/>
      <c r="PFC3" s="1259"/>
      <c r="PFD3" s="1259"/>
      <c r="PFE3" s="1259"/>
      <c r="PFF3" s="1259"/>
      <c r="PFG3" s="1259"/>
      <c r="PFH3" s="1259"/>
      <c r="PFI3" s="1259"/>
      <c r="PFJ3" s="1259"/>
      <c r="PFK3" s="1259"/>
      <c r="PFL3" s="1259"/>
      <c r="PFM3" s="1259"/>
      <c r="PFN3" s="1259"/>
      <c r="PFO3" s="1259"/>
      <c r="PFP3" s="1259"/>
      <c r="PFQ3" s="1259"/>
      <c r="PFR3" s="1259"/>
      <c r="PFS3" s="1259"/>
      <c r="PFT3" s="1259"/>
      <c r="PFU3" s="1259"/>
      <c r="PFV3" s="1259"/>
      <c r="PFW3" s="1259"/>
      <c r="PFX3" s="1259"/>
      <c r="PFY3" s="1259"/>
      <c r="PFZ3" s="1259"/>
      <c r="PGA3" s="1259"/>
      <c r="PGB3" s="1259"/>
      <c r="PGC3" s="1259"/>
      <c r="PGD3" s="1259"/>
      <c r="PGE3" s="1259"/>
      <c r="PGF3" s="1259"/>
      <c r="PGG3" s="1259"/>
      <c r="PGH3" s="1259"/>
      <c r="PGI3" s="1259"/>
      <c r="PGJ3" s="1259"/>
      <c r="PGK3" s="1259"/>
      <c r="PGL3" s="1259"/>
      <c r="PGM3" s="1259"/>
      <c r="PGN3" s="1259"/>
      <c r="PGO3" s="1259"/>
      <c r="PGP3" s="1259"/>
      <c r="PGQ3" s="1259"/>
      <c r="PGR3" s="1259"/>
      <c r="PGS3" s="1259"/>
      <c r="PGT3" s="1259"/>
      <c r="PGU3" s="1259"/>
      <c r="PGV3" s="1259"/>
      <c r="PGW3" s="1259"/>
      <c r="PGX3" s="1259"/>
      <c r="PGY3" s="1259"/>
      <c r="PGZ3" s="1259"/>
      <c r="PHA3" s="1259"/>
      <c r="PHB3" s="1259"/>
      <c r="PHC3" s="1259"/>
      <c r="PHD3" s="1259"/>
      <c r="PHE3" s="1259"/>
      <c r="PHF3" s="1259"/>
      <c r="PHG3" s="1259"/>
      <c r="PHH3" s="1259"/>
      <c r="PHI3" s="1259"/>
      <c r="PHJ3" s="1259"/>
      <c r="PHK3" s="1259"/>
      <c r="PHL3" s="1259"/>
      <c r="PHM3" s="1259"/>
      <c r="PHN3" s="1259"/>
      <c r="PHO3" s="1259"/>
      <c r="PHP3" s="1259"/>
      <c r="PHQ3" s="1259"/>
      <c r="PHR3" s="1259"/>
      <c r="PHS3" s="1259"/>
      <c r="PHT3" s="1259"/>
      <c r="PHU3" s="1259"/>
      <c r="PHV3" s="1259"/>
      <c r="PHW3" s="1259"/>
      <c r="PHX3" s="1259"/>
      <c r="PHY3" s="1259"/>
      <c r="PHZ3" s="1259"/>
      <c r="PIA3" s="1259"/>
      <c r="PIB3" s="1259"/>
      <c r="PIC3" s="1259"/>
      <c r="PID3" s="1259"/>
      <c r="PIE3" s="1259"/>
      <c r="PIF3" s="1259"/>
      <c r="PIG3" s="1259"/>
      <c r="PIH3" s="1259"/>
      <c r="PII3" s="1259"/>
      <c r="PIJ3" s="1259"/>
      <c r="PIK3" s="1259"/>
      <c r="PIL3" s="1259"/>
      <c r="PIM3" s="1259"/>
      <c r="PIN3" s="1259"/>
      <c r="PIO3" s="1259"/>
      <c r="PIP3" s="1259"/>
      <c r="PIQ3" s="1259"/>
      <c r="PIR3" s="1259"/>
      <c r="PIS3" s="1259"/>
      <c r="PIT3" s="1259"/>
      <c r="PIU3" s="1259"/>
      <c r="PIV3" s="1259"/>
      <c r="PIW3" s="1259"/>
      <c r="PIX3" s="1259"/>
      <c r="PIY3" s="1259"/>
      <c r="PIZ3" s="1259"/>
      <c r="PJA3" s="1259"/>
      <c r="PJB3" s="1259"/>
      <c r="PJC3" s="1259"/>
      <c r="PJD3" s="1259"/>
      <c r="PJE3" s="1259"/>
      <c r="PJF3" s="1259"/>
      <c r="PJG3" s="1259"/>
      <c r="PJH3" s="1259"/>
      <c r="PJI3" s="1259"/>
      <c r="PJJ3" s="1259"/>
      <c r="PJK3" s="1259"/>
      <c r="PJL3" s="1259"/>
      <c r="PJM3" s="1259"/>
      <c r="PJN3" s="1259"/>
      <c r="PJO3" s="1259"/>
      <c r="PJP3" s="1259"/>
      <c r="PJQ3" s="1259"/>
      <c r="PJR3" s="1259"/>
      <c r="PJS3" s="1259"/>
      <c r="PJT3" s="1259"/>
      <c r="PJU3" s="1259"/>
      <c r="PJV3" s="1259"/>
      <c r="PJW3" s="1259"/>
      <c r="PJX3" s="1259"/>
      <c r="PJY3" s="1259"/>
      <c r="PJZ3" s="1259"/>
      <c r="PKA3" s="1259"/>
      <c r="PKB3" s="1259"/>
      <c r="PKC3" s="1259"/>
      <c r="PKD3" s="1259"/>
      <c r="PKE3" s="1259"/>
      <c r="PKF3" s="1259"/>
      <c r="PKG3" s="1259"/>
      <c r="PKH3" s="1259"/>
      <c r="PKI3" s="1259"/>
      <c r="PKJ3" s="1259"/>
      <c r="PKK3" s="1259"/>
      <c r="PKL3" s="1259"/>
      <c r="PKM3" s="1259"/>
      <c r="PKN3" s="1259"/>
      <c r="PKO3" s="1259"/>
      <c r="PKP3" s="1259"/>
      <c r="PKQ3" s="1259"/>
      <c r="PKR3" s="1259"/>
      <c r="PKS3" s="1259"/>
      <c r="PKT3" s="1259"/>
      <c r="PKU3" s="1259"/>
      <c r="PKV3" s="1259"/>
      <c r="PKW3" s="1259"/>
      <c r="PKX3" s="1259"/>
      <c r="PKY3" s="1259"/>
      <c r="PKZ3" s="1259"/>
      <c r="PLA3" s="1259"/>
      <c r="PLB3" s="1259"/>
      <c r="PLC3" s="1259"/>
      <c r="PLD3" s="1259"/>
      <c r="PLE3" s="1259"/>
      <c r="PLF3" s="1259"/>
      <c r="PLG3" s="1259"/>
      <c r="PLH3" s="1259"/>
      <c r="PLI3" s="1259"/>
      <c r="PLJ3" s="1259"/>
      <c r="PLK3" s="1259"/>
      <c r="PLL3" s="1259"/>
      <c r="PLM3" s="1259"/>
      <c r="PLN3" s="1259"/>
      <c r="PLO3" s="1259"/>
      <c r="PLP3" s="1259"/>
      <c r="PLQ3" s="1259"/>
      <c r="PLR3" s="1259"/>
      <c r="PLS3" s="1259"/>
      <c r="PLT3" s="1259"/>
      <c r="PLU3" s="1259"/>
      <c r="PLV3" s="1259"/>
      <c r="PLW3" s="1259"/>
      <c r="PLX3" s="1259"/>
      <c r="PLY3" s="1259"/>
      <c r="PLZ3" s="1259"/>
      <c r="PMA3" s="1259"/>
      <c r="PMB3" s="1259"/>
      <c r="PMC3" s="1259"/>
      <c r="PMD3" s="1259"/>
      <c r="PME3" s="1259"/>
      <c r="PMF3" s="1259"/>
      <c r="PMG3" s="1259"/>
      <c r="PMH3" s="1259"/>
      <c r="PMI3" s="1259"/>
      <c r="PMJ3" s="1259"/>
      <c r="PMK3" s="1259"/>
      <c r="PML3" s="1259"/>
      <c r="PMM3" s="1259"/>
      <c r="PMN3" s="1259"/>
      <c r="PMO3" s="1259"/>
      <c r="PMP3" s="1259"/>
      <c r="PMQ3" s="1259"/>
      <c r="PMR3" s="1259"/>
      <c r="PMS3" s="1259"/>
      <c r="PMT3" s="1259"/>
      <c r="PMU3" s="1259"/>
      <c r="PMV3" s="1259"/>
      <c r="PMW3" s="1259"/>
      <c r="PMX3" s="1259"/>
      <c r="PMY3" s="1259"/>
      <c r="PMZ3" s="1259"/>
      <c r="PNA3" s="1259"/>
      <c r="PNB3" s="1259"/>
      <c r="PNC3" s="1259"/>
      <c r="PND3" s="1259"/>
      <c r="PNE3" s="1259"/>
      <c r="PNF3" s="1259"/>
      <c r="PNG3" s="1259"/>
      <c r="PNH3" s="1259"/>
      <c r="PNI3" s="1259"/>
      <c r="PNJ3" s="1259"/>
      <c r="PNK3" s="1259"/>
      <c r="PNL3" s="1259"/>
      <c r="PNM3" s="1259"/>
      <c r="PNN3" s="1259"/>
      <c r="PNO3" s="1259"/>
      <c r="PNP3" s="1259"/>
      <c r="PNQ3" s="1259"/>
      <c r="PNR3" s="1259"/>
      <c r="PNS3" s="1259"/>
      <c r="PNT3" s="1259"/>
      <c r="PNU3" s="1259"/>
      <c r="PNV3" s="1259"/>
      <c r="PNW3" s="1259"/>
      <c r="PNX3" s="1259"/>
      <c r="PNY3" s="1259"/>
      <c r="PNZ3" s="1259"/>
      <c r="POA3" s="1259"/>
      <c r="POB3" s="1259"/>
      <c r="POC3" s="1259"/>
      <c r="POD3" s="1259"/>
      <c r="POE3" s="1259"/>
      <c r="POF3" s="1259"/>
      <c r="POG3" s="1259"/>
      <c r="POH3" s="1259"/>
      <c r="POI3" s="1259"/>
      <c r="POJ3" s="1259"/>
      <c r="POK3" s="1259"/>
      <c r="POL3" s="1259"/>
      <c r="POM3" s="1259"/>
      <c r="PON3" s="1259"/>
      <c r="POO3" s="1259"/>
      <c r="POP3" s="1259"/>
      <c r="POQ3" s="1259"/>
      <c r="POR3" s="1259"/>
      <c r="POS3" s="1259"/>
      <c r="POT3" s="1259"/>
      <c r="POU3" s="1259"/>
      <c r="POV3" s="1259"/>
      <c r="POW3" s="1259"/>
      <c r="POX3" s="1259"/>
      <c r="POY3" s="1259"/>
      <c r="POZ3" s="1259"/>
      <c r="PPA3" s="1259"/>
      <c r="PPB3" s="1259"/>
      <c r="PPC3" s="1259"/>
      <c r="PPD3" s="1259"/>
      <c r="PPE3" s="1259"/>
      <c r="PPF3" s="1259"/>
      <c r="PPG3" s="1259"/>
      <c r="PPH3" s="1259"/>
      <c r="PPI3" s="1259"/>
      <c r="PPJ3" s="1259"/>
      <c r="PPK3" s="1259"/>
      <c r="PPL3" s="1259"/>
      <c r="PPM3" s="1259"/>
      <c r="PPN3" s="1259"/>
      <c r="PPO3" s="1259"/>
      <c r="PPP3" s="1259"/>
      <c r="PPQ3" s="1259"/>
      <c r="PPR3" s="1259"/>
      <c r="PPS3" s="1259"/>
      <c r="PPT3" s="1259"/>
      <c r="PPU3" s="1259"/>
      <c r="PPV3" s="1259"/>
      <c r="PPW3" s="1259"/>
      <c r="PPX3" s="1259"/>
      <c r="PPY3" s="1259"/>
      <c r="PPZ3" s="1259"/>
      <c r="PQA3" s="1259"/>
      <c r="PQB3" s="1259"/>
      <c r="PQC3" s="1259"/>
      <c r="PQD3" s="1259"/>
      <c r="PQE3" s="1259"/>
      <c r="PQF3" s="1259"/>
      <c r="PQG3" s="1259"/>
      <c r="PQH3" s="1259"/>
      <c r="PQI3" s="1259"/>
      <c r="PQJ3" s="1259"/>
      <c r="PQK3" s="1259"/>
      <c r="PQL3" s="1259"/>
      <c r="PQM3" s="1259"/>
      <c r="PQN3" s="1259"/>
      <c r="PQO3" s="1259"/>
      <c r="PQP3" s="1259"/>
      <c r="PQQ3" s="1259"/>
      <c r="PQR3" s="1259"/>
      <c r="PQS3" s="1259"/>
      <c r="PQT3" s="1259"/>
      <c r="PQU3" s="1259"/>
      <c r="PQV3" s="1259"/>
      <c r="PQW3" s="1259"/>
      <c r="PQX3" s="1259"/>
      <c r="PQY3" s="1259"/>
      <c r="PQZ3" s="1259"/>
      <c r="PRA3" s="1259"/>
      <c r="PRB3" s="1259"/>
      <c r="PRC3" s="1259"/>
      <c r="PRD3" s="1259"/>
      <c r="PRE3" s="1259"/>
      <c r="PRF3" s="1259"/>
      <c r="PRG3" s="1259"/>
      <c r="PRH3" s="1259"/>
      <c r="PRI3" s="1259"/>
      <c r="PRJ3" s="1259"/>
      <c r="PRK3" s="1259"/>
      <c r="PRL3" s="1259"/>
      <c r="PRM3" s="1259"/>
      <c r="PRN3" s="1259"/>
      <c r="PRO3" s="1259"/>
      <c r="PRP3" s="1259"/>
      <c r="PRQ3" s="1259"/>
      <c r="PRR3" s="1259"/>
      <c r="PRS3" s="1259"/>
      <c r="PRT3" s="1259"/>
      <c r="PRU3" s="1259"/>
      <c r="PRV3" s="1259"/>
      <c r="PRW3" s="1259"/>
      <c r="PRX3" s="1259"/>
      <c r="PRY3" s="1259"/>
      <c r="PRZ3" s="1259"/>
      <c r="PSA3" s="1259"/>
      <c r="PSB3" s="1259"/>
      <c r="PSC3" s="1259"/>
      <c r="PSD3" s="1259"/>
      <c r="PSE3" s="1259"/>
      <c r="PSF3" s="1259"/>
      <c r="PSG3" s="1259"/>
      <c r="PSH3" s="1259"/>
      <c r="PSI3" s="1259"/>
      <c r="PSJ3" s="1259"/>
      <c r="PSK3" s="1259"/>
      <c r="PSL3" s="1259"/>
      <c r="PSM3" s="1259"/>
      <c r="PSN3" s="1259"/>
      <c r="PSO3" s="1259"/>
      <c r="PSP3" s="1259"/>
      <c r="PSQ3" s="1259"/>
      <c r="PSR3" s="1259"/>
      <c r="PSS3" s="1259"/>
      <c r="PST3" s="1259"/>
      <c r="PSU3" s="1259"/>
      <c r="PSV3" s="1259"/>
      <c r="PSW3" s="1259"/>
      <c r="PSX3" s="1259"/>
      <c r="PSY3" s="1259"/>
      <c r="PSZ3" s="1259"/>
      <c r="PTA3" s="1259"/>
      <c r="PTB3" s="1259"/>
      <c r="PTC3" s="1259"/>
      <c r="PTD3" s="1259"/>
      <c r="PTE3" s="1259"/>
      <c r="PTF3" s="1259"/>
      <c r="PTG3" s="1259"/>
      <c r="PTH3" s="1259"/>
      <c r="PTI3" s="1259"/>
      <c r="PTJ3" s="1259"/>
      <c r="PTK3" s="1259"/>
      <c r="PTL3" s="1259"/>
      <c r="PTM3" s="1259"/>
      <c r="PTN3" s="1259"/>
      <c r="PTO3" s="1259"/>
      <c r="PTP3" s="1259"/>
      <c r="PTQ3" s="1259"/>
      <c r="PTR3" s="1259"/>
      <c r="PTS3" s="1259"/>
      <c r="PTT3" s="1259"/>
      <c r="PTU3" s="1259"/>
      <c r="PTV3" s="1259"/>
      <c r="PTW3" s="1259"/>
      <c r="PTX3" s="1259"/>
      <c r="PTY3" s="1259"/>
      <c r="PTZ3" s="1259"/>
      <c r="PUA3" s="1259"/>
      <c r="PUB3" s="1259"/>
      <c r="PUC3" s="1259"/>
      <c r="PUD3" s="1259"/>
      <c r="PUE3" s="1259"/>
      <c r="PUF3" s="1259"/>
      <c r="PUG3" s="1259"/>
      <c r="PUH3" s="1259"/>
      <c r="PUI3" s="1259"/>
      <c r="PUJ3" s="1259"/>
      <c r="PUK3" s="1259"/>
      <c r="PUL3" s="1259"/>
      <c r="PUM3" s="1259"/>
      <c r="PUN3" s="1259"/>
      <c r="PUO3" s="1259"/>
      <c r="PUP3" s="1259"/>
      <c r="PUQ3" s="1259"/>
      <c r="PUR3" s="1259"/>
      <c r="PUS3" s="1259"/>
      <c r="PUT3" s="1259"/>
      <c r="PUU3" s="1259"/>
      <c r="PUV3" s="1259"/>
      <c r="PUW3" s="1259"/>
      <c r="PUX3" s="1259"/>
      <c r="PUY3" s="1259"/>
      <c r="PUZ3" s="1259"/>
      <c r="PVA3" s="1259"/>
      <c r="PVB3" s="1259"/>
      <c r="PVC3" s="1259"/>
      <c r="PVD3" s="1259"/>
      <c r="PVE3" s="1259"/>
      <c r="PVF3" s="1259"/>
      <c r="PVG3" s="1259"/>
      <c r="PVH3" s="1259"/>
      <c r="PVI3" s="1259"/>
      <c r="PVJ3" s="1259"/>
      <c r="PVK3" s="1259"/>
      <c r="PVL3" s="1259"/>
      <c r="PVM3" s="1259"/>
      <c r="PVN3" s="1259"/>
      <c r="PVO3" s="1259"/>
      <c r="PVP3" s="1259"/>
      <c r="PVQ3" s="1259"/>
      <c r="PVR3" s="1259"/>
      <c r="PVS3" s="1259"/>
      <c r="PVT3" s="1259"/>
      <c r="PVU3" s="1259"/>
      <c r="PVV3" s="1259"/>
      <c r="PVW3" s="1259"/>
      <c r="PVX3" s="1259"/>
      <c r="PVY3" s="1259"/>
      <c r="PVZ3" s="1259"/>
      <c r="PWA3" s="1259"/>
      <c r="PWB3" s="1259"/>
      <c r="PWC3" s="1259"/>
      <c r="PWD3" s="1259"/>
      <c r="PWE3" s="1259"/>
      <c r="PWF3" s="1259"/>
      <c r="PWG3" s="1259"/>
      <c r="PWH3" s="1259"/>
      <c r="PWI3" s="1259"/>
      <c r="PWJ3" s="1259"/>
      <c r="PWK3" s="1259"/>
      <c r="PWL3" s="1259"/>
      <c r="PWM3" s="1259"/>
      <c r="PWN3" s="1259"/>
      <c r="PWO3" s="1259"/>
      <c r="PWP3" s="1259"/>
      <c r="PWQ3" s="1259"/>
      <c r="PWR3" s="1259"/>
      <c r="PWS3" s="1259"/>
      <c r="PWT3" s="1259"/>
      <c r="PWU3" s="1259"/>
      <c r="PWV3" s="1259"/>
      <c r="PWW3" s="1259"/>
      <c r="PWX3" s="1259"/>
      <c r="PWY3" s="1259"/>
      <c r="PWZ3" s="1259"/>
      <c r="PXA3" s="1259"/>
      <c r="PXB3" s="1259"/>
      <c r="PXC3" s="1259"/>
      <c r="PXD3" s="1259"/>
      <c r="PXE3" s="1259"/>
      <c r="PXF3" s="1259"/>
      <c r="PXG3" s="1259"/>
      <c r="PXH3" s="1259"/>
      <c r="PXI3" s="1259"/>
      <c r="PXJ3" s="1259"/>
      <c r="PXK3" s="1259"/>
      <c r="PXL3" s="1259"/>
      <c r="PXM3" s="1259"/>
      <c r="PXN3" s="1259"/>
      <c r="PXO3" s="1259"/>
      <c r="PXP3" s="1259"/>
      <c r="PXQ3" s="1259"/>
      <c r="PXR3" s="1259"/>
      <c r="PXS3" s="1259"/>
      <c r="PXT3" s="1259"/>
      <c r="PXU3" s="1259"/>
      <c r="PXV3" s="1259"/>
      <c r="PXW3" s="1259"/>
      <c r="PXX3" s="1259"/>
      <c r="PXY3" s="1259"/>
      <c r="PXZ3" s="1259"/>
      <c r="PYA3" s="1259"/>
      <c r="PYB3" s="1259"/>
      <c r="PYC3" s="1259"/>
      <c r="PYD3" s="1259"/>
      <c r="PYE3" s="1259"/>
      <c r="PYF3" s="1259"/>
      <c r="PYG3" s="1259"/>
      <c r="PYH3" s="1259"/>
      <c r="PYI3" s="1259"/>
      <c r="PYJ3" s="1259"/>
      <c r="PYK3" s="1259"/>
      <c r="PYL3" s="1259"/>
      <c r="PYM3" s="1259"/>
      <c r="PYN3" s="1259"/>
      <c r="PYO3" s="1259"/>
      <c r="PYP3" s="1259"/>
      <c r="PYQ3" s="1259"/>
      <c r="PYR3" s="1259"/>
      <c r="PYS3" s="1259"/>
      <c r="PYT3" s="1259"/>
      <c r="PYU3" s="1259"/>
      <c r="PYV3" s="1259"/>
      <c r="PYW3" s="1259"/>
      <c r="PYX3" s="1259"/>
      <c r="PYY3" s="1259"/>
      <c r="PYZ3" s="1259"/>
      <c r="PZA3" s="1259"/>
      <c r="PZB3" s="1259"/>
      <c r="PZC3" s="1259"/>
      <c r="PZD3" s="1259"/>
      <c r="PZE3" s="1259"/>
      <c r="PZF3" s="1259"/>
      <c r="PZG3" s="1259"/>
      <c r="PZH3" s="1259"/>
      <c r="PZI3" s="1259"/>
      <c r="PZJ3" s="1259"/>
      <c r="PZK3" s="1259"/>
      <c r="PZL3" s="1259"/>
      <c r="PZM3" s="1259"/>
      <c r="PZN3" s="1259"/>
      <c r="PZO3" s="1259"/>
      <c r="PZP3" s="1259"/>
      <c r="PZQ3" s="1259"/>
      <c r="PZR3" s="1259"/>
      <c r="PZS3" s="1259"/>
      <c r="PZT3" s="1259"/>
      <c r="PZU3" s="1259"/>
      <c r="PZV3" s="1259"/>
      <c r="PZW3" s="1259"/>
      <c r="PZX3" s="1259"/>
      <c r="PZY3" s="1259"/>
      <c r="PZZ3" s="1259"/>
      <c r="QAA3" s="1259"/>
      <c r="QAB3" s="1259"/>
      <c r="QAC3" s="1259"/>
      <c r="QAD3" s="1259"/>
      <c r="QAE3" s="1259"/>
      <c r="QAF3" s="1259"/>
      <c r="QAG3" s="1259"/>
      <c r="QAH3" s="1259"/>
      <c r="QAI3" s="1259"/>
      <c r="QAJ3" s="1259"/>
      <c r="QAK3" s="1259"/>
      <c r="QAL3" s="1259"/>
      <c r="QAM3" s="1259"/>
      <c r="QAN3" s="1259"/>
      <c r="QAO3" s="1259"/>
      <c r="QAP3" s="1259"/>
      <c r="QAQ3" s="1259"/>
      <c r="QAR3" s="1259"/>
      <c r="QAS3" s="1259"/>
      <c r="QAT3" s="1259"/>
      <c r="QAU3" s="1259"/>
      <c r="QAV3" s="1259"/>
      <c r="QAW3" s="1259"/>
      <c r="QAX3" s="1259"/>
      <c r="QAY3" s="1259"/>
      <c r="QAZ3" s="1259"/>
      <c r="QBA3" s="1259"/>
      <c r="QBB3" s="1259"/>
      <c r="QBC3" s="1259"/>
      <c r="QBD3" s="1259"/>
      <c r="QBE3" s="1259"/>
      <c r="QBF3" s="1259"/>
      <c r="QBG3" s="1259"/>
      <c r="QBH3" s="1259"/>
      <c r="QBI3" s="1259"/>
      <c r="QBJ3" s="1259"/>
      <c r="QBK3" s="1259"/>
      <c r="QBL3" s="1259"/>
      <c r="QBM3" s="1259"/>
      <c r="QBN3" s="1259"/>
      <c r="QBO3" s="1259"/>
      <c r="QBP3" s="1259"/>
      <c r="QBQ3" s="1259"/>
      <c r="QBR3" s="1259"/>
      <c r="QBS3" s="1259"/>
      <c r="QBT3" s="1259"/>
      <c r="QBU3" s="1259"/>
      <c r="QBV3" s="1259"/>
      <c r="QBW3" s="1259"/>
      <c r="QBX3" s="1259"/>
      <c r="QBY3" s="1259"/>
      <c r="QBZ3" s="1259"/>
      <c r="QCA3" s="1259"/>
      <c r="QCB3" s="1259"/>
      <c r="QCC3" s="1259"/>
      <c r="QCD3" s="1259"/>
      <c r="QCE3" s="1259"/>
      <c r="QCF3" s="1259"/>
      <c r="QCG3" s="1259"/>
      <c r="QCH3" s="1259"/>
      <c r="QCI3" s="1259"/>
      <c r="QCJ3" s="1259"/>
      <c r="QCK3" s="1259"/>
      <c r="QCL3" s="1259"/>
      <c r="QCM3" s="1259"/>
      <c r="QCN3" s="1259"/>
      <c r="QCO3" s="1259"/>
      <c r="QCP3" s="1259"/>
      <c r="QCQ3" s="1259"/>
      <c r="QCR3" s="1259"/>
      <c r="QCS3" s="1259"/>
      <c r="QCT3" s="1259"/>
      <c r="QCU3" s="1259"/>
      <c r="QCV3" s="1259"/>
      <c r="QCW3" s="1259"/>
      <c r="QCX3" s="1259"/>
      <c r="QCY3" s="1259"/>
      <c r="QCZ3" s="1259"/>
      <c r="QDA3" s="1259"/>
      <c r="QDB3" s="1259"/>
      <c r="QDC3" s="1259"/>
      <c r="QDD3" s="1259"/>
      <c r="QDE3" s="1259"/>
      <c r="QDF3" s="1259"/>
      <c r="QDG3" s="1259"/>
      <c r="QDH3" s="1259"/>
      <c r="QDI3" s="1259"/>
      <c r="QDJ3" s="1259"/>
      <c r="QDK3" s="1259"/>
      <c r="QDL3" s="1259"/>
      <c r="QDM3" s="1259"/>
      <c r="QDN3" s="1259"/>
      <c r="QDO3" s="1259"/>
      <c r="QDP3" s="1259"/>
      <c r="QDQ3" s="1259"/>
      <c r="QDR3" s="1259"/>
      <c r="QDS3" s="1259"/>
      <c r="QDT3" s="1259"/>
      <c r="QDU3" s="1259"/>
      <c r="QDV3" s="1259"/>
      <c r="QDW3" s="1259"/>
      <c r="QDX3" s="1259"/>
      <c r="QDY3" s="1259"/>
      <c r="QDZ3" s="1259"/>
      <c r="QEA3" s="1259"/>
      <c r="QEB3" s="1259"/>
      <c r="QEC3" s="1259"/>
      <c r="QED3" s="1259"/>
      <c r="QEE3" s="1259"/>
      <c r="QEF3" s="1259"/>
      <c r="QEG3" s="1259"/>
      <c r="QEH3" s="1259"/>
      <c r="QEI3" s="1259"/>
      <c r="QEJ3" s="1259"/>
      <c r="QEK3" s="1259"/>
      <c r="QEL3" s="1259"/>
      <c r="QEM3" s="1259"/>
      <c r="QEN3" s="1259"/>
      <c r="QEO3" s="1259"/>
      <c r="QEP3" s="1259"/>
      <c r="QEQ3" s="1259"/>
      <c r="QER3" s="1259"/>
      <c r="QES3" s="1259"/>
      <c r="QET3" s="1259"/>
      <c r="QEU3" s="1259"/>
      <c r="QEV3" s="1259"/>
      <c r="QEW3" s="1259"/>
      <c r="QEX3" s="1259"/>
      <c r="QEY3" s="1259"/>
      <c r="QEZ3" s="1259"/>
      <c r="QFA3" s="1259"/>
      <c r="QFB3" s="1259"/>
      <c r="QFC3" s="1259"/>
      <c r="QFD3" s="1259"/>
      <c r="QFE3" s="1259"/>
      <c r="QFF3" s="1259"/>
      <c r="QFG3" s="1259"/>
      <c r="QFH3" s="1259"/>
      <c r="QFI3" s="1259"/>
      <c r="QFJ3" s="1259"/>
      <c r="QFK3" s="1259"/>
      <c r="QFL3" s="1259"/>
      <c r="QFM3" s="1259"/>
      <c r="QFN3" s="1259"/>
      <c r="QFO3" s="1259"/>
      <c r="QFP3" s="1259"/>
      <c r="QFQ3" s="1259"/>
      <c r="QFR3" s="1259"/>
      <c r="QFS3" s="1259"/>
      <c r="QFT3" s="1259"/>
      <c r="QFU3" s="1259"/>
      <c r="QFV3" s="1259"/>
      <c r="QFW3" s="1259"/>
      <c r="QFX3" s="1259"/>
      <c r="QFY3" s="1259"/>
      <c r="QFZ3" s="1259"/>
      <c r="QGA3" s="1259"/>
      <c r="QGB3" s="1259"/>
      <c r="QGC3" s="1259"/>
      <c r="QGD3" s="1259"/>
      <c r="QGE3" s="1259"/>
      <c r="QGF3" s="1259"/>
      <c r="QGG3" s="1259"/>
      <c r="QGH3" s="1259"/>
      <c r="QGI3" s="1259"/>
      <c r="QGJ3" s="1259"/>
      <c r="QGK3" s="1259"/>
      <c r="QGL3" s="1259"/>
      <c r="QGM3" s="1259"/>
      <c r="QGN3" s="1259"/>
      <c r="QGO3" s="1259"/>
      <c r="QGP3" s="1259"/>
      <c r="QGQ3" s="1259"/>
      <c r="QGR3" s="1259"/>
      <c r="QGS3" s="1259"/>
      <c r="QGT3" s="1259"/>
      <c r="QGU3" s="1259"/>
      <c r="QGV3" s="1259"/>
      <c r="QGW3" s="1259"/>
      <c r="QGX3" s="1259"/>
      <c r="QGY3" s="1259"/>
      <c r="QGZ3" s="1259"/>
      <c r="QHA3" s="1259"/>
      <c r="QHB3" s="1259"/>
      <c r="QHC3" s="1259"/>
      <c r="QHD3" s="1259"/>
      <c r="QHE3" s="1259"/>
      <c r="QHF3" s="1259"/>
      <c r="QHG3" s="1259"/>
      <c r="QHH3" s="1259"/>
      <c r="QHI3" s="1259"/>
      <c r="QHJ3" s="1259"/>
      <c r="QHK3" s="1259"/>
      <c r="QHL3" s="1259"/>
      <c r="QHM3" s="1259"/>
      <c r="QHN3" s="1259"/>
      <c r="QHO3" s="1259"/>
      <c r="QHP3" s="1259"/>
      <c r="QHQ3" s="1259"/>
      <c r="QHR3" s="1259"/>
      <c r="QHS3" s="1259"/>
      <c r="QHT3" s="1259"/>
      <c r="QHU3" s="1259"/>
      <c r="QHV3" s="1259"/>
      <c r="QHW3" s="1259"/>
      <c r="QHX3" s="1259"/>
      <c r="QHY3" s="1259"/>
      <c r="QHZ3" s="1259"/>
      <c r="QIA3" s="1259"/>
      <c r="QIB3" s="1259"/>
      <c r="QIC3" s="1259"/>
      <c r="QID3" s="1259"/>
      <c r="QIE3" s="1259"/>
      <c r="QIF3" s="1259"/>
      <c r="QIG3" s="1259"/>
      <c r="QIH3" s="1259"/>
      <c r="QII3" s="1259"/>
      <c r="QIJ3" s="1259"/>
      <c r="QIK3" s="1259"/>
      <c r="QIL3" s="1259"/>
      <c r="QIM3" s="1259"/>
      <c r="QIN3" s="1259"/>
      <c r="QIO3" s="1259"/>
      <c r="QIP3" s="1259"/>
      <c r="QIQ3" s="1259"/>
      <c r="QIR3" s="1259"/>
      <c r="QIS3" s="1259"/>
      <c r="QIT3" s="1259"/>
      <c r="QIU3" s="1259"/>
      <c r="QIV3" s="1259"/>
      <c r="QIW3" s="1259"/>
      <c r="QIX3" s="1259"/>
      <c r="QIY3" s="1259"/>
      <c r="QIZ3" s="1259"/>
      <c r="QJA3" s="1259"/>
      <c r="QJB3" s="1259"/>
      <c r="QJC3" s="1259"/>
      <c r="QJD3" s="1259"/>
      <c r="QJE3" s="1259"/>
      <c r="QJF3" s="1259"/>
      <c r="QJG3" s="1259"/>
      <c r="QJH3" s="1259"/>
      <c r="QJI3" s="1259"/>
      <c r="QJJ3" s="1259"/>
      <c r="QJK3" s="1259"/>
      <c r="QJL3" s="1259"/>
      <c r="QJM3" s="1259"/>
      <c r="QJN3" s="1259"/>
      <c r="QJO3" s="1259"/>
      <c r="QJP3" s="1259"/>
      <c r="QJQ3" s="1259"/>
      <c r="QJR3" s="1259"/>
      <c r="QJS3" s="1259"/>
      <c r="QJT3" s="1259"/>
      <c r="QJU3" s="1259"/>
      <c r="QJV3" s="1259"/>
      <c r="QJW3" s="1259"/>
      <c r="QJX3" s="1259"/>
      <c r="QJY3" s="1259"/>
      <c r="QJZ3" s="1259"/>
      <c r="QKA3" s="1259"/>
      <c r="QKB3" s="1259"/>
      <c r="QKC3" s="1259"/>
      <c r="QKD3" s="1259"/>
      <c r="QKE3" s="1259"/>
      <c r="QKF3" s="1259"/>
      <c r="QKG3" s="1259"/>
      <c r="QKH3" s="1259"/>
      <c r="QKI3" s="1259"/>
      <c r="QKJ3" s="1259"/>
      <c r="QKK3" s="1259"/>
      <c r="QKL3" s="1259"/>
      <c r="QKM3" s="1259"/>
      <c r="QKN3" s="1259"/>
      <c r="QKO3" s="1259"/>
      <c r="QKP3" s="1259"/>
      <c r="QKQ3" s="1259"/>
      <c r="QKR3" s="1259"/>
      <c r="QKS3" s="1259"/>
      <c r="QKT3" s="1259"/>
      <c r="QKU3" s="1259"/>
      <c r="QKV3" s="1259"/>
      <c r="QKW3" s="1259"/>
      <c r="QKX3" s="1259"/>
      <c r="QKY3" s="1259"/>
      <c r="QKZ3" s="1259"/>
      <c r="QLA3" s="1259"/>
      <c r="QLB3" s="1259"/>
      <c r="QLC3" s="1259"/>
      <c r="QLD3" s="1259"/>
      <c r="QLE3" s="1259"/>
      <c r="QLF3" s="1259"/>
      <c r="QLG3" s="1259"/>
      <c r="QLH3" s="1259"/>
      <c r="QLI3" s="1259"/>
      <c r="QLJ3" s="1259"/>
      <c r="QLK3" s="1259"/>
      <c r="QLL3" s="1259"/>
      <c r="QLM3" s="1259"/>
      <c r="QLN3" s="1259"/>
      <c r="QLO3" s="1259"/>
      <c r="QLP3" s="1259"/>
      <c r="QLQ3" s="1259"/>
      <c r="QLR3" s="1259"/>
      <c r="QLS3" s="1259"/>
      <c r="QLT3" s="1259"/>
      <c r="QLU3" s="1259"/>
      <c r="QLV3" s="1259"/>
      <c r="QLW3" s="1259"/>
      <c r="QLX3" s="1259"/>
      <c r="QLY3" s="1259"/>
      <c r="QLZ3" s="1259"/>
      <c r="QMA3" s="1259"/>
      <c r="QMB3" s="1259"/>
      <c r="QMC3" s="1259"/>
      <c r="QMD3" s="1259"/>
      <c r="QME3" s="1259"/>
      <c r="QMF3" s="1259"/>
      <c r="QMG3" s="1259"/>
      <c r="QMH3" s="1259"/>
      <c r="QMI3" s="1259"/>
      <c r="QMJ3" s="1259"/>
      <c r="QMK3" s="1259"/>
      <c r="QML3" s="1259"/>
      <c r="QMM3" s="1259"/>
      <c r="QMN3" s="1259"/>
      <c r="QMO3" s="1259"/>
      <c r="QMP3" s="1259"/>
      <c r="QMQ3" s="1259"/>
      <c r="QMR3" s="1259"/>
      <c r="QMS3" s="1259"/>
      <c r="QMT3" s="1259"/>
      <c r="QMU3" s="1259"/>
      <c r="QMV3" s="1259"/>
      <c r="QMW3" s="1259"/>
      <c r="QMX3" s="1259"/>
      <c r="QMY3" s="1259"/>
      <c r="QMZ3" s="1259"/>
      <c r="QNA3" s="1259"/>
      <c r="QNB3" s="1259"/>
      <c r="QNC3" s="1259"/>
      <c r="QND3" s="1259"/>
      <c r="QNE3" s="1259"/>
      <c r="QNF3" s="1259"/>
      <c r="QNG3" s="1259"/>
      <c r="QNH3" s="1259"/>
      <c r="QNI3" s="1259"/>
      <c r="QNJ3" s="1259"/>
      <c r="QNK3" s="1259"/>
      <c r="QNL3" s="1259"/>
      <c r="QNM3" s="1259"/>
      <c r="QNN3" s="1259"/>
      <c r="QNO3" s="1259"/>
      <c r="QNP3" s="1259"/>
      <c r="QNQ3" s="1259"/>
      <c r="QNR3" s="1259"/>
      <c r="QNS3" s="1259"/>
      <c r="QNT3" s="1259"/>
      <c r="QNU3" s="1259"/>
      <c r="QNV3" s="1259"/>
      <c r="QNW3" s="1259"/>
      <c r="QNX3" s="1259"/>
      <c r="QNY3" s="1259"/>
      <c r="QNZ3" s="1259"/>
      <c r="QOA3" s="1259"/>
      <c r="QOB3" s="1259"/>
      <c r="QOC3" s="1259"/>
      <c r="QOD3" s="1259"/>
      <c r="QOE3" s="1259"/>
      <c r="QOF3" s="1259"/>
      <c r="QOG3" s="1259"/>
      <c r="QOH3" s="1259"/>
      <c r="QOI3" s="1259"/>
      <c r="QOJ3" s="1259"/>
      <c r="QOK3" s="1259"/>
      <c r="QOL3" s="1259"/>
      <c r="QOM3" s="1259"/>
      <c r="QON3" s="1259"/>
      <c r="QOO3" s="1259"/>
      <c r="QOP3" s="1259"/>
      <c r="QOQ3" s="1259"/>
      <c r="QOR3" s="1259"/>
      <c r="QOS3" s="1259"/>
      <c r="QOT3" s="1259"/>
      <c r="QOU3" s="1259"/>
      <c r="QOV3" s="1259"/>
      <c r="QOW3" s="1259"/>
      <c r="QOX3" s="1259"/>
      <c r="QOY3" s="1259"/>
      <c r="QOZ3" s="1259"/>
      <c r="QPA3" s="1259"/>
      <c r="QPB3" s="1259"/>
      <c r="QPC3" s="1259"/>
      <c r="QPD3" s="1259"/>
      <c r="QPE3" s="1259"/>
      <c r="QPF3" s="1259"/>
      <c r="QPG3" s="1259"/>
      <c r="QPH3" s="1259"/>
      <c r="QPI3" s="1259"/>
      <c r="QPJ3" s="1259"/>
      <c r="QPK3" s="1259"/>
      <c r="QPL3" s="1259"/>
      <c r="QPM3" s="1259"/>
      <c r="QPN3" s="1259"/>
      <c r="QPO3" s="1259"/>
      <c r="QPP3" s="1259"/>
      <c r="QPQ3" s="1259"/>
      <c r="QPR3" s="1259"/>
      <c r="QPS3" s="1259"/>
      <c r="QPT3" s="1259"/>
      <c r="QPU3" s="1259"/>
      <c r="QPV3" s="1259"/>
      <c r="QPW3" s="1259"/>
      <c r="QPX3" s="1259"/>
      <c r="QPY3" s="1259"/>
      <c r="QPZ3" s="1259"/>
      <c r="QQA3" s="1259"/>
      <c r="QQB3" s="1259"/>
      <c r="QQC3" s="1259"/>
      <c r="QQD3" s="1259"/>
      <c r="QQE3" s="1259"/>
      <c r="QQF3" s="1259"/>
      <c r="QQG3" s="1259"/>
      <c r="QQH3" s="1259"/>
      <c r="QQI3" s="1259"/>
      <c r="QQJ3" s="1259"/>
      <c r="QQK3" s="1259"/>
      <c r="QQL3" s="1259"/>
      <c r="QQM3" s="1259"/>
      <c r="QQN3" s="1259"/>
      <c r="QQO3" s="1259"/>
      <c r="QQP3" s="1259"/>
      <c r="QQQ3" s="1259"/>
      <c r="QQR3" s="1259"/>
      <c r="QQS3" s="1259"/>
      <c r="QQT3" s="1259"/>
      <c r="QQU3" s="1259"/>
      <c r="QQV3" s="1259"/>
      <c r="QQW3" s="1259"/>
      <c r="QQX3" s="1259"/>
      <c r="QQY3" s="1259"/>
      <c r="QQZ3" s="1259"/>
      <c r="QRA3" s="1259"/>
      <c r="QRB3" s="1259"/>
      <c r="QRC3" s="1259"/>
      <c r="QRD3" s="1259"/>
      <c r="QRE3" s="1259"/>
      <c r="QRF3" s="1259"/>
      <c r="QRG3" s="1259"/>
      <c r="QRH3" s="1259"/>
      <c r="QRI3" s="1259"/>
      <c r="QRJ3" s="1259"/>
      <c r="QRK3" s="1259"/>
      <c r="QRL3" s="1259"/>
      <c r="QRM3" s="1259"/>
      <c r="QRN3" s="1259"/>
      <c r="QRO3" s="1259"/>
      <c r="QRP3" s="1259"/>
      <c r="QRQ3" s="1259"/>
      <c r="QRR3" s="1259"/>
      <c r="QRS3" s="1259"/>
      <c r="QRT3" s="1259"/>
      <c r="QRU3" s="1259"/>
      <c r="QRV3" s="1259"/>
      <c r="QRW3" s="1259"/>
      <c r="QRX3" s="1259"/>
      <c r="QRY3" s="1259"/>
      <c r="QRZ3" s="1259"/>
      <c r="QSA3" s="1259"/>
      <c r="QSB3" s="1259"/>
      <c r="QSC3" s="1259"/>
      <c r="QSD3" s="1259"/>
      <c r="QSE3" s="1259"/>
      <c r="QSF3" s="1259"/>
      <c r="QSG3" s="1259"/>
      <c r="QSH3" s="1259"/>
      <c r="QSI3" s="1259"/>
      <c r="QSJ3" s="1259"/>
      <c r="QSK3" s="1259"/>
      <c r="QSL3" s="1259"/>
      <c r="QSM3" s="1259"/>
      <c r="QSN3" s="1259"/>
      <c r="QSO3" s="1259"/>
      <c r="QSP3" s="1259"/>
      <c r="QSQ3" s="1259"/>
      <c r="QSR3" s="1259"/>
      <c r="QSS3" s="1259"/>
      <c r="QST3" s="1259"/>
      <c r="QSU3" s="1259"/>
      <c r="QSV3" s="1259"/>
      <c r="QSW3" s="1259"/>
      <c r="QSX3" s="1259"/>
      <c r="QSY3" s="1259"/>
      <c r="QSZ3" s="1259"/>
      <c r="QTA3" s="1259"/>
      <c r="QTB3" s="1259"/>
      <c r="QTC3" s="1259"/>
      <c r="QTD3" s="1259"/>
      <c r="QTE3" s="1259"/>
      <c r="QTF3" s="1259"/>
      <c r="QTG3" s="1259"/>
      <c r="QTH3" s="1259"/>
      <c r="QTI3" s="1259"/>
      <c r="QTJ3" s="1259"/>
      <c r="QTK3" s="1259"/>
      <c r="QTL3" s="1259"/>
      <c r="QTM3" s="1259"/>
      <c r="QTN3" s="1259"/>
      <c r="QTO3" s="1259"/>
      <c r="QTP3" s="1259"/>
      <c r="QTQ3" s="1259"/>
      <c r="QTR3" s="1259"/>
      <c r="QTS3" s="1259"/>
      <c r="QTT3" s="1259"/>
      <c r="QTU3" s="1259"/>
      <c r="QTV3" s="1259"/>
      <c r="QTW3" s="1259"/>
      <c r="QTX3" s="1259"/>
      <c r="QTY3" s="1259"/>
      <c r="QTZ3" s="1259"/>
      <c r="QUA3" s="1259"/>
      <c r="QUB3" s="1259"/>
      <c r="QUC3" s="1259"/>
      <c r="QUD3" s="1259"/>
      <c r="QUE3" s="1259"/>
      <c r="QUF3" s="1259"/>
      <c r="QUG3" s="1259"/>
      <c r="QUH3" s="1259"/>
      <c r="QUI3" s="1259"/>
      <c r="QUJ3" s="1259"/>
      <c r="QUK3" s="1259"/>
      <c r="QUL3" s="1259"/>
      <c r="QUM3" s="1259"/>
      <c r="QUN3" s="1259"/>
      <c r="QUO3" s="1259"/>
      <c r="QUP3" s="1259"/>
      <c r="QUQ3" s="1259"/>
      <c r="QUR3" s="1259"/>
      <c r="QUS3" s="1259"/>
      <c r="QUT3" s="1259"/>
      <c r="QUU3" s="1259"/>
      <c r="QUV3" s="1259"/>
      <c r="QUW3" s="1259"/>
      <c r="QUX3" s="1259"/>
      <c r="QUY3" s="1259"/>
      <c r="QUZ3" s="1259"/>
      <c r="QVA3" s="1259"/>
      <c r="QVB3" s="1259"/>
      <c r="QVC3" s="1259"/>
      <c r="QVD3" s="1259"/>
      <c r="QVE3" s="1259"/>
      <c r="QVF3" s="1259"/>
      <c r="QVG3" s="1259"/>
      <c r="QVH3" s="1259"/>
      <c r="QVI3" s="1259"/>
      <c r="QVJ3" s="1259"/>
      <c r="QVK3" s="1259"/>
      <c r="QVL3" s="1259"/>
      <c r="QVM3" s="1259"/>
      <c r="QVN3" s="1259"/>
      <c r="QVO3" s="1259"/>
      <c r="QVP3" s="1259"/>
      <c r="QVQ3" s="1259"/>
      <c r="QVR3" s="1259"/>
      <c r="QVS3" s="1259"/>
      <c r="QVT3" s="1259"/>
      <c r="QVU3" s="1259"/>
      <c r="QVV3" s="1259"/>
      <c r="QVW3" s="1259"/>
      <c r="QVX3" s="1259"/>
      <c r="QVY3" s="1259"/>
      <c r="QVZ3" s="1259"/>
      <c r="QWA3" s="1259"/>
      <c r="QWB3" s="1259"/>
      <c r="QWC3" s="1259"/>
      <c r="QWD3" s="1259"/>
      <c r="QWE3" s="1259"/>
      <c r="QWF3" s="1259"/>
      <c r="QWG3" s="1259"/>
      <c r="QWH3" s="1259"/>
      <c r="QWI3" s="1259"/>
      <c r="QWJ3" s="1259"/>
      <c r="QWK3" s="1259"/>
      <c r="QWL3" s="1259"/>
      <c r="QWM3" s="1259"/>
      <c r="QWN3" s="1259"/>
      <c r="QWO3" s="1259"/>
      <c r="QWP3" s="1259"/>
      <c r="QWQ3" s="1259"/>
      <c r="QWR3" s="1259"/>
      <c r="QWS3" s="1259"/>
      <c r="QWT3" s="1259"/>
      <c r="QWU3" s="1259"/>
      <c r="QWV3" s="1259"/>
      <c r="QWW3" s="1259"/>
      <c r="QWX3" s="1259"/>
      <c r="QWY3" s="1259"/>
      <c r="QWZ3" s="1259"/>
      <c r="QXA3" s="1259"/>
      <c r="QXB3" s="1259"/>
      <c r="QXC3" s="1259"/>
      <c r="QXD3" s="1259"/>
      <c r="QXE3" s="1259"/>
      <c r="QXF3" s="1259"/>
      <c r="QXG3" s="1259"/>
      <c r="QXH3" s="1259"/>
      <c r="QXI3" s="1259"/>
      <c r="QXJ3" s="1259"/>
      <c r="QXK3" s="1259"/>
      <c r="QXL3" s="1259"/>
      <c r="QXM3" s="1259"/>
      <c r="QXN3" s="1259"/>
      <c r="QXO3" s="1259"/>
      <c r="QXP3" s="1259"/>
      <c r="QXQ3" s="1259"/>
      <c r="QXR3" s="1259"/>
      <c r="QXS3" s="1259"/>
      <c r="QXT3" s="1259"/>
      <c r="QXU3" s="1259"/>
      <c r="QXV3" s="1259"/>
      <c r="QXW3" s="1259"/>
      <c r="QXX3" s="1259"/>
      <c r="QXY3" s="1259"/>
      <c r="QXZ3" s="1259"/>
      <c r="QYA3" s="1259"/>
      <c r="QYB3" s="1259"/>
      <c r="QYC3" s="1259"/>
      <c r="QYD3" s="1259"/>
      <c r="QYE3" s="1259"/>
      <c r="QYF3" s="1259"/>
      <c r="QYG3" s="1259"/>
      <c r="QYH3" s="1259"/>
      <c r="QYI3" s="1259"/>
      <c r="QYJ3" s="1259"/>
      <c r="QYK3" s="1259"/>
      <c r="QYL3" s="1259"/>
      <c r="QYM3" s="1259"/>
      <c r="QYN3" s="1259"/>
      <c r="QYO3" s="1259"/>
      <c r="QYP3" s="1259"/>
      <c r="QYQ3" s="1259"/>
      <c r="QYR3" s="1259"/>
      <c r="QYS3" s="1259"/>
      <c r="QYT3" s="1259"/>
      <c r="QYU3" s="1259"/>
      <c r="QYV3" s="1259"/>
      <c r="QYW3" s="1259"/>
      <c r="QYX3" s="1259"/>
      <c r="QYY3" s="1259"/>
      <c r="QYZ3" s="1259"/>
      <c r="QZA3" s="1259"/>
      <c r="QZB3" s="1259"/>
      <c r="QZC3" s="1259"/>
      <c r="QZD3" s="1259"/>
      <c r="QZE3" s="1259"/>
      <c r="QZF3" s="1259"/>
      <c r="QZG3" s="1259"/>
      <c r="QZH3" s="1259"/>
      <c r="QZI3" s="1259"/>
      <c r="QZJ3" s="1259"/>
      <c r="QZK3" s="1259"/>
      <c r="QZL3" s="1259"/>
      <c r="QZM3" s="1259"/>
      <c r="QZN3" s="1259"/>
      <c r="QZO3" s="1259"/>
      <c r="QZP3" s="1259"/>
      <c r="QZQ3" s="1259"/>
      <c r="QZR3" s="1259"/>
      <c r="QZS3" s="1259"/>
      <c r="QZT3" s="1259"/>
      <c r="QZU3" s="1259"/>
      <c r="QZV3" s="1259"/>
      <c r="QZW3" s="1259"/>
      <c r="QZX3" s="1259"/>
      <c r="QZY3" s="1259"/>
      <c r="QZZ3" s="1259"/>
      <c r="RAA3" s="1259"/>
      <c r="RAB3" s="1259"/>
      <c r="RAC3" s="1259"/>
      <c r="RAD3" s="1259"/>
      <c r="RAE3" s="1259"/>
      <c r="RAF3" s="1259"/>
      <c r="RAG3" s="1259"/>
      <c r="RAH3" s="1259"/>
      <c r="RAI3" s="1259"/>
      <c r="RAJ3" s="1259"/>
      <c r="RAK3" s="1259"/>
      <c r="RAL3" s="1259"/>
      <c r="RAM3" s="1259"/>
      <c r="RAN3" s="1259"/>
      <c r="RAO3" s="1259"/>
      <c r="RAP3" s="1259"/>
      <c r="RAQ3" s="1259"/>
      <c r="RAR3" s="1259"/>
      <c r="RAS3" s="1259"/>
      <c r="RAT3" s="1259"/>
      <c r="RAU3" s="1259"/>
      <c r="RAV3" s="1259"/>
      <c r="RAW3" s="1259"/>
      <c r="RAX3" s="1259"/>
      <c r="RAY3" s="1259"/>
      <c r="RAZ3" s="1259"/>
      <c r="RBA3" s="1259"/>
      <c r="RBB3" s="1259"/>
      <c r="RBC3" s="1259"/>
      <c r="RBD3" s="1259"/>
      <c r="RBE3" s="1259"/>
      <c r="RBF3" s="1259"/>
      <c r="RBG3" s="1259"/>
      <c r="RBH3" s="1259"/>
      <c r="RBI3" s="1259"/>
      <c r="RBJ3" s="1259"/>
      <c r="RBK3" s="1259"/>
      <c r="RBL3" s="1259"/>
      <c r="RBM3" s="1259"/>
      <c r="RBN3" s="1259"/>
      <c r="RBO3" s="1259"/>
      <c r="RBP3" s="1259"/>
      <c r="RBQ3" s="1259"/>
      <c r="RBR3" s="1259"/>
      <c r="RBS3" s="1259"/>
      <c r="RBT3" s="1259"/>
      <c r="RBU3" s="1259"/>
      <c r="RBV3" s="1259"/>
      <c r="RBW3" s="1259"/>
      <c r="RBX3" s="1259"/>
      <c r="RBY3" s="1259"/>
      <c r="RBZ3" s="1259"/>
      <c r="RCA3" s="1259"/>
      <c r="RCB3" s="1259"/>
      <c r="RCC3" s="1259"/>
      <c r="RCD3" s="1259"/>
      <c r="RCE3" s="1259"/>
      <c r="RCF3" s="1259"/>
      <c r="RCG3" s="1259"/>
      <c r="RCH3" s="1259"/>
      <c r="RCI3" s="1259"/>
      <c r="RCJ3" s="1259"/>
      <c r="RCK3" s="1259"/>
      <c r="RCL3" s="1259"/>
      <c r="RCM3" s="1259"/>
      <c r="RCN3" s="1259"/>
      <c r="RCO3" s="1259"/>
      <c r="RCP3" s="1259"/>
      <c r="RCQ3" s="1259"/>
      <c r="RCR3" s="1259"/>
      <c r="RCS3" s="1259"/>
      <c r="RCT3" s="1259"/>
      <c r="RCU3" s="1259"/>
      <c r="RCV3" s="1259"/>
      <c r="RCW3" s="1259"/>
      <c r="RCX3" s="1259"/>
      <c r="RCY3" s="1259"/>
      <c r="RCZ3" s="1259"/>
      <c r="RDA3" s="1259"/>
      <c r="RDB3" s="1259"/>
      <c r="RDC3" s="1259"/>
      <c r="RDD3" s="1259"/>
      <c r="RDE3" s="1259"/>
      <c r="RDF3" s="1259"/>
      <c r="RDG3" s="1259"/>
      <c r="RDH3" s="1259"/>
      <c r="RDI3" s="1259"/>
      <c r="RDJ3" s="1259"/>
      <c r="RDK3" s="1259"/>
      <c r="RDL3" s="1259"/>
      <c r="RDM3" s="1259"/>
      <c r="RDN3" s="1259"/>
      <c r="RDO3" s="1259"/>
      <c r="RDP3" s="1259"/>
      <c r="RDQ3" s="1259"/>
      <c r="RDR3" s="1259"/>
      <c r="RDS3" s="1259"/>
      <c r="RDT3" s="1259"/>
      <c r="RDU3" s="1259"/>
      <c r="RDV3" s="1259"/>
      <c r="RDW3" s="1259"/>
      <c r="RDX3" s="1259"/>
      <c r="RDY3" s="1259"/>
      <c r="RDZ3" s="1259"/>
      <c r="REA3" s="1259"/>
      <c r="REB3" s="1259"/>
      <c r="REC3" s="1259"/>
      <c r="RED3" s="1259"/>
      <c r="REE3" s="1259"/>
      <c r="REF3" s="1259"/>
      <c r="REG3" s="1259"/>
      <c r="REH3" s="1259"/>
      <c r="REI3" s="1259"/>
      <c r="REJ3" s="1259"/>
      <c r="REK3" s="1259"/>
      <c r="REL3" s="1259"/>
      <c r="REM3" s="1259"/>
      <c r="REN3" s="1259"/>
      <c r="REO3" s="1259"/>
      <c r="REP3" s="1259"/>
      <c r="REQ3" s="1259"/>
      <c r="RER3" s="1259"/>
      <c r="RES3" s="1259"/>
      <c r="RET3" s="1259"/>
      <c r="REU3" s="1259"/>
      <c r="REV3" s="1259"/>
      <c r="REW3" s="1259"/>
      <c r="REX3" s="1259"/>
      <c r="REY3" s="1259"/>
      <c r="REZ3" s="1259"/>
      <c r="RFA3" s="1259"/>
      <c r="RFB3" s="1259"/>
      <c r="RFC3" s="1259"/>
      <c r="RFD3" s="1259"/>
      <c r="RFE3" s="1259"/>
      <c r="RFF3" s="1259"/>
      <c r="RFG3" s="1259"/>
      <c r="RFH3" s="1259"/>
      <c r="RFI3" s="1259"/>
      <c r="RFJ3" s="1259"/>
      <c r="RFK3" s="1259"/>
      <c r="RFL3" s="1259"/>
      <c r="RFM3" s="1259"/>
      <c r="RFN3" s="1259"/>
      <c r="RFO3" s="1259"/>
      <c r="RFP3" s="1259"/>
      <c r="RFQ3" s="1259"/>
      <c r="RFR3" s="1259"/>
      <c r="RFS3" s="1259"/>
      <c r="RFT3" s="1259"/>
      <c r="RFU3" s="1259"/>
      <c r="RFV3" s="1259"/>
      <c r="RFW3" s="1259"/>
      <c r="RFX3" s="1259"/>
      <c r="RFY3" s="1259"/>
      <c r="RFZ3" s="1259"/>
      <c r="RGA3" s="1259"/>
      <c r="RGB3" s="1259"/>
      <c r="RGC3" s="1259"/>
      <c r="RGD3" s="1259"/>
      <c r="RGE3" s="1259"/>
      <c r="RGF3" s="1259"/>
      <c r="RGG3" s="1259"/>
      <c r="RGH3" s="1259"/>
      <c r="RGI3" s="1259"/>
      <c r="RGJ3" s="1259"/>
      <c r="RGK3" s="1259"/>
      <c r="RGL3" s="1259"/>
      <c r="RGM3" s="1259"/>
      <c r="RGN3" s="1259"/>
      <c r="RGO3" s="1259"/>
      <c r="RGP3" s="1259"/>
      <c r="RGQ3" s="1259"/>
      <c r="RGR3" s="1259"/>
      <c r="RGS3" s="1259"/>
      <c r="RGT3" s="1259"/>
      <c r="RGU3" s="1259"/>
      <c r="RGV3" s="1259"/>
      <c r="RGW3" s="1259"/>
      <c r="RGX3" s="1259"/>
      <c r="RGY3" s="1259"/>
      <c r="RGZ3" s="1259"/>
      <c r="RHA3" s="1259"/>
      <c r="RHB3" s="1259"/>
      <c r="RHC3" s="1259"/>
      <c r="RHD3" s="1259"/>
      <c r="RHE3" s="1259"/>
      <c r="RHF3" s="1259"/>
      <c r="RHG3" s="1259"/>
      <c r="RHH3" s="1259"/>
      <c r="RHI3" s="1259"/>
      <c r="RHJ3" s="1259"/>
      <c r="RHK3" s="1259"/>
      <c r="RHL3" s="1259"/>
      <c r="RHM3" s="1259"/>
      <c r="RHN3" s="1259"/>
      <c r="RHO3" s="1259"/>
      <c r="RHP3" s="1259"/>
      <c r="RHQ3" s="1259"/>
      <c r="RHR3" s="1259"/>
      <c r="RHS3" s="1259"/>
      <c r="RHT3" s="1259"/>
      <c r="RHU3" s="1259"/>
      <c r="RHV3" s="1259"/>
      <c r="RHW3" s="1259"/>
      <c r="RHX3" s="1259"/>
      <c r="RHY3" s="1259"/>
      <c r="RHZ3" s="1259"/>
      <c r="RIA3" s="1259"/>
      <c r="RIB3" s="1259"/>
      <c r="RIC3" s="1259"/>
      <c r="RID3" s="1259"/>
      <c r="RIE3" s="1259"/>
      <c r="RIF3" s="1259"/>
      <c r="RIG3" s="1259"/>
      <c r="RIH3" s="1259"/>
      <c r="RII3" s="1259"/>
      <c r="RIJ3" s="1259"/>
      <c r="RIK3" s="1259"/>
      <c r="RIL3" s="1259"/>
      <c r="RIM3" s="1259"/>
      <c r="RIN3" s="1259"/>
      <c r="RIO3" s="1259"/>
      <c r="RIP3" s="1259"/>
      <c r="RIQ3" s="1259"/>
      <c r="RIR3" s="1259"/>
      <c r="RIS3" s="1259"/>
      <c r="RIT3" s="1259"/>
      <c r="RIU3" s="1259"/>
      <c r="RIV3" s="1259"/>
      <c r="RIW3" s="1259"/>
      <c r="RIX3" s="1259"/>
      <c r="RIY3" s="1259"/>
      <c r="RIZ3" s="1259"/>
      <c r="RJA3" s="1259"/>
      <c r="RJB3" s="1259"/>
      <c r="RJC3" s="1259"/>
      <c r="RJD3" s="1259"/>
      <c r="RJE3" s="1259"/>
      <c r="RJF3" s="1259"/>
      <c r="RJG3" s="1259"/>
      <c r="RJH3" s="1259"/>
      <c r="RJI3" s="1259"/>
      <c r="RJJ3" s="1259"/>
      <c r="RJK3" s="1259"/>
      <c r="RJL3" s="1259"/>
      <c r="RJM3" s="1259"/>
      <c r="RJN3" s="1259"/>
      <c r="RJO3" s="1259"/>
      <c r="RJP3" s="1259"/>
      <c r="RJQ3" s="1259"/>
      <c r="RJR3" s="1259"/>
      <c r="RJS3" s="1259"/>
      <c r="RJT3" s="1259"/>
      <c r="RJU3" s="1259"/>
      <c r="RJV3" s="1259"/>
      <c r="RJW3" s="1259"/>
      <c r="RJX3" s="1259"/>
      <c r="RJY3" s="1259"/>
      <c r="RJZ3" s="1259"/>
      <c r="RKA3" s="1259"/>
      <c r="RKB3" s="1259"/>
      <c r="RKC3" s="1259"/>
      <c r="RKD3" s="1259"/>
      <c r="RKE3" s="1259"/>
      <c r="RKF3" s="1259"/>
      <c r="RKG3" s="1259"/>
      <c r="RKH3" s="1259"/>
      <c r="RKI3" s="1259"/>
      <c r="RKJ3" s="1259"/>
      <c r="RKK3" s="1259"/>
      <c r="RKL3" s="1259"/>
      <c r="RKM3" s="1259"/>
      <c r="RKN3" s="1259"/>
      <c r="RKO3" s="1259"/>
      <c r="RKP3" s="1259"/>
      <c r="RKQ3" s="1259"/>
      <c r="RKR3" s="1259"/>
      <c r="RKS3" s="1259"/>
      <c r="RKT3" s="1259"/>
      <c r="RKU3" s="1259"/>
      <c r="RKV3" s="1259"/>
      <c r="RKW3" s="1259"/>
      <c r="RKX3" s="1259"/>
      <c r="RKY3" s="1259"/>
      <c r="RKZ3" s="1259"/>
      <c r="RLA3" s="1259"/>
      <c r="RLB3" s="1259"/>
      <c r="RLC3" s="1259"/>
      <c r="RLD3" s="1259"/>
      <c r="RLE3" s="1259"/>
      <c r="RLF3" s="1259"/>
      <c r="RLG3" s="1259"/>
      <c r="RLH3" s="1259"/>
      <c r="RLI3" s="1259"/>
      <c r="RLJ3" s="1259"/>
      <c r="RLK3" s="1259"/>
      <c r="RLL3" s="1259"/>
      <c r="RLM3" s="1259"/>
      <c r="RLN3" s="1259"/>
      <c r="RLO3" s="1259"/>
      <c r="RLP3" s="1259"/>
      <c r="RLQ3" s="1259"/>
      <c r="RLR3" s="1259"/>
      <c r="RLS3" s="1259"/>
      <c r="RLT3" s="1259"/>
      <c r="RLU3" s="1259"/>
      <c r="RLV3" s="1259"/>
      <c r="RLW3" s="1259"/>
      <c r="RLX3" s="1259"/>
      <c r="RLY3" s="1259"/>
      <c r="RLZ3" s="1259"/>
      <c r="RMA3" s="1259"/>
      <c r="RMB3" s="1259"/>
      <c r="RMC3" s="1259"/>
      <c r="RMD3" s="1259"/>
      <c r="RME3" s="1259"/>
      <c r="RMF3" s="1259"/>
      <c r="RMG3" s="1259"/>
      <c r="RMH3" s="1259"/>
      <c r="RMI3" s="1259"/>
      <c r="RMJ3" s="1259"/>
      <c r="RMK3" s="1259"/>
      <c r="RML3" s="1259"/>
      <c r="RMM3" s="1259"/>
      <c r="RMN3" s="1259"/>
      <c r="RMO3" s="1259"/>
      <c r="RMP3" s="1259"/>
      <c r="RMQ3" s="1259"/>
      <c r="RMR3" s="1259"/>
      <c r="RMS3" s="1259"/>
      <c r="RMT3" s="1259"/>
      <c r="RMU3" s="1259"/>
      <c r="RMV3" s="1259"/>
      <c r="RMW3" s="1259"/>
      <c r="RMX3" s="1259"/>
      <c r="RMY3" s="1259"/>
      <c r="RMZ3" s="1259"/>
      <c r="RNA3" s="1259"/>
      <c r="RNB3" s="1259"/>
      <c r="RNC3" s="1259"/>
      <c r="RND3" s="1259"/>
      <c r="RNE3" s="1259"/>
      <c r="RNF3" s="1259"/>
      <c r="RNG3" s="1259"/>
      <c r="RNH3" s="1259"/>
      <c r="RNI3" s="1259"/>
      <c r="RNJ3" s="1259"/>
      <c r="RNK3" s="1259"/>
      <c r="RNL3" s="1259"/>
      <c r="RNM3" s="1259"/>
      <c r="RNN3" s="1259"/>
      <c r="RNO3" s="1259"/>
      <c r="RNP3" s="1259"/>
      <c r="RNQ3" s="1259"/>
      <c r="RNR3" s="1259"/>
      <c r="RNS3" s="1259"/>
      <c r="RNT3" s="1259"/>
      <c r="RNU3" s="1259"/>
      <c r="RNV3" s="1259"/>
      <c r="RNW3" s="1259"/>
      <c r="RNX3" s="1259"/>
      <c r="RNY3" s="1259"/>
      <c r="RNZ3" s="1259"/>
      <c r="ROA3" s="1259"/>
      <c r="ROB3" s="1259"/>
      <c r="ROC3" s="1259"/>
      <c r="ROD3" s="1259"/>
      <c r="ROE3" s="1259"/>
      <c r="ROF3" s="1259"/>
      <c r="ROG3" s="1259"/>
      <c r="ROH3" s="1259"/>
      <c r="ROI3" s="1259"/>
      <c r="ROJ3" s="1259"/>
      <c r="ROK3" s="1259"/>
      <c r="ROL3" s="1259"/>
      <c r="ROM3" s="1259"/>
      <c r="RON3" s="1259"/>
      <c r="ROO3" s="1259"/>
      <c r="ROP3" s="1259"/>
      <c r="ROQ3" s="1259"/>
      <c r="ROR3" s="1259"/>
      <c r="ROS3" s="1259"/>
      <c r="ROT3" s="1259"/>
      <c r="ROU3" s="1259"/>
      <c r="ROV3" s="1259"/>
      <c r="ROW3" s="1259"/>
      <c r="ROX3" s="1259"/>
      <c r="ROY3" s="1259"/>
      <c r="ROZ3" s="1259"/>
      <c r="RPA3" s="1259"/>
      <c r="RPB3" s="1259"/>
      <c r="RPC3" s="1259"/>
      <c r="RPD3" s="1259"/>
      <c r="RPE3" s="1259"/>
      <c r="RPF3" s="1259"/>
      <c r="RPG3" s="1259"/>
      <c r="RPH3" s="1259"/>
      <c r="RPI3" s="1259"/>
      <c r="RPJ3" s="1259"/>
      <c r="RPK3" s="1259"/>
      <c r="RPL3" s="1259"/>
      <c r="RPM3" s="1259"/>
      <c r="RPN3" s="1259"/>
      <c r="RPO3" s="1259"/>
      <c r="RPP3" s="1259"/>
      <c r="RPQ3" s="1259"/>
      <c r="RPR3" s="1259"/>
      <c r="RPS3" s="1259"/>
      <c r="RPT3" s="1259"/>
      <c r="RPU3" s="1259"/>
      <c r="RPV3" s="1259"/>
      <c r="RPW3" s="1259"/>
      <c r="RPX3" s="1259"/>
      <c r="RPY3" s="1259"/>
      <c r="RPZ3" s="1259"/>
      <c r="RQA3" s="1259"/>
      <c r="RQB3" s="1259"/>
      <c r="RQC3" s="1259"/>
      <c r="RQD3" s="1259"/>
      <c r="RQE3" s="1259"/>
      <c r="RQF3" s="1259"/>
      <c r="RQG3" s="1259"/>
      <c r="RQH3" s="1259"/>
      <c r="RQI3" s="1259"/>
      <c r="RQJ3" s="1259"/>
      <c r="RQK3" s="1259"/>
      <c r="RQL3" s="1259"/>
      <c r="RQM3" s="1259"/>
      <c r="RQN3" s="1259"/>
      <c r="RQO3" s="1259"/>
      <c r="RQP3" s="1259"/>
      <c r="RQQ3" s="1259"/>
      <c r="RQR3" s="1259"/>
      <c r="RQS3" s="1259"/>
      <c r="RQT3" s="1259"/>
      <c r="RQU3" s="1259"/>
      <c r="RQV3" s="1259"/>
      <c r="RQW3" s="1259"/>
      <c r="RQX3" s="1259"/>
      <c r="RQY3" s="1259"/>
      <c r="RQZ3" s="1259"/>
      <c r="RRA3" s="1259"/>
      <c r="RRB3" s="1259"/>
      <c r="RRC3" s="1259"/>
      <c r="RRD3" s="1259"/>
      <c r="RRE3" s="1259"/>
      <c r="RRF3" s="1259"/>
      <c r="RRG3" s="1259"/>
      <c r="RRH3" s="1259"/>
      <c r="RRI3" s="1259"/>
      <c r="RRJ3" s="1259"/>
      <c r="RRK3" s="1259"/>
      <c r="RRL3" s="1259"/>
      <c r="RRM3" s="1259"/>
      <c r="RRN3" s="1259"/>
      <c r="RRO3" s="1259"/>
      <c r="RRP3" s="1259"/>
      <c r="RRQ3" s="1259"/>
      <c r="RRR3" s="1259"/>
      <c r="RRS3" s="1259"/>
      <c r="RRT3" s="1259"/>
      <c r="RRU3" s="1259"/>
      <c r="RRV3" s="1259"/>
      <c r="RRW3" s="1259"/>
      <c r="RRX3" s="1259"/>
      <c r="RRY3" s="1259"/>
      <c r="RRZ3" s="1259"/>
      <c r="RSA3" s="1259"/>
      <c r="RSB3" s="1259"/>
      <c r="RSC3" s="1259"/>
      <c r="RSD3" s="1259"/>
      <c r="RSE3" s="1259"/>
      <c r="RSF3" s="1259"/>
      <c r="RSG3" s="1259"/>
      <c r="RSH3" s="1259"/>
      <c r="RSI3" s="1259"/>
      <c r="RSJ3" s="1259"/>
      <c r="RSK3" s="1259"/>
      <c r="RSL3" s="1259"/>
      <c r="RSM3" s="1259"/>
      <c r="RSN3" s="1259"/>
      <c r="RSO3" s="1259"/>
      <c r="RSP3" s="1259"/>
      <c r="RSQ3" s="1259"/>
      <c r="RSR3" s="1259"/>
      <c r="RSS3" s="1259"/>
      <c r="RST3" s="1259"/>
      <c r="RSU3" s="1259"/>
      <c r="RSV3" s="1259"/>
      <c r="RSW3" s="1259"/>
      <c r="RSX3" s="1259"/>
      <c r="RSY3" s="1259"/>
      <c r="RSZ3" s="1259"/>
      <c r="RTA3" s="1259"/>
      <c r="RTB3" s="1259"/>
      <c r="RTC3" s="1259"/>
      <c r="RTD3" s="1259"/>
      <c r="RTE3" s="1259"/>
      <c r="RTF3" s="1259"/>
      <c r="RTG3" s="1259"/>
      <c r="RTH3" s="1259"/>
      <c r="RTI3" s="1259"/>
      <c r="RTJ3" s="1259"/>
      <c r="RTK3" s="1259"/>
      <c r="RTL3" s="1259"/>
      <c r="RTM3" s="1259"/>
      <c r="RTN3" s="1259"/>
      <c r="RTO3" s="1259"/>
      <c r="RTP3" s="1259"/>
      <c r="RTQ3" s="1259"/>
      <c r="RTR3" s="1259"/>
      <c r="RTS3" s="1259"/>
      <c r="RTT3" s="1259"/>
      <c r="RTU3" s="1259"/>
      <c r="RTV3" s="1259"/>
      <c r="RTW3" s="1259"/>
      <c r="RTX3" s="1259"/>
      <c r="RTY3" s="1259"/>
      <c r="RTZ3" s="1259"/>
      <c r="RUA3" s="1259"/>
      <c r="RUB3" s="1259"/>
      <c r="RUC3" s="1259"/>
      <c r="RUD3" s="1259"/>
      <c r="RUE3" s="1259"/>
      <c r="RUF3" s="1259"/>
      <c r="RUG3" s="1259"/>
      <c r="RUH3" s="1259"/>
      <c r="RUI3" s="1259"/>
      <c r="RUJ3" s="1259"/>
      <c r="RUK3" s="1259"/>
      <c r="RUL3" s="1259"/>
      <c r="RUM3" s="1259"/>
      <c r="RUN3" s="1259"/>
      <c r="RUO3" s="1259"/>
      <c r="RUP3" s="1259"/>
      <c r="RUQ3" s="1259"/>
      <c r="RUR3" s="1259"/>
      <c r="RUS3" s="1259"/>
      <c r="RUT3" s="1259"/>
      <c r="RUU3" s="1259"/>
      <c r="RUV3" s="1259"/>
      <c r="RUW3" s="1259"/>
      <c r="RUX3" s="1259"/>
      <c r="RUY3" s="1259"/>
      <c r="RUZ3" s="1259"/>
      <c r="RVA3" s="1259"/>
      <c r="RVB3" s="1259"/>
      <c r="RVC3" s="1259"/>
      <c r="RVD3" s="1259"/>
      <c r="RVE3" s="1259"/>
      <c r="RVF3" s="1259"/>
      <c r="RVG3" s="1259"/>
      <c r="RVH3" s="1259"/>
      <c r="RVI3" s="1259"/>
      <c r="RVJ3" s="1259"/>
      <c r="RVK3" s="1259"/>
      <c r="RVL3" s="1259"/>
      <c r="RVM3" s="1259"/>
      <c r="RVN3" s="1259"/>
      <c r="RVO3" s="1259"/>
      <c r="RVP3" s="1259"/>
      <c r="RVQ3" s="1259"/>
      <c r="RVR3" s="1259"/>
      <c r="RVS3" s="1259"/>
      <c r="RVT3" s="1259"/>
      <c r="RVU3" s="1259"/>
      <c r="RVV3" s="1259"/>
      <c r="RVW3" s="1259"/>
      <c r="RVX3" s="1259"/>
      <c r="RVY3" s="1259"/>
      <c r="RVZ3" s="1259"/>
      <c r="RWA3" s="1259"/>
      <c r="RWB3" s="1259"/>
      <c r="RWC3" s="1259"/>
      <c r="RWD3" s="1259"/>
      <c r="RWE3" s="1259"/>
      <c r="RWF3" s="1259"/>
      <c r="RWG3" s="1259"/>
      <c r="RWH3" s="1259"/>
      <c r="RWI3" s="1259"/>
      <c r="RWJ3" s="1259"/>
      <c r="RWK3" s="1259"/>
      <c r="RWL3" s="1259"/>
      <c r="RWM3" s="1259"/>
      <c r="RWN3" s="1259"/>
      <c r="RWO3" s="1259"/>
      <c r="RWP3" s="1259"/>
      <c r="RWQ3" s="1259"/>
      <c r="RWR3" s="1259"/>
      <c r="RWS3" s="1259"/>
      <c r="RWT3" s="1259"/>
      <c r="RWU3" s="1259"/>
      <c r="RWV3" s="1259"/>
      <c r="RWW3" s="1259"/>
      <c r="RWX3" s="1259"/>
      <c r="RWY3" s="1259"/>
      <c r="RWZ3" s="1259"/>
      <c r="RXA3" s="1259"/>
      <c r="RXB3" s="1259"/>
      <c r="RXC3" s="1259"/>
      <c r="RXD3" s="1259"/>
      <c r="RXE3" s="1259"/>
      <c r="RXF3" s="1259"/>
      <c r="RXG3" s="1259"/>
      <c r="RXH3" s="1259"/>
      <c r="RXI3" s="1259"/>
      <c r="RXJ3" s="1259"/>
      <c r="RXK3" s="1259"/>
      <c r="RXL3" s="1259"/>
      <c r="RXM3" s="1259"/>
      <c r="RXN3" s="1259"/>
      <c r="RXO3" s="1259"/>
      <c r="RXP3" s="1259"/>
      <c r="RXQ3" s="1259"/>
      <c r="RXR3" s="1259"/>
      <c r="RXS3" s="1259"/>
      <c r="RXT3" s="1259"/>
      <c r="RXU3" s="1259"/>
      <c r="RXV3" s="1259"/>
      <c r="RXW3" s="1259"/>
      <c r="RXX3" s="1259"/>
      <c r="RXY3" s="1259"/>
      <c r="RXZ3" s="1259"/>
      <c r="RYA3" s="1259"/>
      <c r="RYB3" s="1259"/>
      <c r="RYC3" s="1259"/>
      <c r="RYD3" s="1259"/>
      <c r="RYE3" s="1259"/>
      <c r="RYF3" s="1259"/>
      <c r="RYG3" s="1259"/>
      <c r="RYH3" s="1259"/>
      <c r="RYI3" s="1259"/>
      <c r="RYJ3" s="1259"/>
      <c r="RYK3" s="1259"/>
      <c r="RYL3" s="1259"/>
      <c r="RYM3" s="1259"/>
      <c r="RYN3" s="1259"/>
      <c r="RYO3" s="1259"/>
      <c r="RYP3" s="1259"/>
      <c r="RYQ3" s="1259"/>
      <c r="RYR3" s="1259"/>
      <c r="RYS3" s="1259"/>
      <c r="RYT3" s="1259"/>
      <c r="RYU3" s="1259"/>
      <c r="RYV3" s="1259"/>
      <c r="RYW3" s="1259"/>
      <c r="RYX3" s="1259"/>
      <c r="RYY3" s="1259"/>
      <c r="RYZ3" s="1259"/>
      <c r="RZA3" s="1259"/>
      <c r="RZB3" s="1259"/>
      <c r="RZC3" s="1259"/>
      <c r="RZD3" s="1259"/>
      <c r="RZE3" s="1259"/>
      <c r="RZF3" s="1259"/>
      <c r="RZG3" s="1259"/>
      <c r="RZH3" s="1259"/>
      <c r="RZI3" s="1259"/>
      <c r="RZJ3" s="1259"/>
      <c r="RZK3" s="1259"/>
      <c r="RZL3" s="1259"/>
      <c r="RZM3" s="1259"/>
      <c r="RZN3" s="1259"/>
      <c r="RZO3" s="1259"/>
      <c r="RZP3" s="1259"/>
      <c r="RZQ3" s="1259"/>
      <c r="RZR3" s="1259"/>
      <c r="RZS3" s="1259"/>
      <c r="RZT3" s="1259"/>
      <c r="RZU3" s="1259"/>
      <c r="RZV3" s="1259"/>
      <c r="RZW3" s="1259"/>
      <c r="RZX3" s="1259"/>
      <c r="RZY3" s="1259"/>
      <c r="RZZ3" s="1259"/>
      <c r="SAA3" s="1259"/>
      <c r="SAB3" s="1259"/>
      <c r="SAC3" s="1259"/>
      <c r="SAD3" s="1259"/>
      <c r="SAE3" s="1259"/>
      <c r="SAF3" s="1259"/>
      <c r="SAG3" s="1259"/>
      <c r="SAH3" s="1259"/>
      <c r="SAI3" s="1259"/>
      <c r="SAJ3" s="1259"/>
      <c r="SAK3" s="1259"/>
      <c r="SAL3" s="1259"/>
      <c r="SAM3" s="1259"/>
      <c r="SAN3" s="1259"/>
      <c r="SAO3" s="1259"/>
      <c r="SAP3" s="1259"/>
      <c r="SAQ3" s="1259"/>
      <c r="SAR3" s="1259"/>
      <c r="SAS3" s="1259"/>
      <c r="SAT3" s="1259"/>
      <c r="SAU3" s="1259"/>
      <c r="SAV3" s="1259"/>
      <c r="SAW3" s="1259"/>
      <c r="SAX3" s="1259"/>
      <c r="SAY3" s="1259"/>
      <c r="SAZ3" s="1259"/>
      <c r="SBA3" s="1259"/>
      <c r="SBB3" s="1259"/>
      <c r="SBC3" s="1259"/>
      <c r="SBD3" s="1259"/>
      <c r="SBE3" s="1259"/>
      <c r="SBF3" s="1259"/>
      <c r="SBG3" s="1259"/>
      <c r="SBH3" s="1259"/>
      <c r="SBI3" s="1259"/>
      <c r="SBJ3" s="1259"/>
      <c r="SBK3" s="1259"/>
      <c r="SBL3" s="1259"/>
      <c r="SBM3" s="1259"/>
      <c r="SBN3" s="1259"/>
      <c r="SBO3" s="1259"/>
      <c r="SBP3" s="1259"/>
      <c r="SBQ3" s="1259"/>
      <c r="SBR3" s="1259"/>
      <c r="SBS3" s="1259"/>
      <c r="SBT3" s="1259"/>
      <c r="SBU3" s="1259"/>
      <c r="SBV3" s="1259"/>
      <c r="SBW3" s="1259"/>
      <c r="SBX3" s="1259"/>
      <c r="SBY3" s="1259"/>
      <c r="SBZ3" s="1259"/>
      <c r="SCA3" s="1259"/>
      <c r="SCB3" s="1259"/>
      <c r="SCC3" s="1259"/>
      <c r="SCD3" s="1259"/>
      <c r="SCE3" s="1259"/>
      <c r="SCF3" s="1259"/>
      <c r="SCG3" s="1259"/>
      <c r="SCH3" s="1259"/>
      <c r="SCI3" s="1259"/>
      <c r="SCJ3" s="1259"/>
      <c r="SCK3" s="1259"/>
      <c r="SCL3" s="1259"/>
      <c r="SCM3" s="1259"/>
      <c r="SCN3" s="1259"/>
      <c r="SCO3" s="1259"/>
      <c r="SCP3" s="1259"/>
      <c r="SCQ3" s="1259"/>
      <c r="SCR3" s="1259"/>
      <c r="SCS3" s="1259"/>
      <c r="SCT3" s="1259"/>
      <c r="SCU3" s="1259"/>
      <c r="SCV3" s="1259"/>
      <c r="SCW3" s="1259"/>
      <c r="SCX3" s="1259"/>
      <c r="SCY3" s="1259"/>
      <c r="SCZ3" s="1259"/>
      <c r="SDA3" s="1259"/>
      <c r="SDB3" s="1259"/>
      <c r="SDC3" s="1259"/>
      <c r="SDD3" s="1259"/>
      <c r="SDE3" s="1259"/>
      <c r="SDF3" s="1259"/>
      <c r="SDG3" s="1259"/>
      <c r="SDH3" s="1259"/>
      <c r="SDI3" s="1259"/>
      <c r="SDJ3" s="1259"/>
      <c r="SDK3" s="1259"/>
      <c r="SDL3" s="1259"/>
      <c r="SDM3" s="1259"/>
      <c r="SDN3" s="1259"/>
      <c r="SDO3" s="1259"/>
      <c r="SDP3" s="1259"/>
      <c r="SDQ3" s="1259"/>
      <c r="SDR3" s="1259"/>
      <c r="SDS3" s="1259"/>
      <c r="SDT3" s="1259"/>
      <c r="SDU3" s="1259"/>
      <c r="SDV3" s="1259"/>
      <c r="SDW3" s="1259"/>
      <c r="SDX3" s="1259"/>
      <c r="SDY3" s="1259"/>
      <c r="SDZ3" s="1259"/>
      <c r="SEA3" s="1259"/>
      <c r="SEB3" s="1259"/>
      <c r="SEC3" s="1259"/>
      <c r="SED3" s="1259"/>
      <c r="SEE3" s="1259"/>
      <c r="SEF3" s="1259"/>
      <c r="SEG3" s="1259"/>
      <c r="SEH3" s="1259"/>
      <c r="SEI3" s="1259"/>
      <c r="SEJ3" s="1259"/>
      <c r="SEK3" s="1259"/>
      <c r="SEL3" s="1259"/>
      <c r="SEM3" s="1259"/>
      <c r="SEN3" s="1259"/>
      <c r="SEO3" s="1259"/>
      <c r="SEP3" s="1259"/>
      <c r="SEQ3" s="1259"/>
      <c r="SER3" s="1259"/>
      <c r="SES3" s="1259"/>
      <c r="SET3" s="1259"/>
      <c r="SEU3" s="1259"/>
      <c r="SEV3" s="1259"/>
      <c r="SEW3" s="1259"/>
      <c r="SEX3" s="1259"/>
      <c r="SEY3" s="1259"/>
      <c r="SEZ3" s="1259"/>
      <c r="SFA3" s="1259"/>
      <c r="SFB3" s="1259"/>
      <c r="SFC3" s="1259"/>
      <c r="SFD3" s="1259"/>
      <c r="SFE3" s="1259"/>
      <c r="SFF3" s="1259"/>
      <c r="SFG3" s="1259"/>
      <c r="SFH3" s="1259"/>
      <c r="SFI3" s="1259"/>
      <c r="SFJ3" s="1259"/>
      <c r="SFK3" s="1259"/>
      <c r="SFL3" s="1259"/>
      <c r="SFM3" s="1259"/>
      <c r="SFN3" s="1259"/>
      <c r="SFO3" s="1259"/>
      <c r="SFP3" s="1259"/>
      <c r="SFQ3" s="1259"/>
      <c r="SFR3" s="1259"/>
      <c r="SFS3" s="1259"/>
      <c r="SFT3" s="1259"/>
      <c r="SFU3" s="1259"/>
      <c r="SFV3" s="1259"/>
      <c r="SFW3" s="1259"/>
      <c r="SFX3" s="1259"/>
      <c r="SFY3" s="1259"/>
      <c r="SFZ3" s="1259"/>
      <c r="SGA3" s="1259"/>
      <c r="SGB3" s="1259"/>
      <c r="SGC3" s="1259"/>
      <c r="SGD3" s="1259"/>
      <c r="SGE3" s="1259"/>
      <c r="SGF3" s="1259"/>
      <c r="SGG3" s="1259"/>
      <c r="SGH3" s="1259"/>
      <c r="SGI3" s="1259"/>
      <c r="SGJ3" s="1259"/>
      <c r="SGK3" s="1259"/>
      <c r="SGL3" s="1259"/>
      <c r="SGM3" s="1259"/>
      <c r="SGN3" s="1259"/>
      <c r="SGO3" s="1259"/>
      <c r="SGP3" s="1259"/>
      <c r="SGQ3" s="1259"/>
      <c r="SGR3" s="1259"/>
      <c r="SGS3" s="1259"/>
      <c r="SGT3" s="1259"/>
      <c r="SGU3" s="1259"/>
      <c r="SGV3" s="1259"/>
      <c r="SGW3" s="1259"/>
      <c r="SGX3" s="1259"/>
      <c r="SGY3" s="1259"/>
      <c r="SGZ3" s="1259"/>
      <c r="SHA3" s="1259"/>
      <c r="SHB3" s="1259"/>
      <c r="SHC3" s="1259"/>
      <c r="SHD3" s="1259"/>
      <c r="SHE3" s="1259"/>
      <c r="SHF3" s="1259"/>
      <c r="SHG3" s="1259"/>
      <c r="SHH3" s="1259"/>
      <c r="SHI3" s="1259"/>
      <c r="SHJ3" s="1259"/>
      <c r="SHK3" s="1259"/>
      <c r="SHL3" s="1259"/>
      <c r="SHM3" s="1259"/>
      <c r="SHN3" s="1259"/>
      <c r="SHO3" s="1259"/>
      <c r="SHP3" s="1259"/>
      <c r="SHQ3" s="1259"/>
      <c r="SHR3" s="1259"/>
      <c r="SHS3" s="1259"/>
      <c r="SHT3" s="1259"/>
      <c r="SHU3" s="1259"/>
      <c r="SHV3" s="1259"/>
      <c r="SHW3" s="1259"/>
      <c r="SHX3" s="1259"/>
      <c r="SHY3" s="1259"/>
      <c r="SHZ3" s="1259"/>
      <c r="SIA3" s="1259"/>
      <c r="SIB3" s="1259"/>
      <c r="SIC3" s="1259"/>
      <c r="SID3" s="1259"/>
      <c r="SIE3" s="1259"/>
      <c r="SIF3" s="1259"/>
      <c r="SIG3" s="1259"/>
      <c r="SIH3" s="1259"/>
      <c r="SII3" s="1259"/>
      <c r="SIJ3" s="1259"/>
      <c r="SIK3" s="1259"/>
      <c r="SIL3" s="1259"/>
      <c r="SIM3" s="1259"/>
      <c r="SIN3" s="1259"/>
      <c r="SIO3" s="1259"/>
      <c r="SIP3" s="1259"/>
      <c r="SIQ3" s="1259"/>
      <c r="SIR3" s="1259"/>
      <c r="SIS3" s="1259"/>
      <c r="SIT3" s="1259"/>
      <c r="SIU3" s="1259"/>
      <c r="SIV3" s="1259"/>
      <c r="SIW3" s="1259"/>
      <c r="SIX3" s="1259"/>
      <c r="SIY3" s="1259"/>
      <c r="SIZ3" s="1259"/>
      <c r="SJA3" s="1259"/>
      <c r="SJB3" s="1259"/>
      <c r="SJC3" s="1259"/>
      <c r="SJD3" s="1259"/>
      <c r="SJE3" s="1259"/>
      <c r="SJF3" s="1259"/>
      <c r="SJG3" s="1259"/>
      <c r="SJH3" s="1259"/>
      <c r="SJI3" s="1259"/>
      <c r="SJJ3" s="1259"/>
      <c r="SJK3" s="1259"/>
      <c r="SJL3" s="1259"/>
      <c r="SJM3" s="1259"/>
      <c r="SJN3" s="1259"/>
      <c r="SJO3" s="1259"/>
      <c r="SJP3" s="1259"/>
      <c r="SJQ3" s="1259"/>
      <c r="SJR3" s="1259"/>
      <c r="SJS3" s="1259"/>
      <c r="SJT3" s="1259"/>
      <c r="SJU3" s="1259"/>
      <c r="SJV3" s="1259"/>
      <c r="SJW3" s="1259"/>
      <c r="SJX3" s="1259"/>
      <c r="SJY3" s="1259"/>
      <c r="SJZ3" s="1259"/>
      <c r="SKA3" s="1259"/>
      <c r="SKB3" s="1259"/>
      <c r="SKC3" s="1259"/>
      <c r="SKD3" s="1259"/>
      <c r="SKE3" s="1259"/>
      <c r="SKF3" s="1259"/>
      <c r="SKG3" s="1259"/>
      <c r="SKH3" s="1259"/>
      <c r="SKI3" s="1259"/>
      <c r="SKJ3" s="1259"/>
      <c r="SKK3" s="1259"/>
      <c r="SKL3" s="1259"/>
      <c r="SKM3" s="1259"/>
      <c r="SKN3" s="1259"/>
      <c r="SKO3" s="1259"/>
      <c r="SKP3" s="1259"/>
      <c r="SKQ3" s="1259"/>
      <c r="SKR3" s="1259"/>
      <c r="SKS3" s="1259"/>
      <c r="SKT3" s="1259"/>
      <c r="SKU3" s="1259"/>
      <c r="SKV3" s="1259"/>
      <c r="SKW3" s="1259"/>
      <c r="SKX3" s="1259"/>
      <c r="SKY3" s="1259"/>
      <c r="SKZ3" s="1259"/>
      <c r="SLA3" s="1259"/>
      <c r="SLB3" s="1259"/>
      <c r="SLC3" s="1259"/>
      <c r="SLD3" s="1259"/>
      <c r="SLE3" s="1259"/>
      <c r="SLF3" s="1259"/>
      <c r="SLG3" s="1259"/>
      <c r="SLH3" s="1259"/>
      <c r="SLI3" s="1259"/>
      <c r="SLJ3" s="1259"/>
      <c r="SLK3" s="1259"/>
      <c r="SLL3" s="1259"/>
      <c r="SLM3" s="1259"/>
      <c r="SLN3" s="1259"/>
      <c r="SLO3" s="1259"/>
      <c r="SLP3" s="1259"/>
      <c r="SLQ3" s="1259"/>
      <c r="SLR3" s="1259"/>
      <c r="SLS3" s="1259"/>
      <c r="SLT3" s="1259"/>
      <c r="SLU3" s="1259"/>
      <c r="SLV3" s="1259"/>
      <c r="SLW3" s="1259"/>
      <c r="SLX3" s="1259"/>
      <c r="SLY3" s="1259"/>
      <c r="SLZ3" s="1259"/>
      <c r="SMA3" s="1259"/>
      <c r="SMB3" s="1259"/>
      <c r="SMC3" s="1259"/>
      <c r="SMD3" s="1259"/>
      <c r="SME3" s="1259"/>
      <c r="SMF3" s="1259"/>
      <c r="SMG3" s="1259"/>
      <c r="SMH3" s="1259"/>
      <c r="SMI3" s="1259"/>
      <c r="SMJ3" s="1259"/>
      <c r="SMK3" s="1259"/>
      <c r="SML3" s="1259"/>
      <c r="SMM3" s="1259"/>
      <c r="SMN3" s="1259"/>
      <c r="SMO3" s="1259"/>
      <c r="SMP3" s="1259"/>
      <c r="SMQ3" s="1259"/>
      <c r="SMR3" s="1259"/>
      <c r="SMS3" s="1259"/>
      <c r="SMT3" s="1259"/>
      <c r="SMU3" s="1259"/>
      <c r="SMV3" s="1259"/>
      <c r="SMW3" s="1259"/>
      <c r="SMX3" s="1259"/>
      <c r="SMY3" s="1259"/>
      <c r="SMZ3" s="1259"/>
      <c r="SNA3" s="1259"/>
      <c r="SNB3" s="1259"/>
      <c r="SNC3" s="1259"/>
      <c r="SND3" s="1259"/>
      <c r="SNE3" s="1259"/>
      <c r="SNF3" s="1259"/>
      <c r="SNG3" s="1259"/>
      <c r="SNH3" s="1259"/>
      <c r="SNI3" s="1259"/>
      <c r="SNJ3" s="1259"/>
      <c r="SNK3" s="1259"/>
      <c r="SNL3" s="1259"/>
      <c r="SNM3" s="1259"/>
      <c r="SNN3" s="1259"/>
      <c r="SNO3" s="1259"/>
      <c r="SNP3" s="1259"/>
      <c r="SNQ3" s="1259"/>
      <c r="SNR3" s="1259"/>
      <c r="SNS3" s="1259"/>
      <c r="SNT3" s="1259"/>
      <c r="SNU3" s="1259"/>
      <c r="SNV3" s="1259"/>
      <c r="SNW3" s="1259"/>
      <c r="SNX3" s="1259"/>
      <c r="SNY3" s="1259"/>
      <c r="SNZ3" s="1259"/>
      <c r="SOA3" s="1259"/>
      <c r="SOB3" s="1259"/>
      <c r="SOC3" s="1259"/>
      <c r="SOD3" s="1259"/>
      <c r="SOE3" s="1259"/>
      <c r="SOF3" s="1259"/>
      <c r="SOG3" s="1259"/>
      <c r="SOH3" s="1259"/>
      <c r="SOI3" s="1259"/>
      <c r="SOJ3" s="1259"/>
      <c r="SOK3" s="1259"/>
      <c r="SOL3" s="1259"/>
      <c r="SOM3" s="1259"/>
      <c r="SON3" s="1259"/>
      <c r="SOO3" s="1259"/>
      <c r="SOP3" s="1259"/>
      <c r="SOQ3" s="1259"/>
      <c r="SOR3" s="1259"/>
      <c r="SOS3" s="1259"/>
      <c r="SOT3" s="1259"/>
      <c r="SOU3" s="1259"/>
      <c r="SOV3" s="1259"/>
      <c r="SOW3" s="1259"/>
      <c r="SOX3" s="1259"/>
      <c r="SOY3" s="1259"/>
      <c r="SOZ3" s="1259"/>
      <c r="SPA3" s="1259"/>
      <c r="SPB3" s="1259"/>
      <c r="SPC3" s="1259"/>
      <c r="SPD3" s="1259"/>
      <c r="SPE3" s="1259"/>
      <c r="SPF3" s="1259"/>
      <c r="SPG3" s="1259"/>
      <c r="SPH3" s="1259"/>
      <c r="SPI3" s="1259"/>
      <c r="SPJ3" s="1259"/>
      <c r="SPK3" s="1259"/>
      <c r="SPL3" s="1259"/>
      <c r="SPM3" s="1259"/>
      <c r="SPN3" s="1259"/>
      <c r="SPO3" s="1259"/>
      <c r="SPP3" s="1259"/>
      <c r="SPQ3" s="1259"/>
      <c r="SPR3" s="1259"/>
      <c r="SPS3" s="1259"/>
      <c r="SPT3" s="1259"/>
      <c r="SPU3" s="1259"/>
      <c r="SPV3" s="1259"/>
      <c r="SPW3" s="1259"/>
      <c r="SPX3" s="1259"/>
      <c r="SPY3" s="1259"/>
      <c r="SPZ3" s="1259"/>
      <c r="SQA3" s="1259"/>
      <c r="SQB3" s="1259"/>
      <c r="SQC3" s="1259"/>
      <c r="SQD3" s="1259"/>
      <c r="SQE3" s="1259"/>
      <c r="SQF3" s="1259"/>
      <c r="SQG3" s="1259"/>
      <c r="SQH3" s="1259"/>
      <c r="SQI3" s="1259"/>
      <c r="SQJ3" s="1259"/>
      <c r="SQK3" s="1259"/>
      <c r="SQL3" s="1259"/>
      <c r="SQM3" s="1259"/>
      <c r="SQN3" s="1259"/>
      <c r="SQO3" s="1259"/>
      <c r="SQP3" s="1259"/>
      <c r="SQQ3" s="1259"/>
      <c r="SQR3" s="1259"/>
      <c r="SQS3" s="1259"/>
      <c r="SQT3" s="1259"/>
      <c r="SQU3" s="1259"/>
      <c r="SQV3" s="1259"/>
      <c r="SQW3" s="1259"/>
      <c r="SQX3" s="1259"/>
      <c r="SQY3" s="1259"/>
      <c r="SQZ3" s="1259"/>
      <c r="SRA3" s="1259"/>
      <c r="SRB3" s="1259"/>
      <c r="SRC3" s="1259"/>
      <c r="SRD3" s="1259"/>
      <c r="SRE3" s="1259"/>
      <c r="SRF3" s="1259"/>
      <c r="SRG3" s="1259"/>
      <c r="SRH3" s="1259"/>
      <c r="SRI3" s="1259"/>
      <c r="SRJ3" s="1259"/>
      <c r="SRK3" s="1259"/>
      <c r="SRL3" s="1259"/>
      <c r="SRM3" s="1259"/>
      <c r="SRN3" s="1259"/>
      <c r="SRO3" s="1259"/>
      <c r="SRP3" s="1259"/>
      <c r="SRQ3" s="1259"/>
      <c r="SRR3" s="1259"/>
      <c r="SRS3" s="1259"/>
      <c r="SRT3" s="1259"/>
      <c r="SRU3" s="1259"/>
      <c r="SRV3" s="1259"/>
      <c r="SRW3" s="1259"/>
      <c r="SRX3" s="1259"/>
      <c r="SRY3" s="1259"/>
      <c r="SRZ3" s="1259"/>
      <c r="SSA3" s="1259"/>
      <c r="SSB3" s="1259"/>
      <c r="SSC3" s="1259"/>
      <c r="SSD3" s="1259"/>
      <c r="SSE3" s="1259"/>
      <c r="SSF3" s="1259"/>
      <c r="SSG3" s="1259"/>
      <c r="SSH3" s="1259"/>
      <c r="SSI3" s="1259"/>
      <c r="SSJ3" s="1259"/>
      <c r="SSK3" s="1259"/>
      <c r="SSL3" s="1259"/>
      <c r="SSM3" s="1259"/>
      <c r="SSN3" s="1259"/>
      <c r="SSO3" s="1259"/>
      <c r="SSP3" s="1259"/>
      <c r="SSQ3" s="1259"/>
      <c r="SSR3" s="1259"/>
      <c r="SSS3" s="1259"/>
      <c r="SST3" s="1259"/>
      <c r="SSU3" s="1259"/>
      <c r="SSV3" s="1259"/>
      <c r="SSW3" s="1259"/>
      <c r="SSX3" s="1259"/>
      <c r="SSY3" s="1259"/>
      <c r="SSZ3" s="1259"/>
      <c r="STA3" s="1259"/>
      <c r="STB3" s="1259"/>
      <c r="STC3" s="1259"/>
      <c r="STD3" s="1259"/>
      <c r="STE3" s="1259"/>
      <c r="STF3" s="1259"/>
      <c r="STG3" s="1259"/>
      <c r="STH3" s="1259"/>
      <c r="STI3" s="1259"/>
      <c r="STJ3" s="1259"/>
      <c r="STK3" s="1259"/>
      <c r="STL3" s="1259"/>
      <c r="STM3" s="1259"/>
      <c r="STN3" s="1259"/>
      <c r="STO3" s="1259"/>
      <c r="STP3" s="1259"/>
      <c r="STQ3" s="1259"/>
      <c r="STR3" s="1259"/>
      <c r="STS3" s="1259"/>
      <c r="STT3" s="1259"/>
      <c r="STU3" s="1259"/>
      <c r="STV3" s="1259"/>
      <c r="STW3" s="1259"/>
      <c r="STX3" s="1259"/>
      <c r="STY3" s="1259"/>
      <c r="STZ3" s="1259"/>
      <c r="SUA3" s="1259"/>
      <c r="SUB3" s="1259"/>
      <c r="SUC3" s="1259"/>
      <c r="SUD3" s="1259"/>
      <c r="SUE3" s="1259"/>
      <c r="SUF3" s="1259"/>
      <c r="SUG3" s="1259"/>
      <c r="SUH3" s="1259"/>
      <c r="SUI3" s="1259"/>
      <c r="SUJ3" s="1259"/>
      <c r="SUK3" s="1259"/>
      <c r="SUL3" s="1259"/>
      <c r="SUM3" s="1259"/>
      <c r="SUN3" s="1259"/>
      <c r="SUO3" s="1259"/>
      <c r="SUP3" s="1259"/>
      <c r="SUQ3" s="1259"/>
      <c r="SUR3" s="1259"/>
      <c r="SUS3" s="1259"/>
      <c r="SUT3" s="1259"/>
      <c r="SUU3" s="1259"/>
      <c r="SUV3" s="1259"/>
      <c r="SUW3" s="1259"/>
      <c r="SUX3" s="1259"/>
      <c r="SUY3" s="1259"/>
      <c r="SUZ3" s="1259"/>
      <c r="SVA3" s="1259"/>
      <c r="SVB3" s="1259"/>
      <c r="SVC3" s="1259"/>
      <c r="SVD3" s="1259"/>
      <c r="SVE3" s="1259"/>
      <c r="SVF3" s="1259"/>
      <c r="SVG3" s="1259"/>
      <c r="SVH3" s="1259"/>
      <c r="SVI3" s="1259"/>
      <c r="SVJ3" s="1259"/>
      <c r="SVK3" s="1259"/>
      <c r="SVL3" s="1259"/>
      <c r="SVM3" s="1259"/>
      <c r="SVN3" s="1259"/>
      <c r="SVO3" s="1259"/>
      <c r="SVP3" s="1259"/>
      <c r="SVQ3" s="1259"/>
      <c r="SVR3" s="1259"/>
      <c r="SVS3" s="1259"/>
      <c r="SVT3" s="1259"/>
      <c r="SVU3" s="1259"/>
      <c r="SVV3" s="1259"/>
      <c r="SVW3" s="1259"/>
      <c r="SVX3" s="1259"/>
      <c r="SVY3" s="1259"/>
      <c r="SVZ3" s="1259"/>
      <c r="SWA3" s="1259"/>
      <c r="SWB3" s="1259"/>
      <c r="SWC3" s="1259"/>
      <c r="SWD3" s="1259"/>
      <c r="SWE3" s="1259"/>
      <c r="SWF3" s="1259"/>
      <c r="SWG3" s="1259"/>
      <c r="SWH3" s="1259"/>
      <c r="SWI3" s="1259"/>
      <c r="SWJ3" s="1259"/>
      <c r="SWK3" s="1259"/>
      <c r="SWL3" s="1259"/>
      <c r="SWM3" s="1259"/>
      <c r="SWN3" s="1259"/>
      <c r="SWO3" s="1259"/>
      <c r="SWP3" s="1259"/>
      <c r="SWQ3" s="1259"/>
      <c r="SWR3" s="1259"/>
      <c r="SWS3" s="1259"/>
      <c r="SWT3" s="1259"/>
      <c r="SWU3" s="1259"/>
      <c r="SWV3" s="1259"/>
      <c r="SWW3" s="1259"/>
      <c r="SWX3" s="1259"/>
      <c r="SWY3" s="1259"/>
      <c r="SWZ3" s="1259"/>
      <c r="SXA3" s="1259"/>
      <c r="SXB3" s="1259"/>
      <c r="SXC3" s="1259"/>
      <c r="SXD3" s="1259"/>
      <c r="SXE3" s="1259"/>
      <c r="SXF3" s="1259"/>
      <c r="SXG3" s="1259"/>
      <c r="SXH3" s="1259"/>
      <c r="SXI3" s="1259"/>
      <c r="SXJ3" s="1259"/>
      <c r="SXK3" s="1259"/>
      <c r="SXL3" s="1259"/>
      <c r="SXM3" s="1259"/>
      <c r="SXN3" s="1259"/>
      <c r="SXO3" s="1259"/>
      <c r="SXP3" s="1259"/>
      <c r="SXQ3" s="1259"/>
      <c r="SXR3" s="1259"/>
      <c r="SXS3" s="1259"/>
      <c r="SXT3" s="1259"/>
      <c r="SXU3" s="1259"/>
      <c r="SXV3" s="1259"/>
      <c r="SXW3" s="1259"/>
      <c r="SXX3" s="1259"/>
      <c r="SXY3" s="1259"/>
      <c r="SXZ3" s="1259"/>
      <c r="SYA3" s="1259"/>
      <c r="SYB3" s="1259"/>
      <c r="SYC3" s="1259"/>
      <c r="SYD3" s="1259"/>
      <c r="SYE3" s="1259"/>
      <c r="SYF3" s="1259"/>
      <c r="SYG3" s="1259"/>
      <c r="SYH3" s="1259"/>
      <c r="SYI3" s="1259"/>
      <c r="SYJ3" s="1259"/>
      <c r="SYK3" s="1259"/>
      <c r="SYL3" s="1259"/>
      <c r="SYM3" s="1259"/>
      <c r="SYN3" s="1259"/>
      <c r="SYO3" s="1259"/>
      <c r="SYP3" s="1259"/>
      <c r="SYQ3" s="1259"/>
      <c r="SYR3" s="1259"/>
      <c r="SYS3" s="1259"/>
      <c r="SYT3" s="1259"/>
      <c r="SYU3" s="1259"/>
      <c r="SYV3" s="1259"/>
      <c r="SYW3" s="1259"/>
      <c r="SYX3" s="1259"/>
      <c r="SYY3" s="1259"/>
      <c r="SYZ3" s="1259"/>
      <c r="SZA3" s="1259"/>
      <c r="SZB3" s="1259"/>
      <c r="SZC3" s="1259"/>
      <c r="SZD3" s="1259"/>
      <c r="SZE3" s="1259"/>
      <c r="SZF3" s="1259"/>
      <c r="SZG3" s="1259"/>
      <c r="SZH3" s="1259"/>
      <c r="SZI3" s="1259"/>
      <c r="SZJ3" s="1259"/>
      <c r="SZK3" s="1259"/>
      <c r="SZL3" s="1259"/>
      <c r="SZM3" s="1259"/>
      <c r="SZN3" s="1259"/>
      <c r="SZO3" s="1259"/>
      <c r="SZP3" s="1259"/>
      <c r="SZQ3" s="1259"/>
      <c r="SZR3" s="1259"/>
      <c r="SZS3" s="1259"/>
      <c r="SZT3" s="1259"/>
      <c r="SZU3" s="1259"/>
      <c r="SZV3" s="1259"/>
      <c r="SZW3" s="1259"/>
      <c r="SZX3" s="1259"/>
      <c r="SZY3" s="1259"/>
      <c r="SZZ3" s="1259"/>
      <c r="TAA3" s="1259"/>
      <c r="TAB3" s="1259"/>
      <c r="TAC3" s="1259"/>
      <c r="TAD3" s="1259"/>
      <c r="TAE3" s="1259"/>
      <c r="TAF3" s="1259"/>
      <c r="TAG3" s="1259"/>
      <c r="TAH3" s="1259"/>
      <c r="TAI3" s="1259"/>
      <c r="TAJ3" s="1259"/>
      <c r="TAK3" s="1259"/>
      <c r="TAL3" s="1259"/>
      <c r="TAM3" s="1259"/>
      <c r="TAN3" s="1259"/>
      <c r="TAO3" s="1259"/>
      <c r="TAP3" s="1259"/>
      <c r="TAQ3" s="1259"/>
      <c r="TAR3" s="1259"/>
      <c r="TAS3" s="1259"/>
      <c r="TAT3" s="1259"/>
      <c r="TAU3" s="1259"/>
      <c r="TAV3" s="1259"/>
      <c r="TAW3" s="1259"/>
      <c r="TAX3" s="1259"/>
      <c r="TAY3" s="1259"/>
      <c r="TAZ3" s="1259"/>
      <c r="TBA3" s="1259"/>
      <c r="TBB3" s="1259"/>
      <c r="TBC3" s="1259"/>
      <c r="TBD3" s="1259"/>
      <c r="TBE3" s="1259"/>
      <c r="TBF3" s="1259"/>
      <c r="TBG3" s="1259"/>
      <c r="TBH3" s="1259"/>
      <c r="TBI3" s="1259"/>
      <c r="TBJ3" s="1259"/>
      <c r="TBK3" s="1259"/>
      <c r="TBL3" s="1259"/>
      <c r="TBM3" s="1259"/>
      <c r="TBN3" s="1259"/>
      <c r="TBO3" s="1259"/>
      <c r="TBP3" s="1259"/>
      <c r="TBQ3" s="1259"/>
      <c r="TBR3" s="1259"/>
      <c r="TBS3" s="1259"/>
      <c r="TBT3" s="1259"/>
      <c r="TBU3" s="1259"/>
      <c r="TBV3" s="1259"/>
      <c r="TBW3" s="1259"/>
      <c r="TBX3" s="1259"/>
      <c r="TBY3" s="1259"/>
      <c r="TBZ3" s="1259"/>
      <c r="TCA3" s="1259"/>
      <c r="TCB3" s="1259"/>
      <c r="TCC3" s="1259"/>
      <c r="TCD3" s="1259"/>
      <c r="TCE3" s="1259"/>
      <c r="TCF3" s="1259"/>
      <c r="TCG3" s="1259"/>
      <c r="TCH3" s="1259"/>
      <c r="TCI3" s="1259"/>
      <c r="TCJ3" s="1259"/>
      <c r="TCK3" s="1259"/>
      <c r="TCL3" s="1259"/>
      <c r="TCM3" s="1259"/>
      <c r="TCN3" s="1259"/>
      <c r="TCO3" s="1259"/>
      <c r="TCP3" s="1259"/>
      <c r="TCQ3" s="1259"/>
      <c r="TCR3" s="1259"/>
      <c r="TCS3" s="1259"/>
      <c r="TCT3" s="1259"/>
      <c r="TCU3" s="1259"/>
      <c r="TCV3" s="1259"/>
      <c r="TCW3" s="1259"/>
      <c r="TCX3" s="1259"/>
      <c r="TCY3" s="1259"/>
      <c r="TCZ3" s="1259"/>
      <c r="TDA3" s="1259"/>
      <c r="TDB3" s="1259"/>
      <c r="TDC3" s="1259"/>
      <c r="TDD3" s="1259"/>
      <c r="TDE3" s="1259"/>
      <c r="TDF3" s="1259"/>
      <c r="TDG3" s="1259"/>
      <c r="TDH3" s="1259"/>
      <c r="TDI3" s="1259"/>
      <c r="TDJ3" s="1259"/>
      <c r="TDK3" s="1259"/>
      <c r="TDL3" s="1259"/>
      <c r="TDM3" s="1259"/>
      <c r="TDN3" s="1259"/>
      <c r="TDO3" s="1259"/>
      <c r="TDP3" s="1259"/>
      <c r="TDQ3" s="1259"/>
      <c r="TDR3" s="1259"/>
      <c r="TDS3" s="1259"/>
      <c r="TDT3" s="1259"/>
      <c r="TDU3" s="1259"/>
      <c r="TDV3" s="1259"/>
      <c r="TDW3" s="1259"/>
      <c r="TDX3" s="1259"/>
      <c r="TDY3" s="1259"/>
      <c r="TDZ3" s="1259"/>
      <c r="TEA3" s="1259"/>
      <c r="TEB3" s="1259"/>
      <c r="TEC3" s="1259"/>
      <c r="TED3" s="1259"/>
      <c r="TEE3" s="1259"/>
      <c r="TEF3" s="1259"/>
      <c r="TEG3" s="1259"/>
      <c r="TEH3" s="1259"/>
      <c r="TEI3" s="1259"/>
      <c r="TEJ3" s="1259"/>
      <c r="TEK3" s="1259"/>
      <c r="TEL3" s="1259"/>
      <c r="TEM3" s="1259"/>
      <c r="TEN3" s="1259"/>
      <c r="TEO3" s="1259"/>
      <c r="TEP3" s="1259"/>
      <c r="TEQ3" s="1259"/>
      <c r="TER3" s="1259"/>
      <c r="TES3" s="1259"/>
      <c r="TET3" s="1259"/>
      <c r="TEU3" s="1259"/>
      <c r="TEV3" s="1259"/>
      <c r="TEW3" s="1259"/>
      <c r="TEX3" s="1259"/>
      <c r="TEY3" s="1259"/>
      <c r="TEZ3" s="1259"/>
      <c r="TFA3" s="1259"/>
      <c r="TFB3" s="1259"/>
      <c r="TFC3" s="1259"/>
      <c r="TFD3" s="1259"/>
      <c r="TFE3" s="1259"/>
      <c r="TFF3" s="1259"/>
      <c r="TFG3" s="1259"/>
      <c r="TFH3" s="1259"/>
      <c r="TFI3" s="1259"/>
      <c r="TFJ3" s="1259"/>
      <c r="TFK3" s="1259"/>
      <c r="TFL3" s="1259"/>
      <c r="TFM3" s="1259"/>
      <c r="TFN3" s="1259"/>
      <c r="TFO3" s="1259"/>
      <c r="TFP3" s="1259"/>
      <c r="TFQ3" s="1259"/>
      <c r="TFR3" s="1259"/>
      <c r="TFS3" s="1259"/>
      <c r="TFT3" s="1259"/>
      <c r="TFU3" s="1259"/>
      <c r="TFV3" s="1259"/>
      <c r="TFW3" s="1259"/>
      <c r="TFX3" s="1259"/>
      <c r="TFY3" s="1259"/>
      <c r="TFZ3" s="1259"/>
      <c r="TGA3" s="1259"/>
      <c r="TGB3" s="1259"/>
      <c r="TGC3" s="1259"/>
      <c r="TGD3" s="1259"/>
      <c r="TGE3" s="1259"/>
      <c r="TGF3" s="1259"/>
      <c r="TGG3" s="1259"/>
      <c r="TGH3" s="1259"/>
      <c r="TGI3" s="1259"/>
      <c r="TGJ3" s="1259"/>
      <c r="TGK3" s="1259"/>
      <c r="TGL3" s="1259"/>
      <c r="TGM3" s="1259"/>
      <c r="TGN3" s="1259"/>
      <c r="TGO3" s="1259"/>
      <c r="TGP3" s="1259"/>
      <c r="TGQ3" s="1259"/>
      <c r="TGR3" s="1259"/>
      <c r="TGS3" s="1259"/>
      <c r="TGT3" s="1259"/>
      <c r="TGU3" s="1259"/>
      <c r="TGV3" s="1259"/>
      <c r="TGW3" s="1259"/>
      <c r="TGX3" s="1259"/>
      <c r="TGY3" s="1259"/>
      <c r="TGZ3" s="1259"/>
      <c r="THA3" s="1259"/>
      <c r="THB3" s="1259"/>
      <c r="THC3" s="1259"/>
      <c r="THD3" s="1259"/>
      <c r="THE3" s="1259"/>
      <c r="THF3" s="1259"/>
      <c r="THG3" s="1259"/>
      <c r="THH3" s="1259"/>
      <c r="THI3" s="1259"/>
      <c r="THJ3" s="1259"/>
      <c r="THK3" s="1259"/>
      <c r="THL3" s="1259"/>
      <c r="THM3" s="1259"/>
      <c r="THN3" s="1259"/>
      <c r="THO3" s="1259"/>
      <c r="THP3" s="1259"/>
      <c r="THQ3" s="1259"/>
      <c r="THR3" s="1259"/>
      <c r="THS3" s="1259"/>
      <c r="THT3" s="1259"/>
      <c r="THU3" s="1259"/>
      <c r="THV3" s="1259"/>
      <c r="THW3" s="1259"/>
      <c r="THX3" s="1259"/>
      <c r="THY3" s="1259"/>
      <c r="THZ3" s="1259"/>
      <c r="TIA3" s="1259"/>
      <c r="TIB3" s="1259"/>
      <c r="TIC3" s="1259"/>
      <c r="TID3" s="1259"/>
      <c r="TIE3" s="1259"/>
      <c r="TIF3" s="1259"/>
      <c r="TIG3" s="1259"/>
      <c r="TIH3" s="1259"/>
      <c r="TII3" s="1259"/>
      <c r="TIJ3" s="1259"/>
      <c r="TIK3" s="1259"/>
      <c r="TIL3" s="1259"/>
      <c r="TIM3" s="1259"/>
      <c r="TIN3" s="1259"/>
      <c r="TIO3" s="1259"/>
      <c r="TIP3" s="1259"/>
      <c r="TIQ3" s="1259"/>
      <c r="TIR3" s="1259"/>
      <c r="TIS3" s="1259"/>
      <c r="TIT3" s="1259"/>
      <c r="TIU3" s="1259"/>
      <c r="TIV3" s="1259"/>
      <c r="TIW3" s="1259"/>
      <c r="TIX3" s="1259"/>
      <c r="TIY3" s="1259"/>
      <c r="TIZ3" s="1259"/>
      <c r="TJA3" s="1259"/>
      <c r="TJB3" s="1259"/>
      <c r="TJC3" s="1259"/>
      <c r="TJD3" s="1259"/>
      <c r="TJE3" s="1259"/>
      <c r="TJF3" s="1259"/>
      <c r="TJG3" s="1259"/>
      <c r="TJH3" s="1259"/>
      <c r="TJI3" s="1259"/>
      <c r="TJJ3" s="1259"/>
      <c r="TJK3" s="1259"/>
      <c r="TJL3" s="1259"/>
      <c r="TJM3" s="1259"/>
      <c r="TJN3" s="1259"/>
      <c r="TJO3" s="1259"/>
      <c r="TJP3" s="1259"/>
      <c r="TJQ3" s="1259"/>
      <c r="TJR3" s="1259"/>
      <c r="TJS3" s="1259"/>
      <c r="TJT3" s="1259"/>
      <c r="TJU3" s="1259"/>
      <c r="TJV3" s="1259"/>
      <c r="TJW3" s="1259"/>
      <c r="TJX3" s="1259"/>
      <c r="TJY3" s="1259"/>
      <c r="TJZ3" s="1259"/>
      <c r="TKA3" s="1259"/>
      <c r="TKB3" s="1259"/>
      <c r="TKC3" s="1259"/>
      <c r="TKD3" s="1259"/>
      <c r="TKE3" s="1259"/>
      <c r="TKF3" s="1259"/>
      <c r="TKG3" s="1259"/>
      <c r="TKH3" s="1259"/>
      <c r="TKI3" s="1259"/>
      <c r="TKJ3" s="1259"/>
      <c r="TKK3" s="1259"/>
      <c r="TKL3" s="1259"/>
      <c r="TKM3" s="1259"/>
      <c r="TKN3" s="1259"/>
      <c r="TKO3" s="1259"/>
      <c r="TKP3" s="1259"/>
      <c r="TKQ3" s="1259"/>
      <c r="TKR3" s="1259"/>
      <c r="TKS3" s="1259"/>
      <c r="TKT3" s="1259"/>
      <c r="TKU3" s="1259"/>
      <c r="TKV3" s="1259"/>
      <c r="TKW3" s="1259"/>
      <c r="TKX3" s="1259"/>
      <c r="TKY3" s="1259"/>
      <c r="TKZ3" s="1259"/>
      <c r="TLA3" s="1259"/>
      <c r="TLB3" s="1259"/>
      <c r="TLC3" s="1259"/>
      <c r="TLD3" s="1259"/>
      <c r="TLE3" s="1259"/>
      <c r="TLF3" s="1259"/>
      <c r="TLG3" s="1259"/>
      <c r="TLH3" s="1259"/>
      <c r="TLI3" s="1259"/>
      <c r="TLJ3" s="1259"/>
      <c r="TLK3" s="1259"/>
      <c r="TLL3" s="1259"/>
      <c r="TLM3" s="1259"/>
      <c r="TLN3" s="1259"/>
      <c r="TLO3" s="1259"/>
      <c r="TLP3" s="1259"/>
      <c r="TLQ3" s="1259"/>
      <c r="TLR3" s="1259"/>
      <c r="TLS3" s="1259"/>
      <c r="TLT3" s="1259"/>
      <c r="TLU3" s="1259"/>
      <c r="TLV3" s="1259"/>
      <c r="TLW3" s="1259"/>
      <c r="TLX3" s="1259"/>
      <c r="TLY3" s="1259"/>
      <c r="TLZ3" s="1259"/>
      <c r="TMA3" s="1259"/>
      <c r="TMB3" s="1259"/>
      <c r="TMC3" s="1259"/>
      <c r="TMD3" s="1259"/>
      <c r="TME3" s="1259"/>
      <c r="TMF3" s="1259"/>
      <c r="TMG3" s="1259"/>
      <c r="TMH3" s="1259"/>
      <c r="TMI3" s="1259"/>
      <c r="TMJ3" s="1259"/>
      <c r="TMK3" s="1259"/>
      <c r="TML3" s="1259"/>
      <c r="TMM3" s="1259"/>
      <c r="TMN3" s="1259"/>
      <c r="TMO3" s="1259"/>
      <c r="TMP3" s="1259"/>
      <c r="TMQ3" s="1259"/>
      <c r="TMR3" s="1259"/>
      <c r="TMS3" s="1259"/>
      <c r="TMT3" s="1259"/>
      <c r="TMU3" s="1259"/>
      <c r="TMV3" s="1259"/>
      <c r="TMW3" s="1259"/>
      <c r="TMX3" s="1259"/>
      <c r="TMY3" s="1259"/>
      <c r="TMZ3" s="1259"/>
      <c r="TNA3" s="1259"/>
      <c r="TNB3" s="1259"/>
      <c r="TNC3" s="1259"/>
      <c r="TND3" s="1259"/>
      <c r="TNE3" s="1259"/>
      <c r="TNF3" s="1259"/>
      <c r="TNG3" s="1259"/>
      <c r="TNH3" s="1259"/>
      <c r="TNI3" s="1259"/>
      <c r="TNJ3" s="1259"/>
      <c r="TNK3" s="1259"/>
      <c r="TNL3" s="1259"/>
      <c r="TNM3" s="1259"/>
      <c r="TNN3" s="1259"/>
      <c r="TNO3" s="1259"/>
      <c r="TNP3" s="1259"/>
      <c r="TNQ3" s="1259"/>
      <c r="TNR3" s="1259"/>
      <c r="TNS3" s="1259"/>
      <c r="TNT3" s="1259"/>
      <c r="TNU3" s="1259"/>
      <c r="TNV3" s="1259"/>
      <c r="TNW3" s="1259"/>
      <c r="TNX3" s="1259"/>
      <c r="TNY3" s="1259"/>
      <c r="TNZ3" s="1259"/>
      <c r="TOA3" s="1259"/>
      <c r="TOB3" s="1259"/>
      <c r="TOC3" s="1259"/>
      <c r="TOD3" s="1259"/>
      <c r="TOE3" s="1259"/>
      <c r="TOF3" s="1259"/>
      <c r="TOG3" s="1259"/>
      <c r="TOH3" s="1259"/>
      <c r="TOI3" s="1259"/>
      <c r="TOJ3" s="1259"/>
      <c r="TOK3" s="1259"/>
      <c r="TOL3" s="1259"/>
      <c r="TOM3" s="1259"/>
      <c r="TON3" s="1259"/>
      <c r="TOO3" s="1259"/>
      <c r="TOP3" s="1259"/>
      <c r="TOQ3" s="1259"/>
      <c r="TOR3" s="1259"/>
      <c r="TOS3" s="1259"/>
      <c r="TOT3" s="1259"/>
      <c r="TOU3" s="1259"/>
      <c r="TOV3" s="1259"/>
      <c r="TOW3" s="1259"/>
      <c r="TOX3" s="1259"/>
      <c r="TOY3" s="1259"/>
      <c r="TOZ3" s="1259"/>
      <c r="TPA3" s="1259"/>
      <c r="TPB3" s="1259"/>
      <c r="TPC3" s="1259"/>
      <c r="TPD3" s="1259"/>
      <c r="TPE3" s="1259"/>
      <c r="TPF3" s="1259"/>
      <c r="TPG3" s="1259"/>
      <c r="TPH3" s="1259"/>
      <c r="TPI3" s="1259"/>
      <c r="TPJ3" s="1259"/>
      <c r="TPK3" s="1259"/>
      <c r="TPL3" s="1259"/>
      <c r="TPM3" s="1259"/>
      <c r="TPN3" s="1259"/>
      <c r="TPO3" s="1259"/>
      <c r="TPP3" s="1259"/>
      <c r="TPQ3" s="1259"/>
      <c r="TPR3" s="1259"/>
      <c r="TPS3" s="1259"/>
      <c r="TPT3" s="1259"/>
      <c r="TPU3" s="1259"/>
      <c r="TPV3" s="1259"/>
      <c r="TPW3" s="1259"/>
      <c r="TPX3" s="1259"/>
      <c r="TPY3" s="1259"/>
      <c r="TPZ3" s="1259"/>
      <c r="TQA3" s="1259"/>
      <c r="TQB3" s="1259"/>
      <c r="TQC3" s="1259"/>
      <c r="TQD3" s="1259"/>
      <c r="TQE3" s="1259"/>
      <c r="TQF3" s="1259"/>
      <c r="TQG3" s="1259"/>
      <c r="TQH3" s="1259"/>
      <c r="TQI3" s="1259"/>
      <c r="TQJ3" s="1259"/>
      <c r="TQK3" s="1259"/>
      <c r="TQL3" s="1259"/>
      <c r="TQM3" s="1259"/>
      <c r="TQN3" s="1259"/>
      <c r="TQO3" s="1259"/>
      <c r="TQP3" s="1259"/>
      <c r="TQQ3" s="1259"/>
      <c r="TQR3" s="1259"/>
      <c r="TQS3" s="1259"/>
      <c r="TQT3" s="1259"/>
      <c r="TQU3" s="1259"/>
      <c r="TQV3" s="1259"/>
      <c r="TQW3" s="1259"/>
      <c r="TQX3" s="1259"/>
      <c r="TQY3" s="1259"/>
      <c r="TQZ3" s="1259"/>
      <c r="TRA3" s="1259"/>
      <c r="TRB3" s="1259"/>
      <c r="TRC3" s="1259"/>
      <c r="TRD3" s="1259"/>
      <c r="TRE3" s="1259"/>
      <c r="TRF3" s="1259"/>
      <c r="TRG3" s="1259"/>
      <c r="TRH3" s="1259"/>
      <c r="TRI3" s="1259"/>
      <c r="TRJ3" s="1259"/>
      <c r="TRK3" s="1259"/>
      <c r="TRL3" s="1259"/>
      <c r="TRM3" s="1259"/>
      <c r="TRN3" s="1259"/>
      <c r="TRO3" s="1259"/>
      <c r="TRP3" s="1259"/>
      <c r="TRQ3" s="1259"/>
      <c r="TRR3" s="1259"/>
      <c r="TRS3" s="1259"/>
      <c r="TRT3" s="1259"/>
      <c r="TRU3" s="1259"/>
      <c r="TRV3" s="1259"/>
      <c r="TRW3" s="1259"/>
      <c r="TRX3" s="1259"/>
      <c r="TRY3" s="1259"/>
      <c r="TRZ3" s="1259"/>
      <c r="TSA3" s="1259"/>
      <c r="TSB3" s="1259"/>
      <c r="TSC3" s="1259"/>
      <c r="TSD3" s="1259"/>
      <c r="TSE3" s="1259"/>
      <c r="TSF3" s="1259"/>
      <c r="TSG3" s="1259"/>
      <c r="TSH3" s="1259"/>
      <c r="TSI3" s="1259"/>
      <c r="TSJ3" s="1259"/>
      <c r="TSK3" s="1259"/>
      <c r="TSL3" s="1259"/>
      <c r="TSM3" s="1259"/>
      <c r="TSN3" s="1259"/>
      <c r="TSO3" s="1259"/>
      <c r="TSP3" s="1259"/>
      <c r="TSQ3" s="1259"/>
      <c r="TSR3" s="1259"/>
      <c r="TSS3" s="1259"/>
      <c r="TST3" s="1259"/>
      <c r="TSU3" s="1259"/>
      <c r="TSV3" s="1259"/>
      <c r="TSW3" s="1259"/>
      <c r="TSX3" s="1259"/>
      <c r="TSY3" s="1259"/>
      <c r="TSZ3" s="1259"/>
      <c r="TTA3" s="1259"/>
      <c r="TTB3" s="1259"/>
      <c r="TTC3" s="1259"/>
      <c r="TTD3" s="1259"/>
      <c r="TTE3" s="1259"/>
      <c r="TTF3" s="1259"/>
      <c r="TTG3" s="1259"/>
      <c r="TTH3" s="1259"/>
      <c r="TTI3" s="1259"/>
      <c r="TTJ3" s="1259"/>
      <c r="TTK3" s="1259"/>
      <c r="TTL3" s="1259"/>
      <c r="TTM3" s="1259"/>
      <c r="TTN3" s="1259"/>
      <c r="TTO3" s="1259"/>
      <c r="TTP3" s="1259"/>
      <c r="TTQ3" s="1259"/>
      <c r="TTR3" s="1259"/>
      <c r="TTS3" s="1259"/>
      <c r="TTT3" s="1259"/>
      <c r="TTU3" s="1259"/>
      <c r="TTV3" s="1259"/>
      <c r="TTW3" s="1259"/>
      <c r="TTX3" s="1259"/>
      <c r="TTY3" s="1259"/>
      <c r="TTZ3" s="1259"/>
      <c r="TUA3" s="1259"/>
      <c r="TUB3" s="1259"/>
      <c r="TUC3" s="1259"/>
      <c r="TUD3" s="1259"/>
      <c r="TUE3" s="1259"/>
      <c r="TUF3" s="1259"/>
      <c r="TUG3" s="1259"/>
      <c r="TUH3" s="1259"/>
      <c r="TUI3" s="1259"/>
      <c r="TUJ3" s="1259"/>
      <c r="TUK3" s="1259"/>
      <c r="TUL3" s="1259"/>
      <c r="TUM3" s="1259"/>
      <c r="TUN3" s="1259"/>
      <c r="TUO3" s="1259"/>
      <c r="TUP3" s="1259"/>
      <c r="TUQ3" s="1259"/>
      <c r="TUR3" s="1259"/>
      <c r="TUS3" s="1259"/>
      <c r="TUT3" s="1259"/>
      <c r="TUU3" s="1259"/>
      <c r="TUV3" s="1259"/>
      <c r="TUW3" s="1259"/>
      <c r="TUX3" s="1259"/>
      <c r="TUY3" s="1259"/>
      <c r="TUZ3" s="1259"/>
      <c r="TVA3" s="1259"/>
      <c r="TVB3" s="1259"/>
      <c r="TVC3" s="1259"/>
      <c r="TVD3" s="1259"/>
      <c r="TVE3" s="1259"/>
      <c r="TVF3" s="1259"/>
      <c r="TVG3" s="1259"/>
      <c r="TVH3" s="1259"/>
      <c r="TVI3" s="1259"/>
      <c r="TVJ3" s="1259"/>
      <c r="TVK3" s="1259"/>
      <c r="TVL3" s="1259"/>
      <c r="TVM3" s="1259"/>
      <c r="TVN3" s="1259"/>
      <c r="TVO3" s="1259"/>
      <c r="TVP3" s="1259"/>
      <c r="TVQ3" s="1259"/>
      <c r="TVR3" s="1259"/>
      <c r="TVS3" s="1259"/>
      <c r="TVT3" s="1259"/>
      <c r="TVU3" s="1259"/>
      <c r="TVV3" s="1259"/>
      <c r="TVW3" s="1259"/>
      <c r="TVX3" s="1259"/>
      <c r="TVY3" s="1259"/>
      <c r="TVZ3" s="1259"/>
      <c r="TWA3" s="1259"/>
      <c r="TWB3" s="1259"/>
      <c r="TWC3" s="1259"/>
      <c r="TWD3" s="1259"/>
      <c r="TWE3" s="1259"/>
      <c r="TWF3" s="1259"/>
      <c r="TWG3" s="1259"/>
      <c r="TWH3" s="1259"/>
      <c r="TWI3" s="1259"/>
      <c r="TWJ3" s="1259"/>
      <c r="TWK3" s="1259"/>
      <c r="TWL3" s="1259"/>
      <c r="TWM3" s="1259"/>
      <c r="TWN3" s="1259"/>
      <c r="TWO3" s="1259"/>
      <c r="TWP3" s="1259"/>
      <c r="TWQ3" s="1259"/>
      <c r="TWR3" s="1259"/>
      <c r="TWS3" s="1259"/>
      <c r="TWT3" s="1259"/>
      <c r="TWU3" s="1259"/>
      <c r="TWV3" s="1259"/>
      <c r="TWW3" s="1259"/>
      <c r="TWX3" s="1259"/>
      <c r="TWY3" s="1259"/>
      <c r="TWZ3" s="1259"/>
      <c r="TXA3" s="1259"/>
      <c r="TXB3" s="1259"/>
      <c r="TXC3" s="1259"/>
      <c r="TXD3" s="1259"/>
      <c r="TXE3" s="1259"/>
      <c r="TXF3" s="1259"/>
      <c r="TXG3" s="1259"/>
      <c r="TXH3" s="1259"/>
      <c r="TXI3" s="1259"/>
      <c r="TXJ3" s="1259"/>
      <c r="TXK3" s="1259"/>
      <c r="TXL3" s="1259"/>
      <c r="TXM3" s="1259"/>
      <c r="TXN3" s="1259"/>
      <c r="TXO3" s="1259"/>
      <c r="TXP3" s="1259"/>
      <c r="TXQ3" s="1259"/>
      <c r="TXR3" s="1259"/>
      <c r="TXS3" s="1259"/>
      <c r="TXT3" s="1259"/>
      <c r="TXU3" s="1259"/>
      <c r="TXV3" s="1259"/>
      <c r="TXW3" s="1259"/>
      <c r="TXX3" s="1259"/>
      <c r="TXY3" s="1259"/>
      <c r="TXZ3" s="1259"/>
      <c r="TYA3" s="1259"/>
      <c r="TYB3" s="1259"/>
      <c r="TYC3" s="1259"/>
      <c r="TYD3" s="1259"/>
      <c r="TYE3" s="1259"/>
      <c r="TYF3" s="1259"/>
      <c r="TYG3" s="1259"/>
      <c r="TYH3" s="1259"/>
      <c r="TYI3" s="1259"/>
      <c r="TYJ3" s="1259"/>
      <c r="TYK3" s="1259"/>
      <c r="TYL3" s="1259"/>
      <c r="TYM3" s="1259"/>
      <c r="TYN3" s="1259"/>
      <c r="TYO3" s="1259"/>
      <c r="TYP3" s="1259"/>
      <c r="TYQ3" s="1259"/>
      <c r="TYR3" s="1259"/>
      <c r="TYS3" s="1259"/>
      <c r="TYT3" s="1259"/>
      <c r="TYU3" s="1259"/>
      <c r="TYV3" s="1259"/>
      <c r="TYW3" s="1259"/>
      <c r="TYX3" s="1259"/>
      <c r="TYY3" s="1259"/>
      <c r="TYZ3" s="1259"/>
      <c r="TZA3" s="1259"/>
      <c r="TZB3" s="1259"/>
      <c r="TZC3" s="1259"/>
      <c r="TZD3" s="1259"/>
      <c r="TZE3" s="1259"/>
      <c r="TZF3" s="1259"/>
      <c r="TZG3" s="1259"/>
      <c r="TZH3" s="1259"/>
      <c r="TZI3" s="1259"/>
      <c r="TZJ3" s="1259"/>
      <c r="TZK3" s="1259"/>
      <c r="TZL3" s="1259"/>
      <c r="TZM3" s="1259"/>
      <c r="TZN3" s="1259"/>
      <c r="TZO3" s="1259"/>
      <c r="TZP3" s="1259"/>
      <c r="TZQ3" s="1259"/>
      <c r="TZR3" s="1259"/>
      <c r="TZS3" s="1259"/>
      <c r="TZT3" s="1259"/>
      <c r="TZU3" s="1259"/>
      <c r="TZV3" s="1259"/>
      <c r="TZW3" s="1259"/>
      <c r="TZX3" s="1259"/>
      <c r="TZY3" s="1259"/>
      <c r="TZZ3" s="1259"/>
      <c r="UAA3" s="1259"/>
      <c r="UAB3" s="1259"/>
      <c r="UAC3" s="1259"/>
      <c r="UAD3" s="1259"/>
      <c r="UAE3" s="1259"/>
      <c r="UAF3" s="1259"/>
      <c r="UAG3" s="1259"/>
      <c r="UAH3" s="1259"/>
      <c r="UAI3" s="1259"/>
      <c r="UAJ3" s="1259"/>
      <c r="UAK3" s="1259"/>
      <c r="UAL3" s="1259"/>
      <c r="UAM3" s="1259"/>
      <c r="UAN3" s="1259"/>
      <c r="UAO3" s="1259"/>
      <c r="UAP3" s="1259"/>
      <c r="UAQ3" s="1259"/>
      <c r="UAR3" s="1259"/>
      <c r="UAS3" s="1259"/>
      <c r="UAT3" s="1259"/>
      <c r="UAU3" s="1259"/>
      <c r="UAV3" s="1259"/>
      <c r="UAW3" s="1259"/>
      <c r="UAX3" s="1259"/>
      <c r="UAY3" s="1259"/>
      <c r="UAZ3" s="1259"/>
      <c r="UBA3" s="1259"/>
      <c r="UBB3" s="1259"/>
      <c r="UBC3" s="1259"/>
      <c r="UBD3" s="1259"/>
      <c r="UBE3" s="1259"/>
      <c r="UBF3" s="1259"/>
      <c r="UBG3" s="1259"/>
      <c r="UBH3" s="1259"/>
      <c r="UBI3" s="1259"/>
      <c r="UBJ3" s="1259"/>
      <c r="UBK3" s="1259"/>
      <c r="UBL3" s="1259"/>
      <c r="UBM3" s="1259"/>
      <c r="UBN3" s="1259"/>
      <c r="UBO3" s="1259"/>
      <c r="UBP3" s="1259"/>
      <c r="UBQ3" s="1259"/>
      <c r="UBR3" s="1259"/>
      <c r="UBS3" s="1259"/>
      <c r="UBT3" s="1259"/>
      <c r="UBU3" s="1259"/>
      <c r="UBV3" s="1259"/>
      <c r="UBW3" s="1259"/>
      <c r="UBX3" s="1259"/>
      <c r="UBY3" s="1259"/>
      <c r="UBZ3" s="1259"/>
      <c r="UCA3" s="1259"/>
      <c r="UCB3" s="1259"/>
      <c r="UCC3" s="1259"/>
      <c r="UCD3" s="1259"/>
      <c r="UCE3" s="1259"/>
      <c r="UCF3" s="1259"/>
      <c r="UCG3" s="1259"/>
      <c r="UCH3" s="1259"/>
      <c r="UCI3" s="1259"/>
      <c r="UCJ3" s="1259"/>
      <c r="UCK3" s="1259"/>
      <c r="UCL3" s="1259"/>
      <c r="UCM3" s="1259"/>
      <c r="UCN3" s="1259"/>
      <c r="UCO3" s="1259"/>
      <c r="UCP3" s="1259"/>
      <c r="UCQ3" s="1259"/>
      <c r="UCR3" s="1259"/>
      <c r="UCS3" s="1259"/>
      <c r="UCT3" s="1259"/>
      <c r="UCU3" s="1259"/>
      <c r="UCV3" s="1259"/>
      <c r="UCW3" s="1259"/>
      <c r="UCX3" s="1259"/>
      <c r="UCY3" s="1259"/>
      <c r="UCZ3" s="1259"/>
      <c r="UDA3" s="1259"/>
      <c r="UDB3" s="1259"/>
      <c r="UDC3" s="1259"/>
      <c r="UDD3" s="1259"/>
      <c r="UDE3" s="1259"/>
      <c r="UDF3" s="1259"/>
      <c r="UDG3" s="1259"/>
      <c r="UDH3" s="1259"/>
      <c r="UDI3" s="1259"/>
      <c r="UDJ3" s="1259"/>
      <c r="UDK3" s="1259"/>
      <c r="UDL3" s="1259"/>
      <c r="UDM3" s="1259"/>
      <c r="UDN3" s="1259"/>
      <c r="UDO3" s="1259"/>
      <c r="UDP3" s="1259"/>
      <c r="UDQ3" s="1259"/>
      <c r="UDR3" s="1259"/>
      <c r="UDS3" s="1259"/>
      <c r="UDT3" s="1259"/>
      <c r="UDU3" s="1259"/>
      <c r="UDV3" s="1259"/>
      <c r="UDW3" s="1259"/>
      <c r="UDX3" s="1259"/>
      <c r="UDY3" s="1259"/>
      <c r="UDZ3" s="1259"/>
      <c r="UEA3" s="1259"/>
      <c r="UEB3" s="1259"/>
      <c r="UEC3" s="1259"/>
      <c r="UED3" s="1259"/>
      <c r="UEE3" s="1259"/>
      <c r="UEF3" s="1259"/>
      <c r="UEG3" s="1259"/>
      <c r="UEH3" s="1259"/>
      <c r="UEI3" s="1259"/>
      <c r="UEJ3" s="1259"/>
      <c r="UEK3" s="1259"/>
      <c r="UEL3" s="1259"/>
      <c r="UEM3" s="1259"/>
      <c r="UEN3" s="1259"/>
      <c r="UEO3" s="1259"/>
      <c r="UEP3" s="1259"/>
      <c r="UEQ3" s="1259"/>
      <c r="UER3" s="1259"/>
      <c r="UES3" s="1259"/>
      <c r="UET3" s="1259"/>
      <c r="UEU3" s="1259"/>
      <c r="UEV3" s="1259"/>
      <c r="UEW3" s="1259"/>
      <c r="UEX3" s="1259"/>
      <c r="UEY3" s="1259"/>
      <c r="UEZ3" s="1259"/>
      <c r="UFA3" s="1259"/>
      <c r="UFB3" s="1259"/>
      <c r="UFC3" s="1259"/>
      <c r="UFD3" s="1259"/>
      <c r="UFE3" s="1259"/>
      <c r="UFF3" s="1259"/>
      <c r="UFG3" s="1259"/>
      <c r="UFH3" s="1259"/>
      <c r="UFI3" s="1259"/>
      <c r="UFJ3" s="1259"/>
      <c r="UFK3" s="1259"/>
      <c r="UFL3" s="1259"/>
      <c r="UFM3" s="1259"/>
      <c r="UFN3" s="1259"/>
      <c r="UFO3" s="1259"/>
      <c r="UFP3" s="1259"/>
      <c r="UFQ3" s="1259"/>
      <c r="UFR3" s="1259"/>
      <c r="UFS3" s="1259"/>
      <c r="UFT3" s="1259"/>
      <c r="UFU3" s="1259"/>
      <c r="UFV3" s="1259"/>
      <c r="UFW3" s="1259"/>
      <c r="UFX3" s="1259"/>
      <c r="UFY3" s="1259"/>
      <c r="UFZ3" s="1259"/>
      <c r="UGA3" s="1259"/>
      <c r="UGB3" s="1259"/>
      <c r="UGC3" s="1259"/>
      <c r="UGD3" s="1259"/>
      <c r="UGE3" s="1259"/>
      <c r="UGF3" s="1259"/>
      <c r="UGG3" s="1259"/>
      <c r="UGH3" s="1259"/>
      <c r="UGI3" s="1259"/>
      <c r="UGJ3" s="1259"/>
      <c r="UGK3" s="1259"/>
      <c r="UGL3" s="1259"/>
      <c r="UGM3" s="1259"/>
      <c r="UGN3" s="1259"/>
      <c r="UGO3" s="1259"/>
      <c r="UGP3" s="1259"/>
      <c r="UGQ3" s="1259"/>
      <c r="UGR3" s="1259"/>
      <c r="UGS3" s="1259"/>
      <c r="UGT3" s="1259"/>
      <c r="UGU3" s="1259"/>
      <c r="UGV3" s="1259"/>
      <c r="UGW3" s="1259"/>
      <c r="UGX3" s="1259"/>
      <c r="UGY3" s="1259"/>
      <c r="UGZ3" s="1259"/>
      <c r="UHA3" s="1259"/>
      <c r="UHB3" s="1259"/>
      <c r="UHC3" s="1259"/>
      <c r="UHD3" s="1259"/>
      <c r="UHE3" s="1259"/>
      <c r="UHF3" s="1259"/>
      <c r="UHG3" s="1259"/>
      <c r="UHH3" s="1259"/>
      <c r="UHI3" s="1259"/>
      <c r="UHJ3" s="1259"/>
      <c r="UHK3" s="1259"/>
      <c r="UHL3" s="1259"/>
      <c r="UHM3" s="1259"/>
      <c r="UHN3" s="1259"/>
      <c r="UHO3" s="1259"/>
      <c r="UHP3" s="1259"/>
      <c r="UHQ3" s="1259"/>
      <c r="UHR3" s="1259"/>
      <c r="UHS3" s="1259"/>
      <c r="UHT3" s="1259"/>
      <c r="UHU3" s="1259"/>
      <c r="UHV3" s="1259"/>
      <c r="UHW3" s="1259"/>
      <c r="UHX3" s="1259"/>
      <c r="UHY3" s="1259"/>
      <c r="UHZ3" s="1259"/>
      <c r="UIA3" s="1259"/>
      <c r="UIB3" s="1259"/>
      <c r="UIC3" s="1259"/>
      <c r="UID3" s="1259"/>
      <c r="UIE3" s="1259"/>
      <c r="UIF3" s="1259"/>
      <c r="UIG3" s="1259"/>
      <c r="UIH3" s="1259"/>
      <c r="UII3" s="1259"/>
      <c r="UIJ3" s="1259"/>
      <c r="UIK3" s="1259"/>
      <c r="UIL3" s="1259"/>
      <c r="UIM3" s="1259"/>
      <c r="UIN3" s="1259"/>
      <c r="UIO3" s="1259"/>
      <c r="UIP3" s="1259"/>
      <c r="UIQ3" s="1259"/>
      <c r="UIR3" s="1259"/>
      <c r="UIS3" s="1259"/>
      <c r="UIT3" s="1259"/>
      <c r="UIU3" s="1259"/>
      <c r="UIV3" s="1259"/>
      <c r="UIW3" s="1259"/>
      <c r="UIX3" s="1259"/>
      <c r="UIY3" s="1259"/>
      <c r="UIZ3" s="1259"/>
      <c r="UJA3" s="1259"/>
      <c r="UJB3" s="1259"/>
      <c r="UJC3" s="1259"/>
      <c r="UJD3" s="1259"/>
      <c r="UJE3" s="1259"/>
      <c r="UJF3" s="1259"/>
      <c r="UJG3" s="1259"/>
      <c r="UJH3" s="1259"/>
      <c r="UJI3" s="1259"/>
      <c r="UJJ3" s="1259"/>
      <c r="UJK3" s="1259"/>
      <c r="UJL3" s="1259"/>
      <c r="UJM3" s="1259"/>
      <c r="UJN3" s="1259"/>
      <c r="UJO3" s="1259"/>
      <c r="UJP3" s="1259"/>
      <c r="UJQ3" s="1259"/>
      <c r="UJR3" s="1259"/>
      <c r="UJS3" s="1259"/>
      <c r="UJT3" s="1259"/>
      <c r="UJU3" s="1259"/>
      <c r="UJV3" s="1259"/>
      <c r="UJW3" s="1259"/>
      <c r="UJX3" s="1259"/>
      <c r="UJY3" s="1259"/>
      <c r="UJZ3" s="1259"/>
      <c r="UKA3" s="1259"/>
      <c r="UKB3" s="1259"/>
      <c r="UKC3" s="1259"/>
      <c r="UKD3" s="1259"/>
      <c r="UKE3" s="1259"/>
      <c r="UKF3" s="1259"/>
      <c r="UKG3" s="1259"/>
      <c r="UKH3" s="1259"/>
      <c r="UKI3" s="1259"/>
      <c r="UKJ3" s="1259"/>
      <c r="UKK3" s="1259"/>
      <c r="UKL3" s="1259"/>
      <c r="UKM3" s="1259"/>
      <c r="UKN3" s="1259"/>
      <c r="UKO3" s="1259"/>
      <c r="UKP3" s="1259"/>
      <c r="UKQ3" s="1259"/>
      <c r="UKR3" s="1259"/>
      <c r="UKS3" s="1259"/>
      <c r="UKT3" s="1259"/>
      <c r="UKU3" s="1259"/>
      <c r="UKV3" s="1259"/>
      <c r="UKW3" s="1259"/>
      <c r="UKX3" s="1259"/>
      <c r="UKY3" s="1259"/>
      <c r="UKZ3" s="1259"/>
      <c r="ULA3" s="1259"/>
      <c r="ULB3" s="1259"/>
      <c r="ULC3" s="1259"/>
      <c r="ULD3" s="1259"/>
      <c r="ULE3" s="1259"/>
      <c r="ULF3" s="1259"/>
      <c r="ULG3" s="1259"/>
      <c r="ULH3" s="1259"/>
      <c r="ULI3" s="1259"/>
      <c r="ULJ3" s="1259"/>
      <c r="ULK3" s="1259"/>
      <c r="ULL3" s="1259"/>
      <c r="ULM3" s="1259"/>
      <c r="ULN3" s="1259"/>
      <c r="ULO3" s="1259"/>
      <c r="ULP3" s="1259"/>
      <c r="ULQ3" s="1259"/>
      <c r="ULR3" s="1259"/>
      <c r="ULS3" s="1259"/>
      <c r="ULT3" s="1259"/>
      <c r="ULU3" s="1259"/>
      <c r="ULV3" s="1259"/>
      <c r="ULW3" s="1259"/>
      <c r="ULX3" s="1259"/>
      <c r="ULY3" s="1259"/>
      <c r="ULZ3" s="1259"/>
      <c r="UMA3" s="1259"/>
      <c r="UMB3" s="1259"/>
      <c r="UMC3" s="1259"/>
      <c r="UMD3" s="1259"/>
      <c r="UME3" s="1259"/>
      <c r="UMF3" s="1259"/>
      <c r="UMG3" s="1259"/>
      <c r="UMH3" s="1259"/>
      <c r="UMI3" s="1259"/>
      <c r="UMJ3" s="1259"/>
      <c r="UMK3" s="1259"/>
      <c r="UML3" s="1259"/>
      <c r="UMM3" s="1259"/>
      <c r="UMN3" s="1259"/>
      <c r="UMO3" s="1259"/>
      <c r="UMP3" s="1259"/>
      <c r="UMQ3" s="1259"/>
      <c r="UMR3" s="1259"/>
      <c r="UMS3" s="1259"/>
      <c r="UMT3" s="1259"/>
      <c r="UMU3" s="1259"/>
      <c r="UMV3" s="1259"/>
      <c r="UMW3" s="1259"/>
      <c r="UMX3" s="1259"/>
      <c r="UMY3" s="1259"/>
      <c r="UMZ3" s="1259"/>
      <c r="UNA3" s="1259"/>
      <c r="UNB3" s="1259"/>
      <c r="UNC3" s="1259"/>
      <c r="UND3" s="1259"/>
      <c r="UNE3" s="1259"/>
      <c r="UNF3" s="1259"/>
      <c r="UNG3" s="1259"/>
      <c r="UNH3" s="1259"/>
      <c r="UNI3" s="1259"/>
      <c r="UNJ3" s="1259"/>
      <c r="UNK3" s="1259"/>
      <c r="UNL3" s="1259"/>
      <c r="UNM3" s="1259"/>
      <c r="UNN3" s="1259"/>
      <c r="UNO3" s="1259"/>
      <c r="UNP3" s="1259"/>
      <c r="UNQ3" s="1259"/>
      <c r="UNR3" s="1259"/>
      <c r="UNS3" s="1259"/>
      <c r="UNT3" s="1259"/>
      <c r="UNU3" s="1259"/>
      <c r="UNV3" s="1259"/>
      <c r="UNW3" s="1259"/>
      <c r="UNX3" s="1259"/>
      <c r="UNY3" s="1259"/>
      <c r="UNZ3" s="1259"/>
      <c r="UOA3" s="1259"/>
      <c r="UOB3" s="1259"/>
      <c r="UOC3" s="1259"/>
      <c r="UOD3" s="1259"/>
      <c r="UOE3" s="1259"/>
      <c r="UOF3" s="1259"/>
      <c r="UOG3" s="1259"/>
      <c r="UOH3" s="1259"/>
      <c r="UOI3" s="1259"/>
      <c r="UOJ3" s="1259"/>
      <c r="UOK3" s="1259"/>
      <c r="UOL3" s="1259"/>
      <c r="UOM3" s="1259"/>
      <c r="UON3" s="1259"/>
      <c r="UOO3" s="1259"/>
      <c r="UOP3" s="1259"/>
      <c r="UOQ3" s="1259"/>
      <c r="UOR3" s="1259"/>
      <c r="UOS3" s="1259"/>
      <c r="UOT3" s="1259"/>
      <c r="UOU3" s="1259"/>
      <c r="UOV3" s="1259"/>
      <c r="UOW3" s="1259"/>
      <c r="UOX3" s="1259"/>
      <c r="UOY3" s="1259"/>
      <c r="UOZ3" s="1259"/>
      <c r="UPA3" s="1259"/>
      <c r="UPB3" s="1259"/>
      <c r="UPC3" s="1259"/>
      <c r="UPD3" s="1259"/>
      <c r="UPE3" s="1259"/>
      <c r="UPF3" s="1259"/>
      <c r="UPG3" s="1259"/>
      <c r="UPH3" s="1259"/>
      <c r="UPI3" s="1259"/>
      <c r="UPJ3" s="1259"/>
      <c r="UPK3" s="1259"/>
      <c r="UPL3" s="1259"/>
      <c r="UPM3" s="1259"/>
      <c r="UPN3" s="1259"/>
      <c r="UPO3" s="1259"/>
      <c r="UPP3" s="1259"/>
      <c r="UPQ3" s="1259"/>
      <c r="UPR3" s="1259"/>
      <c r="UPS3" s="1259"/>
      <c r="UPT3" s="1259"/>
      <c r="UPU3" s="1259"/>
      <c r="UPV3" s="1259"/>
      <c r="UPW3" s="1259"/>
      <c r="UPX3" s="1259"/>
      <c r="UPY3" s="1259"/>
      <c r="UPZ3" s="1259"/>
      <c r="UQA3" s="1259"/>
      <c r="UQB3" s="1259"/>
      <c r="UQC3" s="1259"/>
      <c r="UQD3" s="1259"/>
      <c r="UQE3" s="1259"/>
      <c r="UQF3" s="1259"/>
      <c r="UQG3" s="1259"/>
      <c r="UQH3" s="1259"/>
      <c r="UQI3" s="1259"/>
      <c r="UQJ3" s="1259"/>
      <c r="UQK3" s="1259"/>
      <c r="UQL3" s="1259"/>
      <c r="UQM3" s="1259"/>
      <c r="UQN3" s="1259"/>
      <c r="UQO3" s="1259"/>
      <c r="UQP3" s="1259"/>
      <c r="UQQ3" s="1259"/>
      <c r="UQR3" s="1259"/>
      <c r="UQS3" s="1259"/>
      <c r="UQT3" s="1259"/>
      <c r="UQU3" s="1259"/>
      <c r="UQV3" s="1259"/>
      <c r="UQW3" s="1259"/>
      <c r="UQX3" s="1259"/>
      <c r="UQY3" s="1259"/>
      <c r="UQZ3" s="1259"/>
      <c r="URA3" s="1259"/>
      <c r="URB3" s="1259"/>
      <c r="URC3" s="1259"/>
      <c r="URD3" s="1259"/>
      <c r="URE3" s="1259"/>
      <c r="URF3" s="1259"/>
      <c r="URG3" s="1259"/>
      <c r="URH3" s="1259"/>
      <c r="URI3" s="1259"/>
      <c r="URJ3" s="1259"/>
      <c r="URK3" s="1259"/>
      <c r="URL3" s="1259"/>
      <c r="URM3" s="1259"/>
      <c r="URN3" s="1259"/>
      <c r="URO3" s="1259"/>
      <c r="URP3" s="1259"/>
      <c r="URQ3" s="1259"/>
      <c r="URR3" s="1259"/>
      <c r="URS3" s="1259"/>
      <c r="URT3" s="1259"/>
      <c r="URU3" s="1259"/>
      <c r="URV3" s="1259"/>
      <c r="URW3" s="1259"/>
      <c r="URX3" s="1259"/>
      <c r="URY3" s="1259"/>
      <c r="URZ3" s="1259"/>
      <c r="USA3" s="1259"/>
      <c r="USB3" s="1259"/>
      <c r="USC3" s="1259"/>
      <c r="USD3" s="1259"/>
      <c r="USE3" s="1259"/>
      <c r="USF3" s="1259"/>
      <c r="USG3" s="1259"/>
      <c r="USH3" s="1259"/>
      <c r="USI3" s="1259"/>
      <c r="USJ3" s="1259"/>
      <c r="USK3" s="1259"/>
      <c r="USL3" s="1259"/>
      <c r="USM3" s="1259"/>
      <c r="USN3" s="1259"/>
      <c r="USO3" s="1259"/>
      <c r="USP3" s="1259"/>
      <c r="USQ3" s="1259"/>
      <c r="USR3" s="1259"/>
      <c r="USS3" s="1259"/>
      <c r="UST3" s="1259"/>
      <c r="USU3" s="1259"/>
      <c r="USV3" s="1259"/>
      <c r="USW3" s="1259"/>
      <c r="USX3" s="1259"/>
      <c r="USY3" s="1259"/>
      <c r="USZ3" s="1259"/>
      <c r="UTA3" s="1259"/>
      <c r="UTB3" s="1259"/>
      <c r="UTC3" s="1259"/>
      <c r="UTD3" s="1259"/>
      <c r="UTE3" s="1259"/>
      <c r="UTF3" s="1259"/>
      <c r="UTG3" s="1259"/>
      <c r="UTH3" s="1259"/>
      <c r="UTI3" s="1259"/>
      <c r="UTJ3" s="1259"/>
      <c r="UTK3" s="1259"/>
      <c r="UTL3" s="1259"/>
      <c r="UTM3" s="1259"/>
      <c r="UTN3" s="1259"/>
      <c r="UTO3" s="1259"/>
      <c r="UTP3" s="1259"/>
      <c r="UTQ3" s="1259"/>
      <c r="UTR3" s="1259"/>
      <c r="UTS3" s="1259"/>
      <c r="UTT3" s="1259"/>
      <c r="UTU3" s="1259"/>
      <c r="UTV3" s="1259"/>
      <c r="UTW3" s="1259"/>
      <c r="UTX3" s="1259"/>
      <c r="UTY3" s="1259"/>
      <c r="UTZ3" s="1259"/>
      <c r="UUA3" s="1259"/>
      <c r="UUB3" s="1259"/>
      <c r="UUC3" s="1259"/>
      <c r="UUD3" s="1259"/>
      <c r="UUE3" s="1259"/>
      <c r="UUF3" s="1259"/>
      <c r="UUG3" s="1259"/>
      <c r="UUH3" s="1259"/>
      <c r="UUI3" s="1259"/>
      <c r="UUJ3" s="1259"/>
      <c r="UUK3" s="1259"/>
      <c r="UUL3" s="1259"/>
      <c r="UUM3" s="1259"/>
      <c r="UUN3" s="1259"/>
      <c r="UUO3" s="1259"/>
      <c r="UUP3" s="1259"/>
      <c r="UUQ3" s="1259"/>
      <c r="UUR3" s="1259"/>
      <c r="UUS3" s="1259"/>
      <c r="UUT3" s="1259"/>
      <c r="UUU3" s="1259"/>
      <c r="UUV3" s="1259"/>
      <c r="UUW3" s="1259"/>
      <c r="UUX3" s="1259"/>
      <c r="UUY3" s="1259"/>
      <c r="UUZ3" s="1259"/>
      <c r="UVA3" s="1259"/>
      <c r="UVB3" s="1259"/>
      <c r="UVC3" s="1259"/>
      <c r="UVD3" s="1259"/>
      <c r="UVE3" s="1259"/>
      <c r="UVF3" s="1259"/>
      <c r="UVG3" s="1259"/>
      <c r="UVH3" s="1259"/>
      <c r="UVI3" s="1259"/>
      <c r="UVJ3" s="1259"/>
      <c r="UVK3" s="1259"/>
      <c r="UVL3" s="1259"/>
      <c r="UVM3" s="1259"/>
      <c r="UVN3" s="1259"/>
      <c r="UVO3" s="1259"/>
      <c r="UVP3" s="1259"/>
      <c r="UVQ3" s="1259"/>
      <c r="UVR3" s="1259"/>
      <c r="UVS3" s="1259"/>
      <c r="UVT3" s="1259"/>
      <c r="UVU3" s="1259"/>
      <c r="UVV3" s="1259"/>
      <c r="UVW3" s="1259"/>
      <c r="UVX3" s="1259"/>
      <c r="UVY3" s="1259"/>
      <c r="UVZ3" s="1259"/>
      <c r="UWA3" s="1259"/>
      <c r="UWB3" s="1259"/>
      <c r="UWC3" s="1259"/>
      <c r="UWD3" s="1259"/>
      <c r="UWE3" s="1259"/>
      <c r="UWF3" s="1259"/>
      <c r="UWG3" s="1259"/>
      <c r="UWH3" s="1259"/>
      <c r="UWI3" s="1259"/>
      <c r="UWJ3" s="1259"/>
      <c r="UWK3" s="1259"/>
      <c r="UWL3" s="1259"/>
      <c r="UWM3" s="1259"/>
      <c r="UWN3" s="1259"/>
      <c r="UWO3" s="1259"/>
      <c r="UWP3" s="1259"/>
      <c r="UWQ3" s="1259"/>
      <c r="UWR3" s="1259"/>
      <c r="UWS3" s="1259"/>
      <c r="UWT3" s="1259"/>
      <c r="UWU3" s="1259"/>
      <c r="UWV3" s="1259"/>
      <c r="UWW3" s="1259"/>
      <c r="UWX3" s="1259"/>
      <c r="UWY3" s="1259"/>
      <c r="UWZ3" s="1259"/>
      <c r="UXA3" s="1259"/>
      <c r="UXB3" s="1259"/>
      <c r="UXC3" s="1259"/>
      <c r="UXD3" s="1259"/>
      <c r="UXE3" s="1259"/>
      <c r="UXF3" s="1259"/>
      <c r="UXG3" s="1259"/>
      <c r="UXH3" s="1259"/>
      <c r="UXI3" s="1259"/>
      <c r="UXJ3" s="1259"/>
      <c r="UXK3" s="1259"/>
      <c r="UXL3" s="1259"/>
      <c r="UXM3" s="1259"/>
      <c r="UXN3" s="1259"/>
      <c r="UXO3" s="1259"/>
      <c r="UXP3" s="1259"/>
      <c r="UXQ3" s="1259"/>
      <c r="UXR3" s="1259"/>
      <c r="UXS3" s="1259"/>
      <c r="UXT3" s="1259"/>
      <c r="UXU3" s="1259"/>
      <c r="UXV3" s="1259"/>
      <c r="UXW3" s="1259"/>
      <c r="UXX3" s="1259"/>
      <c r="UXY3" s="1259"/>
      <c r="UXZ3" s="1259"/>
      <c r="UYA3" s="1259"/>
      <c r="UYB3" s="1259"/>
      <c r="UYC3" s="1259"/>
      <c r="UYD3" s="1259"/>
      <c r="UYE3" s="1259"/>
      <c r="UYF3" s="1259"/>
      <c r="UYG3" s="1259"/>
      <c r="UYH3" s="1259"/>
      <c r="UYI3" s="1259"/>
      <c r="UYJ3" s="1259"/>
      <c r="UYK3" s="1259"/>
      <c r="UYL3" s="1259"/>
      <c r="UYM3" s="1259"/>
      <c r="UYN3" s="1259"/>
      <c r="UYO3" s="1259"/>
      <c r="UYP3" s="1259"/>
      <c r="UYQ3" s="1259"/>
      <c r="UYR3" s="1259"/>
      <c r="UYS3" s="1259"/>
      <c r="UYT3" s="1259"/>
      <c r="UYU3" s="1259"/>
      <c r="UYV3" s="1259"/>
      <c r="UYW3" s="1259"/>
      <c r="UYX3" s="1259"/>
      <c r="UYY3" s="1259"/>
      <c r="UYZ3" s="1259"/>
      <c r="UZA3" s="1259"/>
      <c r="UZB3" s="1259"/>
      <c r="UZC3" s="1259"/>
      <c r="UZD3" s="1259"/>
      <c r="UZE3" s="1259"/>
      <c r="UZF3" s="1259"/>
      <c r="UZG3" s="1259"/>
      <c r="UZH3" s="1259"/>
      <c r="UZI3" s="1259"/>
      <c r="UZJ3" s="1259"/>
      <c r="UZK3" s="1259"/>
      <c r="UZL3" s="1259"/>
      <c r="UZM3" s="1259"/>
      <c r="UZN3" s="1259"/>
      <c r="UZO3" s="1259"/>
      <c r="UZP3" s="1259"/>
      <c r="UZQ3" s="1259"/>
      <c r="UZR3" s="1259"/>
      <c r="UZS3" s="1259"/>
      <c r="UZT3" s="1259"/>
      <c r="UZU3" s="1259"/>
      <c r="UZV3" s="1259"/>
      <c r="UZW3" s="1259"/>
      <c r="UZX3" s="1259"/>
      <c r="UZY3" s="1259"/>
      <c r="UZZ3" s="1259"/>
      <c r="VAA3" s="1259"/>
      <c r="VAB3" s="1259"/>
      <c r="VAC3" s="1259"/>
      <c r="VAD3" s="1259"/>
      <c r="VAE3" s="1259"/>
      <c r="VAF3" s="1259"/>
      <c r="VAG3" s="1259"/>
      <c r="VAH3" s="1259"/>
      <c r="VAI3" s="1259"/>
      <c r="VAJ3" s="1259"/>
      <c r="VAK3" s="1259"/>
      <c r="VAL3" s="1259"/>
      <c r="VAM3" s="1259"/>
      <c r="VAN3" s="1259"/>
      <c r="VAO3" s="1259"/>
      <c r="VAP3" s="1259"/>
      <c r="VAQ3" s="1259"/>
      <c r="VAR3" s="1259"/>
      <c r="VAS3" s="1259"/>
      <c r="VAT3" s="1259"/>
      <c r="VAU3" s="1259"/>
      <c r="VAV3" s="1259"/>
      <c r="VAW3" s="1259"/>
      <c r="VAX3" s="1259"/>
      <c r="VAY3" s="1259"/>
      <c r="VAZ3" s="1259"/>
      <c r="VBA3" s="1259"/>
      <c r="VBB3" s="1259"/>
      <c r="VBC3" s="1259"/>
      <c r="VBD3" s="1259"/>
      <c r="VBE3" s="1259"/>
      <c r="VBF3" s="1259"/>
      <c r="VBG3" s="1259"/>
      <c r="VBH3" s="1259"/>
      <c r="VBI3" s="1259"/>
      <c r="VBJ3" s="1259"/>
      <c r="VBK3" s="1259"/>
      <c r="VBL3" s="1259"/>
      <c r="VBM3" s="1259"/>
      <c r="VBN3" s="1259"/>
      <c r="VBO3" s="1259"/>
      <c r="VBP3" s="1259"/>
      <c r="VBQ3" s="1259"/>
      <c r="VBR3" s="1259"/>
      <c r="VBS3" s="1259"/>
      <c r="VBT3" s="1259"/>
      <c r="VBU3" s="1259"/>
      <c r="VBV3" s="1259"/>
      <c r="VBW3" s="1259"/>
      <c r="VBX3" s="1259"/>
      <c r="VBY3" s="1259"/>
      <c r="VBZ3" s="1259"/>
      <c r="VCA3" s="1259"/>
      <c r="VCB3" s="1259"/>
      <c r="VCC3" s="1259"/>
      <c r="VCD3" s="1259"/>
      <c r="VCE3" s="1259"/>
      <c r="VCF3" s="1259"/>
      <c r="VCG3" s="1259"/>
      <c r="VCH3" s="1259"/>
      <c r="VCI3" s="1259"/>
      <c r="VCJ3" s="1259"/>
      <c r="VCK3" s="1259"/>
      <c r="VCL3" s="1259"/>
      <c r="VCM3" s="1259"/>
      <c r="VCN3" s="1259"/>
      <c r="VCO3" s="1259"/>
      <c r="VCP3" s="1259"/>
      <c r="VCQ3" s="1259"/>
      <c r="VCR3" s="1259"/>
      <c r="VCS3" s="1259"/>
      <c r="VCT3" s="1259"/>
      <c r="VCU3" s="1259"/>
      <c r="VCV3" s="1259"/>
      <c r="VCW3" s="1259"/>
      <c r="VCX3" s="1259"/>
      <c r="VCY3" s="1259"/>
      <c r="VCZ3" s="1259"/>
      <c r="VDA3" s="1259"/>
      <c r="VDB3" s="1259"/>
      <c r="VDC3" s="1259"/>
      <c r="VDD3" s="1259"/>
      <c r="VDE3" s="1259"/>
      <c r="VDF3" s="1259"/>
      <c r="VDG3" s="1259"/>
      <c r="VDH3" s="1259"/>
      <c r="VDI3" s="1259"/>
      <c r="VDJ3" s="1259"/>
      <c r="VDK3" s="1259"/>
      <c r="VDL3" s="1259"/>
      <c r="VDM3" s="1259"/>
      <c r="VDN3" s="1259"/>
      <c r="VDO3" s="1259"/>
      <c r="VDP3" s="1259"/>
      <c r="VDQ3" s="1259"/>
      <c r="VDR3" s="1259"/>
      <c r="VDS3" s="1259"/>
      <c r="VDT3" s="1259"/>
      <c r="VDU3" s="1259"/>
      <c r="VDV3" s="1259"/>
      <c r="VDW3" s="1259"/>
      <c r="VDX3" s="1259"/>
      <c r="VDY3" s="1259"/>
      <c r="VDZ3" s="1259"/>
      <c r="VEA3" s="1259"/>
      <c r="VEB3" s="1259"/>
      <c r="VEC3" s="1259"/>
      <c r="VED3" s="1259"/>
      <c r="VEE3" s="1259"/>
      <c r="VEF3" s="1259"/>
      <c r="VEG3" s="1259"/>
      <c r="VEH3" s="1259"/>
      <c r="VEI3" s="1259"/>
      <c r="VEJ3" s="1259"/>
      <c r="VEK3" s="1259"/>
      <c r="VEL3" s="1259"/>
      <c r="VEM3" s="1259"/>
      <c r="VEN3" s="1259"/>
      <c r="VEO3" s="1259"/>
      <c r="VEP3" s="1259"/>
      <c r="VEQ3" s="1259"/>
      <c r="VER3" s="1259"/>
      <c r="VES3" s="1259"/>
      <c r="VET3" s="1259"/>
      <c r="VEU3" s="1259"/>
      <c r="VEV3" s="1259"/>
      <c r="VEW3" s="1259"/>
      <c r="VEX3" s="1259"/>
      <c r="VEY3" s="1259"/>
      <c r="VEZ3" s="1259"/>
      <c r="VFA3" s="1259"/>
      <c r="VFB3" s="1259"/>
      <c r="VFC3" s="1259"/>
      <c r="VFD3" s="1259"/>
      <c r="VFE3" s="1259"/>
      <c r="VFF3" s="1259"/>
      <c r="VFG3" s="1259"/>
      <c r="VFH3" s="1259"/>
      <c r="VFI3" s="1259"/>
      <c r="VFJ3" s="1259"/>
      <c r="VFK3" s="1259"/>
      <c r="VFL3" s="1259"/>
      <c r="VFM3" s="1259"/>
      <c r="VFN3" s="1259"/>
      <c r="VFO3" s="1259"/>
      <c r="VFP3" s="1259"/>
      <c r="VFQ3" s="1259"/>
      <c r="VFR3" s="1259"/>
      <c r="VFS3" s="1259"/>
      <c r="VFT3" s="1259"/>
      <c r="VFU3" s="1259"/>
      <c r="VFV3" s="1259"/>
      <c r="VFW3" s="1259"/>
      <c r="VFX3" s="1259"/>
      <c r="VFY3" s="1259"/>
      <c r="VFZ3" s="1259"/>
      <c r="VGA3" s="1259"/>
      <c r="VGB3" s="1259"/>
      <c r="VGC3" s="1259"/>
      <c r="VGD3" s="1259"/>
      <c r="VGE3" s="1259"/>
      <c r="VGF3" s="1259"/>
      <c r="VGG3" s="1259"/>
      <c r="VGH3" s="1259"/>
      <c r="VGI3" s="1259"/>
      <c r="VGJ3" s="1259"/>
      <c r="VGK3" s="1259"/>
      <c r="VGL3" s="1259"/>
      <c r="VGM3" s="1259"/>
      <c r="VGN3" s="1259"/>
      <c r="VGO3" s="1259"/>
      <c r="VGP3" s="1259"/>
      <c r="VGQ3" s="1259"/>
      <c r="VGR3" s="1259"/>
      <c r="VGS3" s="1259"/>
      <c r="VGT3" s="1259"/>
      <c r="VGU3" s="1259"/>
      <c r="VGV3" s="1259"/>
      <c r="VGW3" s="1259"/>
      <c r="VGX3" s="1259"/>
      <c r="VGY3" s="1259"/>
      <c r="VGZ3" s="1259"/>
      <c r="VHA3" s="1259"/>
      <c r="VHB3" s="1259"/>
      <c r="VHC3" s="1259"/>
      <c r="VHD3" s="1259"/>
      <c r="VHE3" s="1259"/>
      <c r="VHF3" s="1259"/>
      <c r="VHG3" s="1259"/>
      <c r="VHH3" s="1259"/>
      <c r="VHI3" s="1259"/>
      <c r="VHJ3" s="1259"/>
      <c r="VHK3" s="1259"/>
      <c r="VHL3" s="1259"/>
      <c r="VHM3" s="1259"/>
      <c r="VHN3" s="1259"/>
      <c r="VHO3" s="1259"/>
      <c r="VHP3" s="1259"/>
      <c r="VHQ3" s="1259"/>
      <c r="VHR3" s="1259"/>
      <c r="VHS3" s="1259"/>
      <c r="VHT3" s="1259"/>
      <c r="VHU3" s="1259"/>
      <c r="VHV3" s="1259"/>
      <c r="VHW3" s="1259"/>
      <c r="VHX3" s="1259"/>
      <c r="VHY3" s="1259"/>
      <c r="VHZ3" s="1259"/>
      <c r="VIA3" s="1259"/>
      <c r="VIB3" s="1259"/>
      <c r="VIC3" s="1259"/>
      <c r="VID3" s="1259"/>
      <c r="VIE3" s="1259"/>
      <c r="VIF3" s="1259"/>
      <c r="VIG3" s="1259"/>
      <c r="VIH3" s="1259"/>
      <c r="VII3" s="1259"/>
      <c r="VIJ3" s="1259"/>
      <c r="VIK3" s="1259"/>
      <c r="VIL3" s="1259"/>
      <c r="VIM3" s="1259"/>
      <c r="VIN3" s="1259"/>
      <c r="VIO3" s="1259"/>
      <c r="VIP3" s="1259"/>
      <c r="VIQ3" s="1259"/>
      <c r="VIR3" s="1259"/>
      <c r="VIS3" s="1259"/>
      <c r="VIT3" s="1259"/>
      <c r="VIU3" s="1259"/>
      <c r="VIV3" s="1259"/>
      <c r="VIW3" s="1259"/>
      <c r="VIX3" s="1259"/>
      <c r="VIY3" s="1259"/>
      <c r="VIZ3" s="1259"/>
      <c r="VJA3" s="1259"/>
      <c r="VJB3" s="1259"/>
      <c r="VJC3" s="1259"/>
      <c r="VJD3" s="1259"/>
      <c r="VJE3" s="1259"/>
      <c r="VJF3" s="1259"/>
      <c r="VJG3" s="1259"/>
      <c r="VJH3" s="1259"/>
      <c r="VJI3" s="1259"/>
      <c r="VJJ3" s="1259"/>
      <c r="VJK3" s="1259"/>
      <c r="VJL3" s="1259"/>
      <c r="VJM3" s="1259"/>
      <c r="VJN3" s="1259"/>
      <c r="VJO3" s="1259"/>
      <c r="VJP3" s="1259"/>
      <c r="VJQ3" s="1259"/>
      <c r="VJR3" s="1259"/>
      <c r="VJS3" s="1259"/>
      <c r="VJT3" s="1259"/>
      <c r="VJU3" s="1259"/>
      <c r="VJV3" s="1259"/>
      <c r="VJW3" s="1259"/>
      <c r="VJX3" s="1259"/>
      <c r="VJY3" s="1259"/>
      <c r="VJZ3" s="1259"/>
      <c r="VKA3" s="1259"/>
      <c r="VKB3" s="1259"/>
      <c r="VKC3" s="1259"/>
      <c r="VKD3" s="1259"/>
      <c r="VKE3" s="1259"/>
      <c r="VKF3" s="1259"/>
      <c r="VKG3" s="1259"/>
      <c r="VKH3" s="1259"/>
      <c r="VKI3" s="1259"/>
      <c r="VKJ3" s="1259"/>
      <c r="VKK3" s="1259"/>
      <c r="VKL3" s="1259"/>
      <c r="VKM3" s="1259"/>
      <c r="VKN3" s="1259"/>
      <c r="VKO3" s="1259"/>
      <c r="VKP3" s="1259"/>
      <c r="VKQ3" s="1259"/>
      <c r="VKR3" s="1259"/>
      <c r="VKS3" s="1259"/>
      <c r="VKT3" s="1259"/>
      <c r="VKU3" s="1259"/>
      <c r="VKV3" s="1259"/>
      <c r="VKW3" s="1259"/>
      <c r="VKX3" s="1259"/>
      <c r="VKY3" s="1259"/>
      <c r="VKZ3" s="1259"/>
      <c r="VLA3" s="1259"/>
      <c r="VLB3" s="1259"/>
      <c r="VLC3" s="1259"/>
      <c r="VLD3" s="1259"/>
      <c r="VLE3" s="1259"/>
      <c r="VLF3" s="1259"/>
      <c r="VLG3" s="1259"/>
      <c r="VLH3" s="1259"/>
      <c r="VLI3" s="1259"/>
      <c r="VLJ3" s="1259"/>
      <c r="VLK3" s="1259"/>
      <c r="VLL3" s="1259"/>
      <c r="VLM3" s="1259"/>
      <c r="VLN3" s="1259"/>
      <c r="VLO3" s="1259"/>
      <c r="VLP3" s="1259"/>
      <c r="VLQ3" s="1259"/>
      <c r="VLR3" s="1259"/>
      <c r="VLS3" s="1259"/>
      <c r="VLT3" s="1259"/>
      <c r="VLU3" s="1259"/>
      <c r="VLV3" s="1259"/>
      <c r="VLW3" s="1259"/>
      <c r="VLX3" s="1259"/>
      <c r="VLY3" s="1259"/>
      <c r="VLZ3" s="1259"/>
      <c r="VMA3" s="1259"/>
      <c r="VMB3" s="1259"/>
      <c r="VMC3" s="1259"/>
      <c r="VMD3" s="1259"/>
      <c r="VME3" s="1259"/>
      <c r="VMF3" s="1259"/>
      <c r="VMG3" s="1259"/>
      <c r="VMH3" s="1259"/>
      <c r="VMI3" s="1259"/>
      <c r="VMJ3" s="1259"/>
      <c r="VMK3" s="1259"/>
      <c r="VML3" s="1259"/>
      <c r="VMM3" s="1259"/>
      <c r="VMN3" s="1259"/>
      <c r="VMO3" s="1259"/>
      <c r="VMP3" s="1259"/>
      <c r="VMQ3" s="1259"/>
      <c r="VMR3" s="1259"/>
      <c r="VMS3" s="1259"/>
      <c r="VMT3" s="1259"/>
      <c r="VMU3" s="1259"/>
      <c r="VMV3" s="1259"/>
      <c r="VMW3" s="1259"/>
      <c r="VMX3" s="1259"/>
      <c r="VMY3" s="1259"/>
      <c r="VMZ3" s="1259"/>
      <c r="VNA3" s="1259"/>
      <c r="VNB3" s="1259"/>
      <c r="VNC3" s="1259"/>
      <c r="VND3" s="1259"/>
      <c r="VNE3" s="1259"/>
      <c r="VNF3" s="1259"/>
      <c r="VNG3" s="1259"/>
      <c r="VNH3" s="1259"/>
      <c r="VNI3" s="1259"/>
      <c r="VNJ3" s="1259"/>
      <c r="VNK3" s="1259"/>
      <c r="VNL3" s="1259"/>
      <c r="VNM3" s="1259"/>
      <c r="VNN3" s="1259"/>
      <c r="VNO3" s="1259"/>
      <c r="VNP3" s="1259"/>
      <c r="VNQ3" s="1259"/>
      <c r="VNR3" s="1259"/>
      <c r="VNS3" s="1259"/>
      <c r="VNT3" s="1259"/>
      <c r="VNU3" s="1259"/>
      <c r="VNV3" s="1259"/>
      <c r="VNW3" s="1259"/>
      <c r="VNX3" s="1259"/>
      <c r="VNY3" s="1259"/>
      <c r="VNZ3" s="1259"/>
      <c r="VOA3" s="1259"/>
      <c r="VOB3" s="1259"/>
      <c r="VOC3" s="1259"/>
      <c r="VOD3" s="1259"/>
      <c r="VOE3" s="1259"/>
      <c r="VOF3" s="1259"/>
      <c r="VOG3" s="1259"/>
      <c r="VOH3" s="1259"/>
      <c r="VOI3" s="1259"/>
      <c r="VOJ3" s="1259"/>
      <c r="VOK3" s="1259"/>
      <c r="VOL3" s="1259"/>
      <c r="VOM3" s="1259"/>
      <c r="VON3" s="1259"/>
      <c r="VOO3" s="1259"/>
      <c r="VOP3" s="1259"/>
      <c r="VOQ3" s="1259"/>
      <c r="VOR3" s="1259"/>
      <c r="VOS3" s="1259"/>
      <c r="VOT3" s="1259"/>
      <c r="VOU3" s="1259"/>
      <c r="VOV3" s="1259"/>
      <c r="VOW3" s="1259"/>
      <c r="VOX3" s="1259"/>
      <c r="VOY3" s="1259"/>
      <c r="VOZ3" s="1259"/>
      <c r="VPA3" s="1259"/>
      <c r="VPB3" s="1259"/>
      <c r="VPC3" s="1259"/>
      <c r="VPD3" s="1259"/>
      <c r="VPE3" s="1259"/>
      <c r="VPF3" s="1259"/>
      <c r="VPG3" s="1259"/>
      <c r="VPH3" s="1259"/>
      <c r="VPI3" s="1259"/>
      <c r="VPJ3" s="1259"/>
      <c r="VPK3" s="1259"/>
      <c r="VPL3" s="1259"/>
      <c r="VPM3" s="1259"/>
      <c r="VPN3" s="1259"/>
      <c r="VPO3" s="1259"/>
      <c r="VPP3" s="1259"/>
      <c r="VPQ3" s="1259"/>
      <c r="VPR3" s="1259"/>
      <c r="VPS3" s="1259"/>
      <c r="VPT3" s="1259"/>
      <c r="VPU3" s="1259"/>
      <c r="VPV3" s="1259"/>
      <c r="VPW3" s="1259"/>
      <c r="VPX3" s="1259"/>
      <c r="VPY3" s="1259"/>
      <c r="VPZ3" s="1259"/>
      <c r="VQA3" s="1259"/>
      <c r="VQB3" s="1259"/>
      <c r="VQC3" s="1259"/>
      <c r="VQD3" s="1259"/>
      <c r="VQE3" s="1259"/>
      <c r="VQF3" s="1259"/>
      <c r="VQG3" s="1259"/>
      <c r="VQH3" s="1259"/>
      <c r="VQI3" s="1259"/>
      <c r="VQJ3" s="1259"/>
      <c r="VQK3" s="1259"/>
      <c r="VQL3" s="1259"/>
      <c r="VQM3" s="1259"/>
      <c r="VQN3" s="1259"/>
      <c r="VQO3" s="1259"/>
      <c r="VQP3" s="1259"/>
      <c r="VQQ3" s="1259"/>
      <c r="VQR3" s="1259"/>
      <c r="VQS3" s="1259"/>
      <c r="VQT3" s="1259"/>
      <c r="VQU3" s="1259"/>
      <c r="VQV3" s="1259"/>
      <c r="VQW3" s="1259"/>
      <c r="VQX3" s="1259"/>
      <c r="VQY3" s="1259"/>
      <c r="VQZ3" s="1259"/>
      <c r="VRA3" s="1259"/>
      <c r="VRB3" s="1259"/>
      <c r="VRC3" s="1259"/>
      <c r="VRD3" s="1259"/>
      <c r="VRE3" s="1259"/>
      <c r="VRF3" s="1259"/>
      <c r="VRG3" s="1259"/>
      <c r="VRH3" s="1259"/>
      <c r="VRI3" s="1259"/>
      <c r="VRJ3" s="1259"/>
      <c r="VRK3" s="1259"/>
      <c r="VRL3" s="1259"/>
      <c r="VRM3" s="1259"/>
      <c r="VRN3" s="1259"/>
      <c r="VRO3" s="1259"/>
      <c r="VRP3" s="1259"/>
      <c r="VRQ3" s="1259"/>
      <c r="VRR3" s="1259"/>
      <c r="VRS3" s="1259"/>
      <c r="VRT3" s="1259"/>
      <c r="VRU3" s="1259"/>
      <c r="VRV3" s="1259"/>
      <c r="VRW3" s="1259"/>
      <c r="VRX3" s="1259"/>
      <c r="VRY3" s="1259"/>
      <c r="VRZ3" s="1259"/>
      <c r="VSA3" s="1259"/>
      <c r="VSB3" s="1259"/>
      <c r="VSC3" s="1259"/>
      <c r="VSD3" s="1259"/>
      <c r="VSE3" s="1259"/>
      <c r="VSF3" s="1259"/>
      <c r="VSG3" s="1259"/>
      <c r="VSH3" s="1259"/>
      <c r="VSI3" s="1259"/>
      <c r="VSJ3" s="1259"/>
      <c r="VSK3" s="1259"/>
      <c r="VSL3" s="1259"/>
      <c r="VSM3" s="1259"/>
      <c r="VSN3" s="1259"/>
      <c r="VSO3" s="1259"/>
      <c r="VSP3" s="1259"/>
      <c r="VSQ3" s="1259"/>
      <c r="VSR3" s="1259"/>
      <c r="VSS3" s="1259"/>
      <c r="VST3" s="1259"/>
      <c r="VSU3" s="1259"/>
      <c r="VSV3" s="1259"/>
      <c r="VSW3" s="1259"/>
      <c r="VSX3" s="1259"/>
      <c r="VSY3" s="1259"/>
      <c r="VSZ3" s="1259"/>
      <c r="VTA3" s="1259"/>
      <c r="VTB3" s="1259"/>
      <c r="VTC3" s="1259"/>
      <c r="VTD3" s="1259"/>
      <c r="VTE3" s="1259"/>
      <c r="VTF3" s="1259"/>
      <c r="VTG3" s="1259"/>
      <c r="VTH3" s="1259"/>
      <c r="VTI3" s="1259"/>
      <c r="VTJ3" s="1259"/>
      <c r="VTK3" s="1259"/>
      <c r="VTL3" s="1259"/>
      <c r="VTM3" s="1259"/>
      <c r="VTN3" s="1259"/>
      <c r="VTO3" s="1259"/>
      <c r="VTP3" s="1259"/>
      <c r="VTQ3" s="1259"/>
      <c r="VTR3" s="1259"/>
      <c r="VTS3" s="1259"/>
      <c r="VTT3" s="1259"/>
      <c r="VTU3" s="1259"/>
      <c r="VTV3" s="1259"/>
      <c r="VTW3" s="1259"/>
      <c r="VTX3" s="1259"/>
      <c r="VTY3" s="1259"/>
      <c r="VTZ3" s="1259"/>
      <c r="VUA3" s="1259"/>
      <c r="VUB3" s="1259"/>
      <c r="VUC3" s="1259"/>
      <c r="VUD3" s="1259"/>
      <c r="VUE3" s="1259"/>
      <c r="VUF3" s="1259"/>
      <c r="VUG3" s="1259"/>
      <c r="VUH3" s="1259"/>
      <c r="VUI3" s="1259"/>
      <c r="VUJ3" s="1259"/>
      <c r="VUK3" s="1259"/>
      <c r="VUL3" s="1259"/>
      <c r="VUM3" s="1259"/>
      <c r="VUN3" s="1259"/>
      <c r="VUO3" s="1259"/>
      <c r="VUP3" s="1259"/>
      <c r="VUQ3" s="1259"/>
      <c r="VUR3" s="1259"/>
      <c r="VUS3" s="1259"/>
      <c r="VUT3" s="1259"/>
      <c r="VUU3" s="1259"/>
      <c r="VUV3" s="1259"/>
      <c r="VUW3" s="1259"/>
      <c r="VUX3" s="1259"/>
      <c r="VUY3" s="1259"/>
      <c r="VUZ3" s="1259"/>
      <c r="VVA3" s="1259"/>
      <c r="VVB3" s="1259"/>
      <c r="VVC3" s="1259"/>
      <c r="VVD3" s="1259"/>
      <c r="VVE3" s="1259"/>
      <c r="VVF3" s="1259"/>
      <c r="VVG3" s="1259"/>
      <c r="VVH3" s="1259"/>
      <c r="VVI3" s="1259"/>
      <c r="VVJ3" s="1259"/>
      <c r="VVK3" s="1259"/>
      <c r="VVL3" s="1259"/>
      <c r="VVM3" s="1259"/>
      <c r="VVN3" s="1259"/>
      <c r="VVO3" s="1259"/>
      <c r="VVP3" s="1259"/>
      <c r="VVQ3" s="1259"/>
      <c r="VVR3" s="1259"/>
      <c r="VVS3" s="1259"/>
      <c r="VVT3" s="1259"/>
      <c r="VVU3" s="1259"/>
      <c r="VVV3" s="1259"/>
      <c r="VVW3" s="1259"/>
      <c r="VVX3" s="1259"/>
      <c r="VVY3" s="1259"/>
      <c r="VVZ3" s="1259"/>
      <c r="VWA3" s="1259"/>
      <c r="VWB3" s="1259"/>
      <c r="VWC3" s="1259"/>
      <c r="VWD3" s="1259"/>
      <c r="VWE3" s="1259"/>
      <c r="VWF3" s="1259"/>
      <c r="VWG3" s="1259"/>
      <c r="VWH3" s="1259"/>
      <c r="VWI3" s="1259"/>
      <c r="VWJ3" s="1259"/>
      <c r="VWK3" s="1259"/>
      <c r="VWL3" s="1259"/>
      <c r="VWM3" s="1259"/>
      <c r="VWN3" s="1259"/>
      <c r="VWO3" s="1259"/>
      <c r="VWP3" s="1259"/>
      <c r="VWQ3" s="1259"/>
      <c r="VWR3" s="1259"/>
      <c r="VWS3" s="1259"/>
      <c r="VWT3" s="1259"/>
      <c r="VWU3" s="1259"/>
      <c r="VWV3" s="1259"/>
      <c r="VWW3" s="1259"/>
      <c r="VWX3" s="1259"/>
      <c r="VWY3" s="1259"/>
      <c r="VWZ3" s="1259"/>
      <c r="VXA3" s="1259"/>
      <c r="VXB3" s="1259"/>
      <c r="VXC3" s="1259"/>
      <c r="VXD3" s="1259"/>
      <c r="VXE3" s="1259"/>
      <c r="VXF3" s="1259"/>
      <c r="VXG3" s="1259"/>
      <c r="VXH3" s="1259"/>
      <c r="VXI3" s="1259"/>
      <c r="VXJ3" s="1259"/>
      <c r="VXK3" s="1259"/>
      <c r="VXL3" s="1259"/>
      <c r="VXM3" s="1259"/>
      <c r="VXN3" s="1259"/>
      <c r="VXO3" s="1259"/>
      <c r="VXP3" s="1259"/>
      <c r="VXQ3" s="1259"/>
      <c r="VXR3" s="1259"/>
      <c r="VXS3" s="1259"/>
      <c r="VXT3" s="1259"/>
      <c r="VXU3" s="1259"/>
      <c r="VXV3" s="1259"/>
      <c r="VXW3" s="1259"/>
      <c r="VXX3" s="1259"/>
      <c r="VXY3" s="1259"/>
      <c r="VXZ3" s="1259"/>
      <c r="VYA3" s="1259"/>
      <c r="VYB3" s="1259"/>
      <c r="VYC3" s="1259"/>
      <c r="VYD3" s="1259"/>
      <c r="VYE3" s="1259"/>
      <c r="VYF3" s="1259"/>
      <c r="VYG3" s="1259"/>
      <c r="VYH3" s="1259"/>
      <c r="VYI3" s="1259"/>
      <c r="VYJ3" s="1259"/>
      <c r="VYK3" s="1259"/>
      <c r="VYL3" s="1259"/>
      <c r="VYM3" s="1259"/>
      <c r="VYN3" s="1259"/>
      <c r="VYO3" s="1259"/>
      <c r="VYP3" s="1259"/>
      <c r="VYQ3" s="1259"/>
      <c r="VYR3" s="1259"/>
      <c r="VYS3" s="1259"/>
      <c r="VYT3" s="1259"/>
      <c r="VYU3" s="1259"/>
      <c r="VYV3" s="1259"/>
      <c r="VYW3" s="1259"/>
      <c r="VYX3" s="1259"/>
      <c r="VYY3" s="1259"/>
      <c r="VYZ3" s="1259"/>
      <c r="VZA3" s="1259"/>
      <c r="VZB3" s="1259"/>
      <c r="VZC3" s="1259"/>
      <c r="VZD3" s="1259"/>
      <c r="VZE3" s="1259"/>
      <c r="VZF3" s="1259"/>
      <c r="VZG3" s="1259"/>
      <c r="VZH3" s="1259"/>
      <c r="VZI3" s="1259"/>
      <c r="VZJ3" s="1259"/>
      <c r="VZK3" s="1259"/>
      <c r="VZL3" s="1259"/>
      <c r="VZM3" s="1259"/>
      <c r="VZN3" s="1259"/>
      <c r="VZO3" s="1259"/>
      <c r="VZP3" s="1259"/>
      <c r="VZQ3" s="1259"/>
      <c r="VZR3" s="1259"/>
      <c r="VZS3" s="1259"/>
      <c r="VZT3" s="1259"/>
      <c r="VZU3" s="1259"/>
      <c r="VZV3" s="1259"/>
      <c r="VZW3" s="1259"/>
      <c r="VZX3" s="1259"/>
      <c r="VZY3" s="1259"/>
      <c r="VZZ3" s="1259"/>
      <c r="WAA3" s="1259"/>
      <c r="WAB3" s="1259"/>
      <c r="WAC3" s="1259"/>
      <c r="WAD3" s="1259"/>
      <c r="WAE3" s="1259"/>
      <c r="WAF3" s="1259"/>
      <c r="WAG3" s="1259"/>
      <c r="WAH3" s="1259"/>
      <c r="WAI3" s="1259"/>
      <c r="WAJ3" s="1259"/>
      <c r="WAK3" s="1259"/>
      <c r="WAL3" s="1259"/>
      <c r="WAM3" s="1259"/>
      <c r="WAN3" s="1259"/>
      <c r="WAO3" s="1259"/>
      <c r="WAP3" s="1259"/>
      <c r="WAQ3" s="1259"/>
      <c r="WAR3" s="1259"/>
      <c r="WAS3" s="1259"/>
      <c r="WAT3" s="1259"/>
      <c r="WAU3" s="1259"/>
      <c r="WAV3" s="1259"/>
      <c r="WAW3" s="1259"/>
      <c r="WAX3" s="1259"/>
      <c r="WAY3" s="1259"/>
      <c r="WAZ3" s="1259"/>
      <c r="WBA3" s="1259"/>
      <c r="WBB3" s="1259"/>
      <c r="WBC3" s="1259"/>
      <c r="WBD3" s="1259"/>
      <c r="WBE3" s="1259"/>
      <c r="WBF3" s="1259"/>
      <c r="WBG3" s="1259"/>
      <c r="WBH3" s="1259"/>
      <c r="WBI3" s="1259"/>
      <c r="WBJ3" s="1259"/>
      <c r="WBK3" s="1259"/>
      <c r="WBL3" s="1259"/>
      <c r="WBM3" s="1259"/>
      <c r="WBN3" s="1259"/>
      <c r="WBO3" s="1259"/>
      <c r="WBP3" s="1259"/>
      <c r="WBQ3" s="1259"/>
      <c r="WBR3" s="1259"/>
      <c r="WBS3" s="1259"/>
      <c r="WBT3" s="1259"/>
      <c r="WBU3" s="1259"/>
      <c r="WBV3" s="1259"/>
      <c r="WBW3" s="1259"/>
      <c r="WBX3" s="1259"/>
      <c r="WBY3" s="1259"/>
      <c r="WBZ3" s="1259"/>
      <c r="WCA3" s="1259"/>
      <c r="WCB3" s="1259"/>
      <c r="WCC3" s="1259"/>
      <c r="WCD3" s="1259"/>
      <c r="WCE3" s="1259"/>
      <c r="WCF3" s="1259"/>
      <c r="WCG3" s="1259"/>
      <c r="WCH3" s="1259"/>
      <c r="WCI3" s="1259"/>
      <c r="WCJ3" s="1259"/>
      <c r="WCK3" s="1259"/>
      <c r="WCL3" s="1259"/>
      <c r="WCM3" s="1259"/>
      <c r="WCN3" s="1259"/>
      <c r="WCO3" s="1259"/>
      <c r="WCP3" s="1259"/>
      <c r="WCQ3" s="1259"/>
      <c r="WCR3" s="1259"/>
      <c r="WCS3" s="1259"/>
      <c r="WCT3" s="1259"/>
      <c r="WCU3" s="1259"/>
      <c r="WCV3" s="1259"/>
      <c r="WCW3" s="1259"/>
      <c r="WCX3" s="1259"/>
      <c r="WCY3" s="1259"/>
      <c r="WCZ3" s="1259"/>
      <c r="WDA3" s="1259"/>
      <c r="WDB3" s="1259"/>
      <c r="WDC3" s="1259"/>
      <c r="WDD3" s="1259"/>
      <c r="WDE3" s="1259"/>
      <c r="WDF3" s="1259"/>
      <c r="WDG3" s="1259"/>
      <c r="WDH3" s="1259"/>
      <c r="WDI3" s="1259"/>
      <c r="WDJ3" s="1259"/>
      <c r="WDK3" s="1259"/>
      <c r="WDL3" s="1259"/>
      <c r="WDM3" s="1259"/>
      <c r="WDN3" s="1259"/>
      <c r="WDO3" s="1259"/>
      <c r="WDP3" s="1259"/>
      <c r="WDQ3" s="1259"/>
      <c r="WDR3" s="1259"/>
      <c r="WDS3" s="1259"/>
      <c r="WDT3" s="1259"/>
      <c r="WDU3" s="1259"/>
      <c r="WDV3" s="1259"/>
      <c r="WDW3" s="1259"/>
      <c r="WDX3" s="1259"/>
      <c r="WDY3" s="1259"/>
      <c r="WDZ3" s="1259"/>
      <c r="WEA3" s="1259"/>
      <c r="WEB3" s="1259"/>
      <c r="WEC3" s="1259"/>
      <c r="WED3" s="1259"/>
      <c r="WEE3" s="1259"/>
      <c r="WEF3" s="1259"/>
      <c r="WEG3" s="1259"/>
      <c r="WEH3" s="1259"/>
      <c r="WEI3" s="1259"/>
      <c r="WEJ3" s="1259"/>
      <c r="WEK3" s="1259"/>
      <c r="WEL3" s="1259"/>
      <c r="WEM3" s="1259"/>
      <c r="WEN3" s="1259"/>
      <c r="WEO3" s="1259"/>
      <c r="WEP3" s="1259"/>
      <c r="WEQ3" s="1259"/>
      <c r="WER3" s="1259"/>
      <c r="WES3" s="1259"/>
      <c r="WET3" s="1259"/>
      <c r="WEU3" s="1259"/>
      <c r="WEV3" s="1259"/>
      <c r="WEW3" s="1259"/>
      <c r="WEX3" s="1259"/>
      <c r="WEY3" s="1259"/>
      <c r="WEZ3" s="1259"/>
      <c r="WFA3" s="1259"/>
      <c r="WFB3" s="1259"/>
      <c r="WFC3" s="1259"/>
      <c r="WFD3" s="1259"/>
      <c r="WFE3" s="1259"/>
      <c r="WFF3" s="1259"/>
      <c r="WFG3" s="1259"/>
      <c r="WFH3" s="1259"/>
      <c r="WFI3" s="1259"/>
      <c r="WFJ3" s="1259"/>
      <c r="WFK3" s="1259"/>
      <c r="WFL3" s="1259"/>
      <c r="WFM3" s="1259"/>
      <c r="WFN3" s="1259"/>
      <c r="WFO3" s="1259"/>
      <c r="WFP3" s="1259"/>
      <c r="WFQ3" s="1259"/>
      <c r="WFR3" s="1259"/>
      <c r="WFS3" s="1259"/>
      <c r="WFT3" s="1259"/>
      <c r="WFU3" s="1259"/>
      <c r="WFV3" s="1259"/>
      <c r="WFW3" s="1259"/>
      <c r="WFX3" s="1259"/>
      <c r="WFY3" s="1259"/>
      <c r="WFZ3" s="1259"/>
      <c r="WGA3" s="1259"/>
      <c r="WGB3" s="1259"/>
      <c r="WGC3" s="1259"/>
      <c r="WGD3" s="1259"/>
      <c r="WGE3" s="1259"/>
      <c r="WGF3" s="1259"/>
      <c r="WGG3" s="1259"/>
      <c r="WGH3" s="1259"/>
      <c r="WGI3" s="1259"/>
      <c r="WGJ3" s="1259"/>
      <c r="WGK3" s="1259"/>
      <c r="WGL3" s="1259"/>
      <c r="WGM3" s="1259"/>
      <c r="WGN3" s="1259"/>
      <c r="WGO3" s="1259"/>
      <c r="WGP3" s="1259"/>
      <c r="WGQ3" s="1259"/>
      <c r="WGR3" s="1259"/>
      <c r="WGS3" s="1259"/>
      <c r="WGT3" s="1259"/>
      <c r="WGU3" s="1259"/>
      <c r="WGV3" s="1259"/>
      <c r="WGW3" s="1259"/>
      <c r="WGX3" s="1259"/>
      <c r="WGY3" s="1259"/>
      <c r="WGZ3" s="1259"/>
      <c r="WHA3" s="1259"/>
      <c r="WHB3" s="1259"/>
      <c r="WHC3" s="1259"/>
      <c r="WHD3" s="1259"/>
      <c r="WHE3" s="1259"/>
      <c r="WHF3" s="1259"/>
      <c r="WHG3" s="1259"/>
      <c r="WHH3" s="1259"/>
      <c r="WHI3" s="1259"/>
      <c r="WHJ3" s="1259"/>
      <c r="WHK3" s="1259"/>
      <c r="WHL3" s="1259"/>
      <c r="WHM3" s="1259"/>
      <c r="WHN3" s="1259"/>
      <c r="WHO3" s="1259"/>
      <c r="WHP3" s="1259"/>
      <c r="WHQ3" s="1259"/>
      <c r="WHR3" s="1259"/>
      <c r="WHS3" s="1259"/>
      <c r="WHT3" s="1259"/>
      <c r="WHU3" s="1259"/>
      <c r="WHV3" s="1259"/>
      <c r="WHW3" s="1259"/>
      <c r="WHX3" s="1259"/>
      <c r="WHY3" s="1259"/>
      <c r="WHZ3" s="1259"/>
      <c r="WIA3" s="1259"/>
      <c r="WIB3" s="1259"/>
      <c r="WIC3" s="1259"/>
      <c r="WID3" s="1259"/>
      <c r="WIE3" s="1259"/>
      <c r="WIF3" s="1259"/>
      <c r="WIG3" s="1259"/>
      <c r="WIH3" s="1259"/>
      <c r="WII3" s="1259"/>
      <c r="WIJ3" s="1259"/>
      <c r="WIK3" s="1259"/>
      <c r="WIL3" s="1259"/>
      <c r="WIM3" s="1259"/>
      <c r="WIN3" s="1259"/>
      <c r="WIO3" s="1259"/>
      <c r="WIP3" s="1259"/>
      <c r="WIQ3" s="1259"/>
      <c r="WIR3" s="1259"/>
      <c r="WIS3" s="1259"/>
      <c r="WIT3" s="1259"/>
      <c r="WIU3" s="1259"/>
      <c r="WIV3" s="1259"/>
      <c r="WIW3" s="1259"/>
      <c r="WIX3" s="1259"/>
      <c r="WIY3" s="1259"/>
      <c r="WIZ3" s="1259"/>
      <c r="WJA3" s="1259"/>
      <c r="WJB3" s="1259"/>
      <c r="WJC3" s="1259"/>
      <c r="WJD3" s="1259"/>
      <c r="WJE3" s="1259"/>
      <c r="WJF3" s="1259"/>
      <c r="WJG3" s="1259"/>
      <c r="WJH3" s="1259"/>
      <c r="WJI3" s="1259"/>
      <c r="WJJ3" s="1259"/>
      <c r="WJK3" s="1259"/>
      <c r="WJL3" s="1259"/>
      <c r="WJM3" s="1259"/>
      <c r="WJN3" s="1259"/>
      <c r="WJO3" s="1259"/>
      <c r="WJP3" s="1259"/>
      <c r="WJQ3" s="1259"/>
      <c r="WJR3" s="1259"/>
      <c r="WJS3" s="1259"/>
      <c r="WJT3" s="1259"/>
      <c r="WJU3" s="1259"/>
      <c r="WJV3" s="1259"/>
      <c r="WJW3" s="1259"/>
      <c r="WJX3" s="1259"/>
      <c r="WJY3" s="1259"/>
      <c r="WJZ3" s="1259"/>
      <c r="WKA3" s="1259"/>
      <c r="WKB3" s="1259"/>
      <c r="WKC3" s="1259"/>
      <c r="WKD3" s="1259"/>
      <c r="WKE3" s="1259"/>
      <c r="WKF3" s="1259"/>
      <c r="WKG3" s="1259"/>
      <c r="WKH3" s="1259"/>
      <c r="WKI3" s="1259"/>
      <c r="WKJ3" s="1259"/>
      <c r="WKK3" s="1259"/>
      <c r="WKL3" s="1259"/>
      <c r="WKM3" s="1259"/>
      <c r="WKN3" s="1259"/>
      <c r="WKO3" s="1259"/>
      <c r="WKP3" s="1259"/>
      <c r="WKQ3" s="1259"/>
      <c r="WKR3" s="1259"/>
      <c r="WKS3" s="1259"/>
      <c r="WKT3" s="1259"/>
      <c r="WKU3" s="1259"/>
      <c r="WKV3" s="1259"/>
      <c r="WKW3" s="1259"/>
      <c r="WKX3" s="1259"/>
      <c r="WKY3" s="1259"/>
      <c r="WKZ3" s="1259"/>
      <c r="WLA3" s="1259"/>
      <c r="WLB3" s="1259"/>
      <c r="WLC3" s="1259"/>
      <c r="WLD3" s="1259"/>
      <c r="WLE3" s="1259"/>
      <c r="WLF3" s="1259"/>
      <c r="WLG3" s="1259"/>
      <c r="WLH3" s="1259"/>
      <c r="WLI3" s="1259"/>
      <c r="WLJ3" s="1259"/>
      <c r="WLK3" s="1259"/>
      <c r="WLL3" s="1259"/>
      <c r="WLM3" s="1259"/>
      <c r="WLN3" s="1259"/>
      <c r="WLO3" s="1259"/>
      <c r="WLP3" s="1259"/>
      <c r="WLQ3" s="1259"/>
      <c r="WLR3" s="1259"/>
      <c r="WLS3" s="1259"/>
      <c r="WLT3" s="1259"/>
      <c r="WLU3" s="1259"/>
      <c r="WLV3" s="1259"/>
      <c r="WLW3" s="1259"/>
      <c r="WLX3" s="1259"/>
      <c r="WLY3" s="1259"/>
      <c r="WLZ3" s="1259"/>
      <c r="WMA3" s="1259"/>
      <c r="WMB3" s="1259"/>
      <c r="WMC3" s="1259"/>
      <c r="WMD3" s="1259"/>
      <c r="WME3" s="1259"/>
      <c r="WMF3" s="1259"/>
      <c r="WMG3" s="1259"/>
      <c r="WMH3" s="1259"/>
      <c r="WMI3" s="1259"/>
      <c r="WMJ3" s="1259"/>
      <c r="WMK3" s="1259"/>
      <c r="WML3" s="1259"/>
      <c r="WMM3" s="1259"/>
      <c r="WMN3" s="1259"/>
      <c r="WMO3" s="1259"/>
      <c r="WMP3" s="1259"/>
      <c r="WMQ3" s="1259"/>
      <c r="WMR3" s="1259"/>
      <c r="WMS3" s="1259"/>
      <c r="WMT3" s="1259"/>
      <c r="WMU3" s="1259"/>
      <c r="WMV3" s="1259"/>
      <c r="WMW3" s="1259"/>
      <c r="WMX3" s="1259"/>
      <c r="WMY3" s="1259"/>
      <c r="WMZ3" s="1259"/>
      <c r="WNA3" s="1259"/>
      <c r="WNB3" s="1259"/>
      <c r="WNC3" s="1259"/>
      <c r="WND3" s="1259"/>
      <c r="WNE3" s="1259"/>
      <c r="WNF3" s="1259"/>
      <c r="WNG3" s="1259"/>
      <c r="WNH3" s="1259"/>
      <c r="WNI3" s="1259"/>
      <c r="WNJ3" s="1259"/>
      <c r="WNK3" s="1259"/>
      <c r="WNL3" s="1259"/>
      <c r="WNM3" s="1259"/>
      <c r="WNN3" s="1259"/>
      <c r="WNO3" s="1259"/>
      <c r="WNP3" s="1259"/>
      <c r="WNQ3" s="1259"/>
      <c r="WNR3" s="1259"/>
      <c r="WNS3" s="1259"/>
      <c r="WNT3" s="1259"/>
      <c r="WNU3" s="1259"/>
      <c r="WNV3" s="1259"/>
      <c r="WNW3" s="1259"/>
      <c r="WNX3" s="1259"/>
      <c r="WNY3" s="1259"/>
      <c r="WNZ3" s="1259"/>
      <c r="WOA3" s="1259"/>
      <c r="WOB3" s="1259"/>
      <c r="WOC3" s="1259"/>
      <c r="WOD3" s="1259"/>
      <c r="WOE3" s="1259"/>
      <c r="WOF3" s="1259"/>
      <c r="WOG3" s="1259"/>
      <c r="WOH3" s="1259"/>
      <c r="WOI3" s="1259"/>
      <c r="WOJ3" s="1259"/>
      <c r="WOK3" s="1259"/>
      <c r="WOL3" s="1259"/>
      <c r="WOM3" s="1259"/>
      <c r="WON3" s="1259"/>
      <c r="WOO3" s="1259"/>
      <c r="WOP3" s="1259"/>
      <c r="WOQ3" s="1259"/>
      <c r="WOR3" s="1259"/>
      <c r="WOS3" s="1259"/>
      <c r="WOT3" s="1259"/>
      <c r="WOU3" s="1259"/>
      <c r="WOV3" s="1259"/>
      <c r="WOW3" s="1259"/>
      <c r="WOX3" s="1259"/>
      <c r="WOY3" s="1259"/>
      <c r="WOZ3" s="1259"/>
      <c r="WPA3" s="1259"/>
      <c r="WPB3" s="1259"/>
      <c r="WPC3" s="1259"/>
      <c r="WPD3" s="1259"/>
      <c r="WPE3" s="1259"/>
      <c r="WPF3" s="1259"/>
      <c r="WPG3" s="1259"/>
      <c r="WPH3" s="1259"/>
      <c r="WPI3" s="1259"/>
      <c r="WPJ3" s="1259"/>
      <c r="WPK3" s="1259"/>
      <c r="WPL3" s="1259"/>
      <c r="WPM3" s="1259"/>
      <c r="WPN3" s="1259"/>
      <c r="WPO3" s="1259"/>
      <c r="WPP3" s="1259"/>
      <c r="WPQ3" s="1259"/>
      <c r="WPR3" s="1259"/>
      <c r="WPS3" s="1259"/>
      <c r="WPT3" s="1259"/>
      <c r="WPU3" s="1259"/>
      <c r="WPV3" s="1259"/>
      <c r="WPW3" s="1259"/>
      <c r="WPX3" s="1259"/>
      <c r="WPY3" s="1259"/>
      <c r="WPZ3" s="1259"/>
      <c r="WQA3" s="1259"/>
      <c r="WQB3" s="1259"/>
      <c r="WQC3" s="1259"/>
      <c r="WQD3" s="1259"/>
      <c r="WQE3" s="1259"/>
      <c r="WQF3" s="1259"/>
      <c r="WQG3" s="1259"/>
      <c r="WQH3" s="1259"/>
      <c r="WQI3" s="1259"/>
      <c r="WQJ3" s="1259"/>
      <c r="WQK3" s="1259"/>
      <c r="WQL3" s="1259"/>
      <c r="WQM3" s="1259"/>
      <c r="WQN3" s="1259"/>
      <c r="WQO3" s="1259"/>
      <c r="WQP3" s="1259"/>
      <c r="WQQ3" s="1259"/>
      <c r="WQR3" s="1259"/>
      <c r="WQS3" s="1259"/>
      <c r="WQT3" s="1259"/>
      <c r="WQU3" s="1259"/>
      <c r="WQV3" s="1259"/>
      <c r="WQW3" s="1259"/>
      <c r="WQX3" s="1259"/>
      <c r="WQY3" s="1259"/>
      <c r="WQZ3" s="1259"/>
      <c r="WRA3" s="1259"/>
      <c r="WRB3" s="1259"/>
      <c r="WRC3" s="1259"/>
      <c r="WRD3" s="1259"/>
      <c r="WRE3" s="1259"/>
      <c r="WRF3" s="1259"/>
      <c r="WRG3" s="1259"/>
      <c r="WRH3" s="1259"/>
      <c r="WRI3" s="1259"/>
      <c r="WRJ3" s="1259"/>
      <c r="WRK3" s="1259"/>
      <c r="WRL3" s="1259"/>
      <c r="WRM3" s="1259"/>
      <c r="WRN3" s="1259"/>
      <c r="WRO3" s="1259"/>
      <c r="WRP3" s="1259"/>
      <c r="WRQ3" s="1259"/>
      <c r="WRR3" s="1259"/>
      <c r="WRS3" s="1259"/>
      <c r="WRT3" s="1259"/>
      <c r="WRU3" s="1259"/>
      <c r="WRV3" s="1259"/>
      <c r="WRW3" s="1259"/>
      <c r="WRX3" s="1259"/>
      <c r="WRY3" s="1259"/>
      <c r="WRZ3" s="1259"/>
      <c r="WSA3" s="1259"/>
      <c r="WSB3" s="1259"/>
      <c r="WSC3" s="1259"/>
      <c r="WSD3" s="1259"/>
      <c r="WSE3" s="1259"/>
      <c r="WSF3" s="1259"/>
      <c r="WSG3" s="1259"/>
      <c r="WSH3" s="1259"/>
      <c r="WSI3" s="1259"/>
      <c r="WSJ3" s="1259"/>
      <c r="WSK3" s="1259"/>
      <c r="WSL3" s="1259"/>
      <c r="WSM3" s="1259"/>
      <c r="WSN3" s="1259"/>
      <c r="WSO3" s="1259"/>
      <c r="WSP3" s="1259"/>
      <c r="WSQ3" s="1259"/>
      <c r="WSR3" s="1259"/>
      <c r="WSS3" s="1259"/>
      <c r="WST3" s="1259"/>
      <c r="WSU3" s="1259"/>
      <c r="WSV3" s="1259"/>
      <c r="WSW3" s="1259"/>
      <c r="WSX3" s="1259"/>
      <c r="WSY3" s="1259"/>
      <c r="WSZ3" s="1259"/>
      <c r="WTA3" s="1259"/>
      <c r="WTB3" s="1259"/>
      <c r="WTC3" s="1259"/>
      <c r="WTD3" s="1259"/>
      <c r="WTE3" s="1259"/>
      <c r="WTF3" s="1259"/>
      <c r="WTG3" s="1259"/>
      <c r="WTH3" s="1259"/>
      <c r="WTI3" s="1259"/>
      <c r="WTJ3" s="1259"/>
      <c r="WTK3" s="1259"/>
      <c r="WTL3" s="1259"/>
      <c r="WTM3" s="1259"/>
      <c r="WTN3" s="1259"/>
      <c r="WTO3" s="1259"/>
      <c r="WTP3" s="1259"/>
      <c r="WTQ3" s="1259"/>
      <c r="WTR3" s="1259"/>
      <c r="WTS3" s="1259"/>
      <c r="WTT3" s="1259"/>
      <c r="WTU3" s="1259"/>
      <c r="WTV3" s="1259"/>
      <c r="WTW3" s="1259"/>
      <c r="WTX3" s="1259"/>
      <c r="WTY3" s="1259"/>
      <c r="WTZ3" s="1259"/>
      <c r="WUA3" s="1259"/>
      <c r="WUB3" s="1259"/>
      <c r="WUC3" s="1259"/>
      <c r="WUD3" s="1259"/>
      <c r="WUE3" s="1259"/>
      <c r="WUF3" s="1259"/>
      <c r="WUG3" s="1259"/>
      <c r="WUH3" s="1259"/>
      <c r="WUI3" s="1259"/>
      <c r="WUJ3" s="1259"/>
      <c r="WUK3" s="1259"/>
      <c r="WUL3" s="1259"/>
      <c r="WUM3" s="1259"/>
      <c r="WUN3" s="1259"/>
      <c r="WUO3" s="1259"/>
      <c r="WUP3" s="1259"/>
      <c r="WUQ3" s="1259"/>
      <c r="WUR3" s="1259"/>
      <c r="WUS3" s="1259"/>
      <c r="WUT3" s="1259"/>
      <c r="WUU3" s="1259"/>
      <c r="WUV3" s="1259"/>
      <c r="WUW3" s="1259"/>
      <c r="WUX3" s="1259"/>
      <c r="WUY3" s="1259"/>
      <c r="WUZ3" s="1259"/>
      <c r="WVA3" s="1259"/>
      <c r="WVB3" s="1259"/>
      <c r="WVC3" s="1259"/>
      <c r="WVD3" s="1259"/>
      <c r="WVE3" s="1259"/>
      <c r="WVF3" s="1259"/>
      <c r="WVG3" s="1259"/>
      <c r="WVH3" s="1259"/>
      <c r="WVI3" s="1259"/>
      <c r="WVJ3" s="1259"/>
      <c r="WVK3" s="1259"/>
      <c r="WVL3" s="1259"/>
      <c r="WVM3" s="1259"/>
      <c r="WVN3" s="1259"/>
      <c r="WVO3" s="1259"/>
      <c r="WVP3" s="1259"/>
      <c r="WVQ3" s="1259"/>
      <c r="WVR3" s="1259"/>
      <c r="WVS3" s="1259"/>
      <c r="WVT3" s="1259"/>
      <c r="WVU3" s="1259"/>
      <c r="WVV3" s="1259"/>
      <c r="WVW3" s="1259"/>
      <c r="WVX3" s="1259"/>
      <c r="WVY3" s="1259"/>
      <c r="WVZ3" s="1259"/>
      <c r="WWA3" s="1259"/>
      <c r="WWB3" s="1259"/>
      <c r="WWC3" s="1259"/>
      <c r="WWD3" s="1259"/>
      <c r="WWE3" s="1259"/>
      <c r="WWF3" s="1259"/>
      <c r="WWG3" s="1259"/>
      <c r="WWH3" s="1259"/>
      <c r="WWI3" s="1259"/>
      <c r="WWJ3" s="1259"/>
      <c r="WWK3" s="1259"/>
      <c r="WWL3" s="1259"/>
      <c r="WWM3" s="1259"/>
      <c r="WWN3" s="1259"/>
      <c r="WWO3" s="1259"/>
      <c r="WWP3" s="1259"/>
      <c r="WWQ3" s="1259"/>
      <c r="WWR3" s="1259"/>
      <c r="WWS3" s="1259"/>
      <c r="WWT3" s="1259"/>
      <c r="WWU3" s="1259"/>
      <c r="WWV3" s="1259"/>
      <c r="WWW3" s="1259"/>
      <c r="WWX3" s="1259"/>
      <c r="WWY3" s="1259"/>
      <c r="WWZ3" s="1259"/>
      <c r="WXA3" s="1259"/>
      <c r="WXB3" s="1259"/>
      <c r="WXC3" s="1259"/>
      <c r="WXD3" s="1259"/>
      <c r="WXE3" s="1259"/>
      <c r="WXF3" s="1259"/>
      <c r="WXG3" s="1259"/>
      <c r="WXH3" s="1259"/>
      <c r="WXI3" s="1259"/>
      <c r="WXJ3" s="1259"/>
      <c r="WXK3" s="1259"/>
      <c r="WXL3" s="1259"/>
      <c r="WXM3" s="1259"/>
      <c r="WXN3" s="1259"/>
      <c r="WXO3" s="1259"/>
      <c r="WXP3" s="1259"/>
      <c r="WXQ3" s="1259"/>
      <c r="WXR3" s="1259"/>
      <c r="WXS3" s="1259"/>
      <c r="WXT3" s="1259"/>
      <c r="WXU3" s="1259"/>
      <c r="WXV3" s="1259"/>
      <c r="WXW3" s="1259"/>
      <c r="WXX3" s="1259"/>
      <c r="WXY3" s="1259"/>
      <c r="WXZ3" s="1259"/>
      <c r="WYA3" s="1259"/>
      <c r="WYB3" s="1259"/>
      <c r="WYC3" s="1259"/>
      <c r="WYD3" s="1259"/>
      <c r="WYE3" s="1259"/>
      <c r="WYF3" s="1259"/>
      <c r="WYG3" s="1259"/>
      <c r="WYH3" s="1259"/>
      <c r="WYI3" s="1259"/>
      <c r="WYJ3" s="1259"/>
      <c r="WYK3" s="1259"/>
      <c r="WYL3" s="1259"/>
      <c r="WYM3" s="1259"/>
      <c r="WYN3" s="1259"/>
      <c r="WYO3" s="1259"/>
      <c r="WYP3" s="1259"/>
      <c r="WYQ3" s="1259"/>
      <c r="WYR3" s="1259"/>
      <c r="WYS3" s="1259"/>
      <c r="WYT3" s="1259"/>
      <c r="WYU3" s="1259"/>
      <c r="WYV3" s="1259"/>
      <c r="WYW3" s="1259"/>
      <c r="WYX3" s="1259"/>
      <c r="WYY3" s="1259"/>
      <c r="WYZ3" s="1259"/>
      <c r="WZA3" s="1259"/>
      <c r="WZB3" s="1259"/>
      <c r="WZC3" s="1259"/>
      <c r="WZD3" s="1259"/>
      <c r="WZE3" s="1259"/>
      <c r="WZF3" s="1259"/>
      <c r="WZG3" s="1259"/>
      <c r="WZH3" s="1259"/>
      <c r="WZI3" s="1259"/>
      <c r="WZJ3" s="1259"/>
      <c r="WZK3" s="1259"/>
      <c r="WZL3" s="1259"/>
      <c r="WZM3" s="1259"/>
      <c r="WZN3" s="1259"/>
      <c r="WZO3" s="1259"/>
      <c r="WZP3" s="1259"/>
      <c r="WZQ3" s="1259"/>
      <c r="WZR3" s="1259"/>
      <c r="WZS3" s="1259"/>
      <c r="WZT3" s="1259"/>
      <c r="WZU3" s="1259"/>
      <c r="WZV3" s="1259"/>
      <c r="WZW3" s="1259"/>
      <c r="WZX3" s="1259"/>
      <c r="WZY3" s="1259"/>
      <c r="WZZ3" s="1259"/>
      <c r="XAA3" s="1259"/>
      <c r="XAB3" s="1259"/>
      <c r="XAC3" s="1259"/>
      <c r="XAD3" s="1259"/>
      <c r="XAE3" s="1259"/>
      <c r="XAF3" s="1259"/>
      <c r="XAG3" s="1259"/>
      <c r="XAH3" s="1259"/>
      <c r="XAI3" s="1259"/>
      <c r="XAJ3" s="1259"/>
      <c r="XAK3" s="1259"/>
      <c r="XAL3" s="1259"/>
      <c r="XAM3" s="1259"/>
      <c r="XAN3" s="1259"/>
      <c r="XAO3" s="1259"/>
      <c r="XAP3" s="1259"/>
      <c r="XAQ3" s="1259"/>
      <c r="XAR3" s="1259"/>
      <c r="XAS3" s="1259"/>
      <c r="XAT3" s="1259"/>
      <c r="XAU3" s="1259"/>
      <c r="XAV3" s="1259"/>
      <c r="XAW3" s="1259"/>
      <c r="XAX3" s="1259"/>
      <c r="XAY3" s="1259"/>
      <c r="XAZ3" s="1259"/>
      <c r="XBA3" s="1259"/>
      <c r="XBB3" s="1259"/>
      <c r="XBC3" s="1259"/>
      <c r="XBD3" s="1259"/>
      <c r="XBE3" s="1259"/>
      <c r="XBF3" s="1259"/>
      <c r="XBG3" s="1259"/>
      <c r="XBH3" s="1259"/>
      <c r="XBI3" s="1259"/>
      <c r="XBJ3" s="1259"/>
      <c r="XBK3" s="1259"/>
      <c r="XBL3" s="1259"/>
      <c r="XBM3" s="1259"/>
      <c r="XBN3" s="1259"/>
      <c r="XBO3" s="1259"/>
      <c r="XBP3" s="1259"/>
      <c r="XBQ3" s="1259"/>
      <c r="XBR3" s="1259"/>
      <c r="XBS3" s="1259"/>
      <c r="XBT3" s="1259"/>
      <c r="XBU3" s="1259"/>
      <c r="XBV3" s="1259"/>
      <c r="XBW3" s="1259"/>
      <c r="XBX3" s="1259"/>
      <c r="XBY3" s="1259"/>
      <c r="XBZ3" s="1259"/>
      <c r="XCA3" s="1259"/>
      <c r="XCB3" s="1259"/>
      <c r="XCC3" s="1259"/>
      <c r="XCD3" s="1259"/>
      <c r="XCE3" s="1259"/>
      <c r="XCF3" s="1259"/>
      <c r="XCG3" s="1259"/>
      <c r="XCH3" s="1259"/>
      <c r="XCI3" s="1259"/>
      <c r="XCJ3" s="1259"/>
      <c r="XCK3" s="1259"/>
      <c r="XCL3" s="1259"/>
      <c r="XCM3" s="1259"/>
      <c r="XCN3" s="1259"/>
      <c r="XCO3" s="1259"/>
      <c r="XCP3" s="1259"/>
      <c r="XCQ3" s="1259"/>
      <c r="XCR3" s="1259"/>
      <c r="XCS3" s="1259"/>
      <c r="XCT3" s="1259"/>
      <c r="XCU3" s="1259"/>
      <c r="XCV3" s="1259"/>
      <c r="XCW3" s="1259"/>
      <c r="XCX3" s="1259"/>
      <c r="XCY3" s="1259"/>
      <c r="XCZ3" s="1259"/>
      <c r="XDA3" s="1259"/>
      <c r="XDB3" s="1259"/>
      <c r="XDC3" s="1259"/>
      <c r="XDD3" s="1259"/>
      <c r="XDE3" s="1259"/>
      <c r="XDF3" s="1259"/>
      <c r="XDG3" s="1259"/>
      <c r="XDH3" s="1259"/>
      <c r="XDI3" s="1259"/>
      <c r="XDJ3" s="1259"/>
      <c r="XDK3" s="1259"/>
      <c r="XDL3" s="1259"/>
      <c r="XDM3" s="1259"/>
      <c r="XDN3" s="1259"/>
      <c r="XDO3" s="1259"/>
      <c r="XDP3" s="1259"/>
      <c r="XDQ3" s="1259"/>
      <c r="XDR3" s="1259"/>
      <c r="XDS3" s="1259"/>
      <c r="XDT3" s="1259"/>
      <c r="XDU3" s="1259"/>
      <c r="XDV3" s="1259"/>
      <c r="XDW3" s="1259"/>
      <c r="XDX3" s="1259"/>
      <c r="XDY3" s="1259"/>
      <c r="XDZ3" s="1259"/>
      <c r="XEA3" s="1259"/>
      <c r="XEB3" s="1259"/>
      <c r="XEC3" s="1259"/>
      <c r="XED3" s="1259"/>
      <c r="XEE3" s="1259"/>
      <c r="XEF3" s="1259"/>
      <c r="XEG3" s="1259"/>
      <c r="XEH3" s="1259"/>
      <c r="XEI3" s="1259"/>
      <c r="XEJ3" s="1259"/>
      <c r="XEK3" s="1259"/>
      <c r="XEL3" s="1259"/>
      <c r="XEM3" s="1259"/>
      <c r="XEN3" s="1259"/>
      <c r="XEO3" s="1259"/>
      <c r="XEP3" s="1259"/>
      <c r="XEQ3" s="1259"/>
      <c r="XER3" s="1259"/>
      <c r="XES3" s="1259"/>
      <c r="XET3" s="1259"/>
      <c r="XEU3" s="1259"/>
      <c r="XEV3" s="1259"/>
      <c r="XEW3" s="1259"/>
      <c r="XEX3" s="1259"/>
      <c r="XEY3" s="1259"/>
      <c r="XEZ3" s="1259"/>
      <c r="XFA3" s="1259"/>
      <c r="XFB3" s="1259"/>
    </row>
    <row r="4" spans="1:16382">
      <c r="A4" s="585" t="s">
        <v>133</v>
      </c>
    </row>
    <row r="5" spans="1:16382" ht="12" hidden="1" customHeight="1">
      <c r="B5" s="293">
        <v>44286</v>
      </c>
      <c r="C5" s="293">
        <v>44196</v>
      </c>
    </row>
    <row r="6" spans="1:16382" ht="12" hidden="1" customHeight="1">
      <c r="A6" s="352" t="s">
        <v>589</v>
      </c>
    </row>
    <row r="7" spans="1:16382" ht="12" hidden="1" customHeight="1">
      <c r="A7" s="333" t="s">
        <v>590</v>
      </c>
    </row>
    <row r="8" spans="1:16382" ht="12" hidden="1" customHeight="1">
      <c r="A8" s="348" t="s">
        <v>1</v>
      </c>
      <c r="B8" s="607">
        <v>0</v>
      </c>
      <c r="C8" s="607">
        <v>0</v>
      </c>
      <c r="D8" s="354"/>
    </row>
    <row r="9" spans="1:16382" ht="12" hidden="1" customHeight="1"/>
    <row r="10" spans="1:16382" ht="12" hidden="1" customHeight="1">
      <c r="A10" s="348" t="s">
        <v>75</v>
      </c>
    </row>
    <row r="11" spans="1:16382" ht="12" hidden="1" customHeight="1">
      <c r="A11" s="333" t="s">
        <v>591</v>
      </c>
      <c r="B11" s="354"/>
      <c r="C11" s="354"/>
    </row>
    <row r="12" spans="1:16382" ht="12" hidden="1" customHeight="1">
      <c r="A12" s="348" t="s">
        <v>1</v>
      </c>
      <c r="B12" s="607">
        <v>0</v>
      </c>
      <c r="C12" s="607">
        <v>0</v>
      </c>
    </row>
    <row r="13" spans="1:16382" ht="12" customHeight="1">
      <c r="A13" s="877"/>
    </row>
    <row r="14" spans="1:16382" ht="12" customHeight="1">
      <c r="A14" s="923" t="s">
        <v>76</v>
      </c>
    </row>
    <row r="15" spans="1:16382" ht="14.25" customHeight="1">
      <c r="A15" s="923" t="s">
        <v>838</v>
      </c>
      <c r="B15" s="293">
        <v>44561</v>
      </c>
      <c r="C15" s="293">
        <v>44196</v>
      </c>
    </row>
    <row r="16" spans="1:16382" ht="12" customHeight="1">
      <c r="A16" s="1200" t="s">
        <v>773</v>
      </c>
      <c r="B16" s="616">
        <v>15377402.749983527</v>
      </c>
      <c r="C16" s="616">
        <v>15377402.749983527</v>
      </c>
      <c r="N16" s="649"/>
    </row>
    <row r="17" spans="1:14" ht="12" customHeight="1">
      <c r="A17" s="1201" t="s">
        <v>774</v>
      </c>
      <c r="B17" s="616">
        <v>0</v>
      </c>
      <c r="C17" s="616">
        <f>577201193+6988390+3152068</f>
        <v>587341651</v>
      </c>
      <c r="N17" s="649"/>
    </row>
    <row r="18" spans="1:14" ht="12" customHeight="1">
      <c r="A18" s="1200" t="s">
        <v>775</v>
      </c>
      <c r="B18" s="616">
        <v>69041421.80843164</v>
      </c>
      <c r="C18" s="616">
        <v>69041421.80843164</v>
      </c>
      <c r="N18" s="649"/>
    </row>
    <row r="19" spans="1:14" ht="12" customHeight="1">
      <c r="A19" s="1200" t="s">
        <v>776</v>
      </c>
      <c r="B19" s="616">
        <v>63287970.38037923</v>
      </c>
      <c r="C19" s="616">
        <v>63287970.38037923</v>
      </c>
      <c r="N19" s="649"/>
    </row>
    <row r="20" spans="1:14" ht="12" customHeight="1">
      <c r="A20" s="1200" t="s">
        <v>777</v>
      </c>
      <c r="B20" s="616">
        <v>274583346.16981202</v>
      </c>
      <c r="C20" s="616">
        <f>271659400+2923946</f>
        <v>274583346</v>
      </c>
      <c r="N20" s="649"/>
    </row>
    <row r="21" spans="1:14" ht="12" customHeight="1">
      <c r="A21" s="1200" t="s">
        <v>778</v>
      </c>
      <c r="B21" s="616">
        <v>111608903.909339</v>
      </c>
      <c r="C21" s="616">
        <v>111608903.909339</v>
      </c>
      <c r="N21" s="649"/>
    </row>
    <row r="22" spans="1:14" ht="12" customHeight="1">
      <c r="A22" s="1200" t="s">
        <v>779</v>
      </c>
      <c r="B22" s="616">
        <v>60075415.822098978</v>
      </c>
      <c r="C22" s="616">
        <v>60075415.822098978</v>
      </c>
      <c r="N22" s="649"/>
    </row>
    <row r="23" spans="1:14" ht="12" customHeight="1">
      <c r="A23" s="1200" t="s">
        <v>780</v>
      </c>
      <c r="B23" s="616">
        <f>598643522+705966875</f>
        <v>1304610397</v>
      </c>
      <c r="C23" s="616">
        <f>598643522+705966875</f>
        <v>1304610397</v>
      </c>
      <c r="N23" s="649"/>
    </row>
    <row r="24" spans="1:14" ht="12" customHeight="1">
      <c r="A24" s="1200" t="s">
        <v>781</v>
      </c>
      <c r="B24" s="616">
        <v>105688017.98246279</v>
      </c>
      <c r="C24" s="616">
        <v>105688017.98246279</v>
      </c>
      <c r="N24" s="649"/>
    </row>
    <row r="25" spans="1:14" ht="12" customHeight="1">
      <c r="A25" s="1200" t="s">
        <v>821</v>
      </c>
      <c r="B25" s="616">
        <f>3369682163+2409465633</f>
        <v>5779147796</v>
      </c>
      <c r="C25" s="616">
        <f>3369682163+2409465633</f>
        <v>5779147796</v>
      </c>
      <c r="N25" s="649"/>
    </row>
    <row r="26" spans="1:14" ht="12" customHeight="1">
      <c r="A26" s="1200" t="s">
        <v>782</v>
      </c>
      <c r="B26" s="616">
        <v>1027199682.5571936</v>
      </c>
      <c r="C26" s="616">
        <v>1027199682.5571936</v>
      </c>
      <c r="N26" s="649"/>
    </row>
    <row r="27" spans="1:14" ht="12" customHeight="1">
      <c r="A27" s="1200" t="s">
        <v>783</v>
      </c>
      <c r="B27" s="616">
        <v>1585648257</v>
      </c>
      <c r="C27" s="616">
        <f>260057118+1325591139</f>
        <v>1585648257</v>
      </c>
      <c r="N27" s="649"/>
    </row>
    <row r="28" spans="1:14" ht="12" customHeight="1">
      <c r="A28" s="1200" t="s">
        <v>784</v>
      </c>
      <c r="B28" s="616">
        <v>0</v>
      </c>
      <c r="C28" s="616">
        <v>147438344.02875501</v>
      </c>
      <c r="N28" s="649"/>
    </row>
    <row r="29" spans="1:14" ht="12" customHeight="1">
      <c r="A29" s="1200" t="s">
        <v>785</v>
      </c>
      <c r="B29" s="616">
        <f>752438845+1632383635</f>
        <v>2384822480</v>
      </c>
      <c r="C29" s="616">
        <f>752438845+1632383635</f>
        <v>2384822480</v>
      </c>
      <c r="N29" s="649"/>
    </row>
    <row r="30" spans="1:14" ht="12" customHeight="1">
      <c r="A30" s="1200" t="s">
        <v>786</v>
      </c>
      <c r="B30" s="1182">
        <f>137925115+886639840</f>
        <v>1024564955</v>
      </c>
      <c r="C30" s="616">
        <f>137925115+886639840</f>
        <v>1024564955</v>
      </c>
      <c r="N30" s="649"/>
    </row>
    <row r="31" spans="1:14" ht="12" customHeight="1">
      <c r="A31" s="1200" t="s">
        <v>787</v>
      </c>
      <c r="B31" s="1182">
        <f>125290755+805424132</f>
        <v>930714887</v>
      </c>
      <c r="C31" s="616">
        <f>125290755+805424132</f>
        <v>930714887</v>
      </c>
      <c r="N31" s="649"/>
    </row>
    <row r="32" spans="1:14" ht="12" customHeight="1">
      <c r="A32" s="1200" t="s">
        <v>788</v>
      </c>
      <c r="B32" s="1182">
        <f>234891612+1468708737</f>
        <v>1703600349</v>
      </c>
      <c r="C32" s="616">
        <f>234891612+1468708737</f>
        <v>1703600349</v>
      </c>
      <c r="N32" s="649"/>
    </row>
    <row r="33" spans="1:15" ht="12" customHeight="1">
      <c r="A33" s="1200" t="s">
        <v>789</v>
      </c>
      <c r="B33" s="1182">
        <f>35224244+685284614</f>
        <v>720508858</v>
      </c>
      <c r="C33" s="616">
        <f>35224244+685284614</f>
        <v>720508858</v>
      </c>
      <c r="N33" s="649"/>
    </row>
    <row r="34" spans="1:15" ht="12" customHeight="1">
      <c r="A34" s="1200" t="s">
        <v>790</v>
      </c>
      <c r="B34" s="1182">
        <f>166708121+1042377113</f>
        <v>1209085234</v>
      </c>
      <c r="C34" s="616">
        <f>166708121+1042377113</f>
        <v>1209085234</v>
      </c>
      <c r="N34" s="649"/>
    </row>
    <row r="35" spans="1:15" ht="12" customHeight="1">
      <c r="A35" s="1200" t="s">
        <v>791</v>
      </c>
      <c r="B35" s="1182">
        <f>478693068+994931729</f>
        <v>1473624797</v>
      </c>
      <c r="C35" s="616">
        <f>478693068+994931729</f>
        <v>1473624797</v>
      </c>
      <c r="N35" s="649"/>
    </row>
    <row r="36" spans="1:15" ht="12" customHeight="1">
      <c r="A36" s="1200" t="s">
        <v>792</v>
      </c>
      <c r="B36" s="1182">
        <f>169092282+647372954</f>
        <v>816465236</v>
      </c>
      <c r="C36" s="616">
        <f>169092282+647372954</f>
        <v>816465236</v>
      </c>
      <c r="N36" s="649"/>
    </row>
    <row r="37" spans="1:15" ht="12" customHeight="1">
      <c r="A37" s="1200" t="s">
        <v>793</v>
      </c>
      <c r="B37" s="1182">
        <f>452753345+404941204</f>
        <v>857694549</v>
      </c>
      <c r="C37" s="616">
        <f>452753345+404941204</f>
        <v>857694549</v>
      </c>
      <c r="N37" s="649"/>
    </row>
    <row r="38" spans="1:15" ht="12" customHeight="1">
      <c r="A38" s="1200" t="s">
        <v>794</v>
      </c>
      <c r="B38" s="1182">
        <v>404941204.2168771</v>
      </c>
      <c r="C38" s="616">
        <v>404941204.2168771</v>
      </c>
      <c r="N38" s="649"/>
    </row>
    <row r="39" spans="1:15" ht="12" customHeight="1">
      <c r="A39" s="1200" t="s">
        <v>1071</v>
      </c>
      <c r="B39" s="616">
        <v>2883271535.6771421</v>
      </c>
      <c r="C39" s="616">
        <v>2883271535.6771421</v>
      </c>
      <c r="N39" s="649"/>
    </row>
    <row r="40" spans="1:15" ht="12" customHeight="1">
      <c r="A40" s="1200" t="s">
        <v>795</v>
      </c>
      <c r="B40" s="616">
        <v>4565216.2876381725</v>
      </c>
      <c r="C40" s="616">
        <v>4565216</v>
      </c>
      <c r="N40" s="649"/>
    </row>
    <row r="41" spans="1:15" ht="12" customHeight="1">
      <c r="A41" s="1200" t="s">
        <v>796</v>
      </c>
      <c r="B41" s="616">
        <v>8410059.3150466979</v>
      </c>
      <c r="C41" s="616">
        <v>8410059.3150466979</v>
      </c>
      <c r="N41" s="649"/>
    </row>
    <row r="42" spans="1:15" ht="12" customHeight="1">
      <c r="A42" s="1200" t="s">
        <v>797</v>
      </c>
      <c r="B42" s="616">
        <f>4136759404+2260092578+1537866771+2988683572</f>
        <v>10923402325</v>
      </c>
      <c r="C42" s="616">
        <f>4136759404+2260092578</f>
        <v>6396851982</v>
      </c>
      <c r="N42" s="649"/>
      <c r="O42" s="649"/>
    </row>
    <row r="43" spans="1:15" ht="12" customHeight="1">
      <c r="A43" s="1200" t="s">
        <v>798</v>
      </c>
      <c r="B43" s="616">
        <v>0</v>
      </c>
      <c r="C43" s="616">
        <v>378515111</v>
      </c>
      <c r="N43" s="649"/>
    </row>
    <row r="44" spans="1:15" ht="12" customHeight="1">
      <c r="A44" s="1200" t="s">
        <v>799</v>
      </c>
      <c r="B44" s="616">
        <v>39914730.340699032</v>
      </c>
      <c r="C44" s="616">
        <v>39914730.340699032</v>
      </c>
      <c r="N44" s="649"/>
    </row>
    <row r="45" spans="1:15" ht="12" customHeight="1">
      <c r="A45" s="1200" t="s">
        <v>800</v>
      </c>
      <c r="B45" s="616">
        <v>29641834.654051524</v>
      </c>
      <c r="C45" s="616">
        <v>29641834.654051524</v>
      </c>
      <c r="N45" s="649"/>
    </row>
    <row r="46" spans="1:15" ht="12" customHeight="1">
      <c r="A46" s="1200" t="s">
        <v>801</v>
      </c>
      <c r="B46" s="616">
        <v>101215081.27397078</v>
      </c>
      <c r="C46" s="616">
        <v>101215081.27397078</v>
      </c>
      <c r="N46" s="649"/>
    </row>
    <row r="47" spans="1:15" ht="12" customHeight="1">
      <c r="A47" s="1202" t="s">
        <v>802</v>
      </c>
      <c r="B47" s="616">
        <f>1211654638+19524206</f>
        <v>1231178844</v>
      </c>
      <c r="C47" s="616">
        <v>1211654638</v>
      </c>
      <c r="N47" s="649"/>
    </row>
    <row r="48" spans="1:15" s="520" customFormat="1" ht="12" customHeight="1">
      <c r="A48" s="1202" t="s">
        <v>803</v>
      </c>
      <c r="B48" s="616">
        <f>170958982.99+191996659+1184414412</f>
        <v>1547370053.99</v>
      </c>
      <c r="C48" s="616">
        <f>170958982.99+191996662</f>
        <v>362955644.99000001</v>
      </c>
      <c r="N48" s="649"/>
    </row>
    <row r="49" spans="1:14" ht="12" customHeight="1">
      <c r="A49" s="1200" t="s">
        <v>804</v>
      </c>
      <c r="B49" s="616">
        <v>603590668</v>
      </c>
      <c r="C49" s="616">
        <v>603590668</v>
      </c>
      <c r="N49" s="649"/>
    </row>
    <row r="50" spans="1:14" ht="12" customHeight="1">
      <c r="A50" s="1200" t="s">
        <v>805</v>
      </c>
      <c r="B50" s="616">
        <v>125000000</v>
      </c>
      <c r="C50" s="616">
        <v>125000000</v>
      </c>
      <c r="N50" s="649"/>
    </row>
    <row r="51" spans="1:14" ht="12" customHeight="1">
      <c r="A51" s="1200" t="s">
        <v>806</v>
      </c>
      <c r="B51" s="616">
        <v>28767259.476163421</v>
      </c>
      <c r="C51" s="616">
        <v>28767259.476163421</v>
      </c>
      <c r="N51" s="649"/>
    </row>
    <row r="52" spans="1:14" ht="12" customHeight="1">
      <c r="A52" s="1200" t="s">
        <v>807</v>
      </c>
      <c r="B52" s="616">
        <v>185685128.40487385</v>
      </c>
      <c r="C52" s="616">
        <v>185685128.40487385</v>
      </c>
      <c r="N52" s="649"/>
    </row>
    <row r="53" spans="1:14" ht="12" customHeight="1">
      <c r="A53" s="1200" t="s">
        <v>808</v>
      </c>
      <c r="B53" s="616">
        <v>8922678.8247905821</v>
      </c>
      <c r="C53" s="616">
        <v>8922678.8247905821</v>
      </c>
      <c r="N53" s="649"/>
    </row>
    <row r="54" spans="1:14" ht="12" customHeight="1">
      <c r="A54" s="1200" t="s">
        <v>809</v>
      </c>
      <c r="B54" s="616">
        <f>502727273+133636364+15461233</f>
        <v>651824870</v>
      </c>
      <c r="C54" s="616">
        <v>651824870</v>
      </c>
      <c r="N54" s="649"/>
    </row>
    <row r="55" spans="1:14" ht="12" customHeight="1">
      <c r="A55" s="1200" t="s">
        <v>810</v>
      </c>
      <c r="B55" s="616">
        <v>144329029.09405553</v>
      </c>
      <c r="C55" s="616">
        <v>144329029.09405553</v>
      </c>
      <c r="N55" s="649"/>
    </row>
    <row r="56" spans="1:14" ht="12" customHeight="1">
      <c r="A56" s="1200" t="s">
        <v>811</v>
      </c>
      <c r="B56" s="616">
        <v>329004765.90225798</v>
      </c>
      <c r="C56" s="616">
        <f>322759697+6245069</f>
        <v>329004766</v>
      </c>
      <c r="N56" s="649"/>
    </row>
    <row r="57" spans="1:14" ht="12" customHeight="1">
      <c r="A57" s="1200" t="s">
        <v>812</v>
      </c>
      <c r="B57" s="616">
        <v>305214086.99434561</v>
      </c>
      <c r="C57" s="616">
        <v>305214086.99434561</v>
      </c>
      <c r="N57" s="649"/>
    </row>
    <row r="58" spans="1:14" ht="12" customHeight="1">
      <c r="A58" s="1200" t="s">
        <v>813</v>
      </c>
      <c r="B58" s="616">
        <v>0</v>
      </c>
      <c r="C58" s="616">
        <v>26683208.587641317</v>
      </c>
      <c r="N58" s="649"/>
    </row>
    <row r="59" spans="1:14" ht="12" customHeight="1">
      <c r="A59" s="1200" t="s">
        <v>814</v>
      </c>
      <c r="B59" s="616">
        <v>0</v>
      </c>
      <c r="C59" s="616">
        <v>50481747.133070603</v>
      </c>
      <c r="N59" s="649"/>
    </row>
    <row r="60" spans="1:14" ht="12" customHeight="1">
      <c r="A60" s="1200" t="s">
        <v>815</v>
      </c>
      <c r="B60" s="616">
        <v>48433169.020790301</v>
      </c>
      <c r="C60" s="616">
        <v>48433169.020790301</v>
      </c>
      <c r="N60" s="649"/>
    </row>
    <row r="61" spans="1:14" ht="12" customHeight="1">
      <c r="A61" s="1200" t="s">
        <v>816</v>
      </c>
      <c r="B61" s="616">
        <v>167947.48284493003</v>
      </c>
      <c r="C61" s="616">
        <v>167947.48284493003</v>
      </c>
      <c r="N61" s="649"/>
    </row>
    <row r="62" spans="1:14" ht="12" customHeight="1">
      <c r="A62" s="1200" t="s">
        <v>993</v>
      </c>
      <c r="B62" s="616">
        <v>31483792.106998</v>
      </c>
      <c r="C62" s="616">
        <v>31483792.106998</v>
      </c>
      <c r="N62" s="649"/>
    </row>
    <row r="63" spans="1:14" ht="12" customHeight="1">
      <c r="A63" s="1200" t="s">
        <v>817</v>
      </c>
      <c r="B63" s="616">
        <v>151171716.23544815</v>
      </c>
      <c r="C63" s="616">
        <v>151171716.23544815</v>
      </c>
      <c r="N63" s="649"/>
    </row>
    <row r="64" spans="1:14" ht="12" customHeight="1">
      <c r="A64" s="1200" t="s">
        <v>885</v>
      </c>
      <c r="B64" s="616">
        <f>2499623407+1484255029+118245457+73733969</f>
        <v>4175857862</v>
      </c>
      <c r="C64" s="616">
        <v>3983198761</v>
      </c>
      <c r="N64" s="649"/>
    </row>
    <row r="65" spans="1:14" ht="12" customHeight="1">
      <c r="A65" s="1200" t="s">
        <v>818</v>
      </c>
      <c r="B65" s="616">
        <v>10000000</v>
      </c>
      <c r="C65" s="616">
        <v>10000000</v>
      </c>
      <c r="N65" s="649"/>
    </row>
    <row r="66" spans="1:14" ht="12" customHeight="1">
      <c r="A66" s="1200" t="s">
        <v>819</v>
      </c>
      <c r="B66" s="616">
        <f>16873259+3354605</f>
        <v>20227864</v>
      </c>
      <c r="C66" s="616">
        <v>20227862</v>
      </c>
      <c r="N66" s="649"/>
    </row>
    <row r="67" spans="1:14" ht="12" customHeight="1">
      <c r="A67" s="1200" t="s">
        <v>1069</v>
      </c>
      <c r="B67" s="616">
        <v>0</v>
      </c>
      <c r="C67" s="616">
        <v>1700000</v>
      </c>
      <c r="N67" s="649"/>
    </row>
    <row r="68" spans="1:14" ht="12" customHeight="1">
      <c r="A68" s="1181" t="s">
        <v>1070</v>
      </c>
      <c r="B68" s="616">
        <v>1250173951</v>
      </c>
      <c r="C68" s="616">
        <v>0</v>
      </c>
      <c r="N68" s="649"/>
    </row>
    <row r="69" spans="1:14" ht="12" customHeight="1">
      <c r="A69" s="1200" t="s">
        <v>820</v>
      </c>
      <c r="B69" s="616">
        <v>3856660790</v>
      </c>
      <c r="C69" s="616">
        <v>4656791365</v>
      </c>
      <c r="N69" s="649"/>
    </row>
    <row r="70" spans="1:14" s="824" customFormat="1" ht="12.75" thickBot="1">
      <c r="A70" s="129" t="s">
        <v>77</v>
      </c>
      <c r="B70" s="1050">
        <f>SUM(B16:B69)</f>
        <v>50617776419.677696</v>
      </c>
      <c r="C70" s="1050">
        <f>SUM(C16:C69)</f>
        <v>45436745044.067459</v>
      </c>
    </row>
    <row r="71" spans="1:14" ht="15.75" thickTop="1">
      <c r="B71" s="335"/>
      <c r="C71" s="744"/>
    </row>
    <row r="72" spans="1:14">
      <c r="B72" s="1034"/>
    </row>
    <row r="74" spans="1:14">
      <c r="B74" s="1034"/>
    </row>
  </sheetData>
  <mergeCells count="2730">
    <mergeCell ref="E3:J3"/>
    <mergeCell ref="JO3:JT3"/>
    <mergeCell ref="JU3:JZ3"/>
    <mergeCell ref="HG3:HL3"/>
    <mergeCell ref="HM3:HR3"/>
    <mergeCell ref="HS3:HX3"/>
    <mergeCell ref="HY3:ID3"/>
    <mergeCell ref="IE3:IJ3"/>
    <mergeCell ref="IK3:IP3"/>
    <mergeCell ref="FW3:GB3"/>
    <mergeCell ref="GC3:GH3"/>
    <mergeCell ref="GI3:GN3"/>
    <mergeCell ref="GO3:GT3"/>
    <mergeCell ref="GU3:GZ3"/>
    <mergeCell ref="HA3:HF3"/>
    <mergeCell ref="EM3:ER3"/>
    <mergeCell ref="ES3:EX3"/>
    <mergeCell ref="EY3:FD3"/>
    <mergeCell ref="FE3:FJ3"/>
    <mergeCell ref="FK3:FP3"/>
    <mergeCell ref="FQ3:FV3"/>
    <mergeCell ref="DC3:DH3"/>
    <mergeCell ref="DI3:DN3"/>
    <mergeCell ref="DO3:DT3"/>
    <mergeCell ref="DU3:DZ3"/>
    <mergeCell ref="EA3:EF3"/>
    <mergeCell ref="EG3:EL3"/>
    <mergeCell ref="BS3:BX3"/>
    <mergeCell ref="BY3:CD3"/>
    <mergeCell ref="CE3:CJ3"/>
    <mergeCell ref="CK3:CP3"/>
    <mergeCell ref="CQ3:CV3"/>
    <mergeCell ref="K3:P3"/>
    <mergeCell ref="Q3:V3"/>
    <mergeCell ref="W3:AB3"/>
    <mergeCell ref="AC3:AH3"/>
    <mergeCell ref="OE3:OJ3"/>
    <mergeCell ref="OK3:OP3"/>
    <mergeCell ref="OQ3:OV3"/>
    <mergeCell ref="OW3:PB3"/>
    <mergeCell ref="PC3:PH3"/>
    <mergeCell ref="IQ3:IV3"/>
    <mergeCell ref="IW3:JB3"/>
    <mergeCell ref="JC3:JH3"/>
    <mergeCell ref="JI3:JN3"/>
    <mergeCell ref="CW3:DB3"/>
    <mergeCell ref="AI3:AN3"/>
    <mergeCell ref="AO3:AT3"/>
    <mergeCell ref="AU3:AZ3"/>
    <mergeCell ref="BA3:BF3"/>
    <mergeCell ref="BG3:BL3"/>
    <mergeCell ref="BM3:BR3"/>
    <mergeCell ref="PI3:PN3"/>
    <mergeCell ref="MU3:MZ3"/>
    <mergeCell ref="NA3:NF3"/>
    <mergeCell ref="NG3:NL3"/>
    <mergeCell ref="NM3:NR3"/>
    <mergeCell ref="NS3:NX3"/>
    <mergeCell ref="NY3:OD3"/>
    <mergeCell ref="LK3:LP3"/>
    <mergeCell ref="LQ3:LV3"/>
    <mergeCell ref="LW3:MB3"/>
    <mergeCell ref="MC3:MH3"/>
    <mergeCell ref="MI3:MN3"/>
    <mergeCell ref="MO3:MT3"/>
    <mergeCell ref="KA3:KF3"/>
    <mergeCell ref="KG3:KL3"/>
    <mergeCell ref="KM3:KR3"/>
    <mergeCell ref="KS3:KX3"/>
    <mergeCell ref="KY3:LD3"/>
    <mergeCell ref="LE3:LJ3"/>
    <mergeCell ref="SI3:SN3"/>
    <mergeCell ref="SO3:ST3"/>
    <mergeCell ref="SU3:SZ3"/>
    <mergeCell ref="TA3:TF3"/>
    <mergeCell ref="TG3:TL3"/>
    <mergeCell ref="TM3:TR3"/>
    <mergeCell ref="QY3:RD3"/>
    <mergeCell ref="RE3:RJ3"/>
    <mergeCell ref="RK3:RP3"/>
    <mergeCell ref="RQ3:RV3"/>
    <mergeCell ref="RW3:SB3"/>
    <mergeCell ref="SC3:SH3"/>
    <mergeCell ref="PO3:PT3"/>
    <mergeCell ref="PU3:PZ3"/>
    <mergeCell ref="QA3:QF3"/>
    <mergeCell ref="QG3:QL3"/>
    <mergeCell ref="QM3:QR3"/>
    <mergeCell ref="QS3:QX3"/>
    <mergeCell ref="WM3:WR3"/>
    <mergeCell ref="WS3:WX3"/>
    <mergeCell ref="WY3:XD3"/>
    <mergeCell ref="XE3:XJ3"/>
    <mergeCell ref="XK3:XP3"/>
    <mergeCell ref="XQ3:XV3"/>
    <mergeCell ref="VC3:VH3"/>
    <mergeCell ref="VI3:VN3"/>
    <mergeCell ref="VO3:VT3"/>
    <mergeCell ref="VU3:VZ3"/>
    <mergeCell ref="WA3:WF3"/>
    <mergeCell ref="WG3:WL3"/>
    <mergeCell ref="TS3:TX3"/>
    <mergeCell ref="TY3:UD3"/>
    <mergeCell ref="UE3:UJ3"/>
    <mergeCell ref="UK3:UP3"/>
    <mergeCell ref="UQ3:UV3"/>
    <mergeCell ref="UW3:VB3"/>
    <mergeCell ref="AAQ3:AAV3"/>
    <mergeCell ref="AAW3:ABB3"/>
    <mergeCell ref="ABC3:ABH3"/>
    <mergeCell ref="ABI3:ABN3"/>
    <mergeCell ref="ABO3:ABT3"/>
    <mergeCell ref="ABU3:ABZ3"/>
    <mergeCell ref="ZG3:ZL3"/>
    <mergeCell ref="ZM3:ZR3"/>
    <mergeCell ref="ZS3:ZX3"/>
    <mergeCell ref="ZY3:AAD3"/>
    <mergeCell ref="AAE3:AAJ3"/>
    <mergeCell ref="AAK3:AAP3"/>
    <mergeCell ref="XW3:YB3"/>
    <mergeCell ref="YC3:YH3"/>
    <mergeCell ref="YI3:YN3"/>
    <mergeCell ref="YO3:YT3"/>
    <mergeCell ref="YU3:YZ3"/>
    <mergeCell ref="ZA3:ZF3"/>
    <mergeCell ref="AEU3:AEZ3"/>
    <mergeCell ref="AFA3:AFF3"/>
    <mergeCell ref="AFG3:AFL3"/>
    <mergeCell ref="AFM3:AFR3"/>
    <mergeCell ref="AFS3:AFX3"/>
    <mergeCell ref="AFY3:AGD3"/>
    <mergeCell ref="ADK3:ADP3"/>
    <mergeCell ref="ADQ3:ADV3"/>
    <mergeCell ref="ADW3:AEB3"/>
    <mergeCell ref="AEC3:AEH3"/>
    <mergeCell ref="AEI3:AEN3"/>
    <mergeCell ref="AEO3:AET3"/>
    <mergeCell ref="ACA3:ACF3"/>
    <mergeCell ref="ACG3:ACL3"/>
    <mergeCell ref="ACM3:ACR3"/>
    <mergeCell ref="ACS3:ACX3"/>
    <mergeCell ref="ACY3:ADD3"/>
    <mergeCell ref="ADE3:ADJ3"/>
    <mergeCell ref="AIY3:AJD3"/>
    <mergeCell ref="AJE3:AJJ3"/>
    <mergeCell ref="AJK3:AJP3"/>
    <mergeCell ref="AJQ3:AJV3"/>
    <mergeCell ref="AJW3:AKB3"/>
    <mergeCell ref="AKC3:AKH3"/>
    <mergeCell ref="AHO3:AHT3"/>
    <mergeCell ref="AHU3:AHZ3"/>
    <mergeCell ref="AIA3:AIF3"/>
    <mergeCell ref="AIG3:AIL3"/>
    <mergeCell ref="AIM3:AIR3"/>
    <mergeCell ref="AIS3:AIX3"/>
    <mergeCell ref="AGE3:AGJ3"/>
    <mergeCell ref="AGK3:AGP3"/>
    <mergeCell ref="AGQ3:AGV3"/>
    <mergeCell ref="AGW3:AHB3"/>
    <mergeCell ref="AHC3:AHH3"/>
    <mergeCell ref="AHI3:AHN3"/>
    <mergeCell ref="ANC3:ANH3"/>
    <mergeCell ref="ANI3:ANN3"/>
    <mergeCell ref="ANO3:ANT3"/>
    <mergeCell ref="ANU3:ANZ3"/>
    <mergeCell ref="AOA3:AOF3"/>
    <mergeCell ref="AOG3:AOL3"/>
    <mergeCell ref="ALS3:ALX3"/>
    <mergeCell ref="ALY3:AMD3"/>
    <mergeCell ref="AME3:AMJ3"/>
    <mergeCell ref="AMK3:AMP3"/>
    <mergeCell ref="AMQ3:AMV3"/>
    <mergeCell ref="AMW3:ANB3"/>
    <mergeCell ref="AKI3:AKN3"/>
    <mergeCell ref="AKO3:AKT3"/>
    <mergeCell ref="AKU3:AKZ3"/>
    <mergeCell ref="ALA3:ALF3"/>
    <mergeCell ref="ALG3:ALL3"/>
    <mergeCell ref="ALM3:ALR3"/>
    <mergeCell ref="ARG3:ARL3"/>
    <mergeCell ref="ARM3:ARR3"/>
    <mergeCell ref="ARS3:ARX3"/>
    <mergeCell ref="ARY3:ASD3"/>
    <mergeCell ref="ASE3:ASJ3"/>
    <mergeCell ref="ASK3:ASP3"/>
    <mergeCell ref="APW3:AQB3"/>
    <mergeCell ref="AQC3:AQH3"/>
    <mergeCell ref="AQI3:AQN3"/>
    <mergeCell ref="AQO3:AQT3"/>
    <mergeCell ref="AQU3:AQZ3"/>
    <mergeCell ref="ARA3:ARF3"/>
    <mergeCell ref="AOM3:AOR3"/>
    <mergeCell ref="AOS3:AOX3"/>
    <mergeCell ref="AOY3:APD3"/>
    <mergeCell ref="APE3:APJ3"/>
    <mergeCell ref="APK3:APP3"/>
    <mergeCell ref="APQ3:APV3"/>
    <mergeCell ref="AVK3:AVP3"/>
    <mergeCell ref="AVQ3:AVV3"/>
    <mergeCell ref="AVW3:AWB3"/>
    <mergeCell ref="AWC3:AWH3"/>
    <mergeCell ref="AWI3:AWN3"/>
    <mergeCell ref="AWO3:AWT3"/>
    <mergeCell ref="AUA3:AUF3"/>
    <mergeCell ref="AUG3:AUL3"/>
    <mergeCell ref="AUM3:AUR3"/>
    <mergeCell ref="AUS3:AUX3"/>
    <mergeCell ref="AUY3:AVD3"/>
    <mergeCell ref="AVE3:AVJ3"/>
    <mergeCell ref="ASQ3:ASV3"/>
    <mergeCell ref="ASW3:ATB3"/>
    <mergeCell ref="ATC3:ATH3"/>
    <mergeCell ref="ATI3:ATN3"/>
    <mergeCell ref="ATO3:ATT3"/>
    <mergeCell ref="ATU3:ATZ3"/>
    <mergeCell ref="AZO3:AZT3"/>
    <mergeCell ref="AZU3:AZZ3"/>
    <mergeCell ref="BAA3:BAF3"/>
    <mergeCell ref="BAG3:BAL3"/>
    <mergeCell ref="BAM3:BAR3"/>
    <mergeCell ref="BAS3:BAX3"/>
    <mergeCell ref="AYE3:AYJ3"/>
    <mergeCell ref="AYK3:AYP3"/>
    <mergeCell ref="AYQ3:AYV3"/>
    <mergeCell ref="AYW3:AZB3"/>
    <mergeCell ref="AZC3:AZH3"/>
    <mergeCell ref="AZI3:AZN3"/>
    <mergeCell ref="AWU3:AWZ3"/>
    <mergeCell ref="AXA3:AXF3"/>
    <mergeCell ref="AXG3:AXL3"/>
    <mergeCell ref="AXM3:AXR3"/>
    <mergeCell ref="AXS3:AXX3"/>
    <mergeCell ref="AXY3:AYD3"/>
    <mergeCell ref="BDS3:BDX3"/>
    <mergeCell ref="BDY3:BED3"/>
    <mergeCell ref="BEE3:BEJ3"/>
    <mergeCell ref="BEK3:BEP3"/>
    <mergeCell ref="BEQ3:BEV3"/>
    <mergeCell ref="BEW3:BFB3"/>
    <mergeCell ref="BCI3:BCN3"/>
    <mergeCell ref="BCO3:BCT3"/>
    <mergeCell ref="BCU3:BCZ3"/>
    <mergeCell ref="BDA3:BDF3"/>
    <mergeCell ref="BDG3:BDL3"/>
    <mergeCell ref="BDM3:BDR3"/>
    <mergeCell ref="BAY3:BBD3"/>
    <mergeCell ref="BBE3:BBJ3"/>
    <mergeCell ref="BBK3:BBP3"/>
    <mergeCell ref="BBQ3:BBV3"/>
    <mergeCell ref="BBW3:BCB3"/>
    <mergeCell ref="BCC3:BCH3"/>
    <mergeCell ref="BHW3:BIB3"/>
    <mergeCell ref="BIC3:BIH3"/>
    <mergeCell ref="BII3:BIN3"/>
    <mergeCell ref="BIO3:BIT3"/>
    <mergeCell ref="BIU3:BIZ3"/>
    <mergeCell ref="BJA3:BJF3"/>
    <mergeCell ref="BGM3:BGR3"/>
    <mergeCell ref="BGS3:BGX3"/>
    <mergeCell ref="BGY3:BHD3"/>
    <mergeCell ref="BHE3:BHJ3"/>
    <mergeCell ref="BHK3:BHP3"/>
    <mergeCell ref="BHQ3:BHV3"/>
    <mergeCell ref="BFC3:BFH3"/>
    <mergeCell ref="BFI3:BFN3"/>
    <mergeCell ref="BFO3:BFT3"/>
    <mergeCell ref="BFU3:BFZ3"/>
    <mergeCell ref="BGA3:BGF3"/>
    <mergeCell ref="BGG3:BGL3"/>
    <mergeCell ref="BMA3:BMF3"/>
    <mergeCell ref="BMG3:BML3"/>
    <mergeCell ref="BMM3:BMR3"/>
    <mergeCell ref="BMS3:BMX3"/>
    <mergeCell ref="BMY3:BND3"/>
    <mergeCell ref="BNE3:BNJ3"/>
    <mergeCell ref="BKQ3:BKV3"/>
    <mergeCell ref="BKW3:BLB3"/>
    <mergeCell ref="BLC3:BLH3"/>
    <mergeCell ref="BLI3:BLN3"/>
    <mergeCell ref="BLO3:BLT3"/>
    <mergeCell ref="BLU3:BLZ3"/>
    <mergeCell ref="BJG3:BJL3"/>
    <mergeCell ref="BJM3:BJR3"/>
    <mergeCell ref="BJS3:BJX3"/>
    <mergeCell ref="BJY3:BKD3"/>
    <mergeCell ref="BKE3:BKJ3"/>
    <mergeCell ref="BKK3:BKP3"/>
    <mergeCell ref="BQE3:BQJ3"/>
    <mergeCell ref="BQK3:BQP3"/>
    <mergeCell ref="BQQ3:BQV3"/>
    <mergeCell ref="BQW3:BRB3"/>
    <mergeCell ref="BRC3:BRH3"/>
    <mergeCell ref="BRI3:BRN3"/>
    <mergeCell ref="BOU3:BOZ3"/>
    <mergeCell ref="BPA3:BPF3"/>
    <mergeCell ref="BPG3:BPL3"/>
    <mergeCell ref="BPM3:BPR3"/>
    <mergeCell ref="BPS3:BPX3"/>
    <mergeCell ref="BPY3:BQD3"/>
    <mergeCell ref="BNK3:BNP3"/>
    <mergeCell ref="BNQ3:BNV3"/>
    <mergeCell ref="BNW3:BOB3"/>
    <mergeCell ref="BOC3:BOH3"/>
    <mergeCell ref="BOI3:BON3"/>
    <mergeCell ref="BOO3:BOT3"/>
    <mergeCell ref="BUI3:BUN3"/>
    <mergeCell ref="BUO3:BUT3"/>
    <mergeCell ref="BUU3:BUZ3"/>
    <mergeCell ref="BVA3:BVF3"/>
    <mergeCell ref="BVG3:BVL3"/>
    <mergeCell ref="BVM3:BVR3"/>
    <mergeCell ref="BSY3:BTD3"/>
    <mergeCell ref="BTE3:BTJ3"/>
    <mergeCell ref="BTK3:BTP3"/>
    <mergeCell ref="BTQ3:BTV3"/>
    <mergeCell ref="BTW3:BUB3"/>
    <mergeCell ref="BUC3:BUH3"/>
    <mergeCell ref="BRO3:BRT3"/>
    <mergeCell ref="BRU3:BRZ3"/>
    <mergeCell ref="BSA3:BSF3"/>
    <mergeCell ref="BSG3:BSL3"/>
    <mergeCell ref="BSM3:BSR3"/>
    <mergeCell ref="BSS3:BSX3"/>
    <mergeCell ref="BYM3:BYR3"/>
    <mergeCell ref="BYS3:BYX3"/>
    <mergeCell ref="BYY3:BZD3"/>
    <mergeCell ref="BZE3:BZJ3"/>
    <mergeCell ref="BZK3:BZP3"/>
    <mergeCell ref="BZQ3:BZV3"/>
    <mergeCell ref="BXC3:BXH3"/>
    <mergeCell ref="BXI3:BXN3"/>
    <mergeCell ref="BXO3:BXT3"/>
    <mergeCell ref="BXU3:BXZ3"/>
    <mergeCell ref="BYA3:BYF3"/>
    <mergeCell ref="BYG3:BYL3"/>
    <mergeCell ref="BVS3:BVX3"/>
    <mergeCell ref="BVY3:BWD3"/>
    <mergeCell ref="BWE3:BWJ3"/>
    <mergeCell ref="BWK3:BWP3"/>
    <mergeCell ref="BWQ3:BWV3"/>
    <mergeCell ref="BWW3:BXB3"/>
    <mergeCell ref="CCQ3:CCV3"/>
    <mergeCell ref="CCW3:CDB3"/>
    <mergeCell ref="CDC3:CDH3"/>
    <mergeCell ref="CDI3:CDN3"/>
    <mergeCell ref="CDO3:CDT3"/>
    <mergeCell ref="CDU3:CDZ3"/>
    <mergeCell ref="CBG3:CBL3"/>
    <mergeCell ref="CBM3:CBR3"/>
    <mergeCell ref="CBS3:CBX3"/>
    <mergeCell ref="CBY3:CCD3"/>
    <mergeCell ref="CCE3:CCJ3"/>
    <mergeCell ref="CCK3:CCP3"/>
    <mergeCell ref="BZW3:CAB3"/>
    <mergeCell ref="CAC3:CAH3"/>
    <mergeCell ref="CAI3:CAN3"/>
    <mergeCell ref="CAO3:CAT3"/>
    <mergeCell ref="CAU3:CAZ3"/>
    <mergeCell ref="CBA3:CBF3"/>
    <mergeCell ref="CGU3:CGZ3"/>
    <mergeCell ref="CHA3:CHF3"/>
    <mergeCell ref="CHG3:CHL3"/>
    <mergeCell ref="CHM3:CHR3"/>
    <mergeCell ref="CHS3:CHX3"/>
    <mergeCell ref="CHY3:CID3"/>
    <mergeCell ref="CFK3:CFP3"/>
    <mergeCell ref="CFQ3:CFV3"/>
    <mergeCell ref="CFW3:CGB3"/>
    <mergeCell ref="CGC3:CGH3"/>
    <mergeCell ref="CGI3:CGN3"/>
    <mergeCell ref="CGO3:CGT3"/>
    <mergeCell ref="CEA3:CEF3"/>
    <mergeCell ref="CEG3:CEL3"/>
    <mergeCell ref="CEM3:CER3"/>
    <mergeCell ref="CES3:CEX3"/>
    <mergeCell ref="CEY3:CFD3"/>
    <mergeCell ref="CFE3:CFJ3"/>
    <mergeCell ref="CKY3:CLD3"/>
    <mergeCell ref="CLE3:CLJ3"/>
    <mergeCell ref="CLK3:CLP3"/>
    <mergeCell ref="CLQ3:CLV3"/>
    <mergeCell ref="CLW3:CMB3"/>
    <mergeCell ref="CMC3:CMH3"/>
    <mergeCell ref="CJO3:CJT3"/>
    <mergeCell ref="CJU3:CJZ3"/>
    <mergeCell ref="CKA3:CKF3"/>
    <mergeCell ref="CKG3:CKL3"/>
    <mergeCell ref="CKM3:CKR3"/>
    <mergeCell ref="CKS3:CKX3"/>
    <mergeCell ref="CIE3:CIJ3"/>
    <mergeCell ref="CIK3:CIP3"/>
    <mergeCell ref="CIQ3:CIV3"/>
    <mergeCell ref="CIW3:CJB3"/>
    <mergeCell ref="CJC3:CJH3"/>
    <mergeCell ref="CJI3:CJN3"/>
    <mergeCell ref="CPC3:CPH3"/>
    <mergeCell ref="CPI3:CPN3"/>
    <mergeCell ref="CPO3:CPT3"/>
    <mergeCell ref="CPU3:CPZ3"/>
    <mergeCell ref="CQA3:CQF3"/>
    <mergeCell ref="CQG3:CQL3"/>
    <mergeCell ref="CNS3:CNX3"/>
    <mergeCell ref="CNY3:COD3"/>
    <mergeCell ref="COE3:COJ3"/>
    <mergeCell ref="COK3:COP3"/>
    <mergeCell ref="COQ3:COV3"/>
    <mergeCell ref="COW3:CPB3"/>
    <mergeCell ref="CMI3:CMN3"/>
    <mergeCell ref="CMO3:CMT3"/>
    <mergeCell ref="CMU3:CMZ3"/>
    <mergeCell ref="CNA3:CNF3"/>
    <mergeCell ref="CNG3:CNL3"/>
    <mergeCell ref="CNM3:CNR3"/>
    <mergeCell ref="CTG3:CTL3"/>
    <mergeCell ref="CTM3:CTR3"/>
    <mergeCell ref="CTS3:CTX3"/>
    <mergeCell ref="CTY3:CUD3"/>
    <mergeCell ref="CUE3:CUJ3"/>
    <mergeCell ref="CUK3:CUP3"/>
    <mergeCell ref="CRW3:CSB3"/>
    <mergeCell ref="CSC3:CSH3"/>
    <mergeCell ref="CSI3:CSN3"/>
    <mergeCell ref="CSO3:CST3"/>
    <mergeCell ref="CSU3:CSZ3"/>
    <mergeCell ref="CTA3:CTF3"/>
    <mergeCell ref="CQM3:CQR3"/>
    <mergeCell ref="CQS3:CQX3"/>
    <mergeCell ref="CQY3:CRD3"/>
    <mergeCell ref="CRE3:CRJ3"/>
    <mergeCell ref="CRK3:CRP3"/>
    <mergeCell ref="CRQ3:CRV3"/>
    <mergeCell ref="CXK3:CXP3"/>
    <mergeCell ref="CXQ3:CXV3"/>
    <mergeCell ref="CXW3:CYB3"/>
    <mergeCell ref="CYC3:CYH3"/>
    <mergeCell ref="CYI3:CYN3"/>
    <mergeCell ref="CYO3:CYT3"/>
    <mergeCell ref="CWA3:CWF3"/>
    <mergeCell ref="CWG3:CWL3"/>
    <mergeCell ref="CWM3:CWR3"/>
    <mergeCell ref="CWS3:CWX3"/>
    <mergeCell ref="CWY3:CXD3"/>
    <mergeCell ref="CXE3:CXJ3"/>
    <mergeCell ref="CUQ3:CUV3"/>
    <mergeCell ref="CUW3:CVB3"/>
    <mergeCell ref="CVC3:CVH3"/>
    <mergeCell ref="CVI3:CVN3"/>
    <mergeCell ref="CVO3:CVT3"/>
    <mergeCell ref="CVU3:CVZ3"/>
    <mergeCell ref="DBO3:DBT3"/>
    <mergeCell ref="DBU3:DBZ3"/>
    <mergeCell ref="DCA3:DCF3"/>
    <mergeCell ref="DCG3:DCL3"/>
    <mergeCell ref="DCM3:DCR3"/>
    <mergeCell ref="DCS3:DCX3"/>
    <mergeCell ref="DAE3:DAJ3"/>
    <mergeCell ref="DAK3:DAP3"/>
    <mergeCell ref="DAQ3:DAV3"/>
    <mergeCell ref="DAW3:DBB3"/>
    <mergeCell ref="DBC3:DBH3"/>
    <mergeCell ref="DBI3:DBN3"/>
    <mergeCell ref="CYU3:CYZ3"/>
    <mergeCell ref="CZA3:CZF3"/>
    <mergeCell ref="CZG3:CZL3"/>
    <mergeCell ref="CZM3:CZR3"/>
    <mergeCell ref="CZS3:CZX3"/>
    <mergeCell ref="CZY3:DAD3"/>
    <mergeCell ref="DFS3:DFX3"/>
    <mergeCell ref="DFY3:DGD3"/>
    <mergeCell ref="DGE3:DGJ3"/>
    <mergeCell ref="DGK3:DGP3"/>
    <mergeCell ref="DGQ3:DGV3"/>
    <mergeCell ref="DGW3:DHB3"/>
    <mergeCell ref="DEI3:DEN3"/>
    <mergeCell ref="DEO3:DET3"/>
    <mergeCell ref="DEU3:DEZ3"/>
    <mergeCell ref="DFA3:DFF3"/>
    <mergeCell ref="DFG3:DFL3"/>
    <mergeCell ref="DFM3:DFR3"/>
    <mergeCell ref="DCY3:DDD3"/>
    <mergeCell ref="DDE3:DDJ3"/>
    <mergeCell ref="DDK3:DDP3"/>
    <mergeCell ref="DDQ3:DDV3"/>
    <mergeCell ref="DDW3:DEB3"/>
    <mergeCell ref="DEC3:DEH3"/>
    <mergeCell ref="DJW3:DKB3"/>
    <mergeCell ref="DKC3:DKH3"/>
    <mergeCell ref="DKI3:DKN3"/>
    <mergeCell ref="DKO3:DKT3"/>
    <mergeCell ref="DKU3:DKZ3"/>
    <mergeCell ref="DLA3:DLF3"/>
    <mergeCell ref="DIM3:DIR3"/>
    <mergeCell ref="DIS3:DIX3"/>
    <mergeCell ref="DIY3:DJD3"/>
    <mergeCell ref="DJE3:DJJ3"/>
    <mergeCell ref="DJK3:DJP3"/>
    <mergeCell ref="DJQ3:DJV3"/>
    <mergeCell ref="DHC3:DHH3"/>
    <mergeCell ref="DHI3:DHN3"/>
    <mergeCell ref="DHO3:DHT3"/>
    <mergeCell ref="DHU3:DHZ3"/>
    <mergeCell ref="DIA3:DIF3"/>
    <mergeCell ref="DIG3:DIL3"/>
    <mergeCell ref="DOA3:DOF3"/>
    <mergeCell ref="DOG3:DOL3"/>
    <mergeCell ref="DOM3:DOR3"/>
    <mergeCell ref="DOS3:DOX3"/>
    <mergeCell ref="DOY3:DPD3"/>
    <mergeCell ref="DPE3:DPJ3"/>
    <mergeCell ref="DMQ3:DMV3"/>
    <mergeCell ref="DMW3:DNB3"/>
    <mergeCell ref="DNC3:DNH3"/>
    <mergeCell ref="DNI3:DNN3"/>
    <mergeCell ref="DNO3:DNT3"/>
    <mergeCell ref="DNU3:DNZ3"/>
    <mergeCell ref="DLG3:DLL3"/>
    <mergeCell ref="DLM3:DLR3"/>
    <mergeCell ref="DLS3:DLX3"/>
    <mergeCell ref="DLY3:DMD3"/>
    <mergeCell ref="DME3:DMJ3"/>
    <mergeCell ref="DMK3:DMP3"/>
    <mergeCell ref="DSE3:DSJ3"/>
    <mergeCell ref="DSK3:DSP3"/>
    <mergeCell ref="DSQ3:DSV3"/>
    <mergeCell ref="DSW3:DTB3"/>
    <mergeCell ref="DTC3:DTH3"/>
    <mergeCell ref="DTI3:DTN3"/>
    <mergeCell ref="DQU3:DQZ3"/>
    <mergeCell ref="DRA3:DRF3"/>
    <mergeCell ref="DRG3:DRL3"/>
    <mergeCell ref="DRM3:DRR3"/>
    <mergeCell ref="DRS3:DRX3"/>
    <mergeCell ref="DRY3:DSD3"/>
    <mergeCell ref="DPK3:DPP3"/>
    <mergeCell ref="DPQ3:DPV3"/>
    <mergeCell ref="DPW3:DQB3"/>
    <mergeCell ref="DQC3:DQH3"/>
    <mergeCell ref="DQI3:DQN3"/>
    <mergeCell ref="DQO3:DQT3"/>
    <mergeCell ref="DWI3:DWN3"/>
    <mergeCell ref="DWO3:DWT3"/>
    <mergeCell ref="DWU3:DWZ3"/>
    <mergeCell ref="DXA3:DXF3"/>
    <mergeCell ref="DXG3:DXL3"/>
    <mergeCell ref="DXM3:DXR3"/>
    <mergeCell ref="DUY3:DVD3"/>
    <mergeCell ref="DVE3:DVJ3"/>
    <mergeCell ref="DVK3:DVP3"/>
    <mergeCell ref="DVQ3:DVV3"/>
    <mergeCell ref="DVW3:DWB3"/>
    <mergeCell ref="DWC3:DWH3"/>
    <mergeCell ref="DTO3:DTT3"/>
    <mergeCell ref="DTU3:DTZ3"/>
    <mergeCell ref="DUA3:DUF3"/>
    <mergeCell ref="DUG3:DUL3"/>
    <mergeCell ref="DUM3:DUR3"/>
    <mergeCell ref="DUS3:DUX3"/>
    <mergeCell ref="EAM3:EAR3"/>
    <mergeCell ref="EAS3:EAX3"/>
    <mergeCell ref="EAY3:EBD3"/>
    <mergeCell ref="EBE3:EBJ3"/>
    <mergeCell ref="EBK3:EBP3"/>
    <mergeCell ref="EBQ3:EBV3"/>
    <mergeCell ref="DZC3:DZH3"/>
    <mergeCell ref="DZI3:DZN3"/>
    <mergeCell ref="DZO3:DZT3"/>
    <mergeCell ref="DZU3:DZZ3"/>
    <mergeCell ref="EAA3:EAF3"/>
    <mergeCell ref="EAG3:EAL3"/>
    <mergeCell ref="DXS3:DXX3"/>
    <mergeCell ref="DXY3:DYD3"/>
    <mergeCell ref="DYE3:DYJ3"/>
    <mergeCell ref="DYK3:DYP3"/>
    <mergeCell ref="DYQ3:DYV3"/>
    <mergeCell ref="DYW3:DZB3"/>
    <mergeCell ref="EEQ3:EEV3"/>
    <mergeCell ref="EEW3:EFB3"/>
    <mergeCell ref="EFC3:EFH3"/>
    <mergeCell ref="EFI3:EFN3"/>
    <mergeCell ref="EFO3:EFT3"/>
    <mergeCell ref="EFU3:EFZ3"/>
    <mergeCell ref="EDG3:EDL3"/>
    <mergeCell ref="EDM3:EDR3"/>
    <mergeCell ref="EDS3:EDX3"/>
    <mergeCell ref="EDY3:EED3"/>
    <mergeCell ref="EEE3:EEJ3"/>
    <mergeCell ref="EEK3:EEP3"/>
    <mergeCell ref="EBW3:ECB3"/>
    <mergeCell ref="ECC3:ECH3"/>
    <mergeCell ref="ECI3:ECN3"/>
    <mergeCell ref="ECO3:ECT3"/>
    <mergeCell ref="ECU3:ECZ3"/>
    <mergeCell ref="EDA3:EDF3"/>
    <mergeCell ref="EIU3:EIZ3"/>
    <mergeCell ref="EJA3:EJF3"/>
    <mergeCell ref="EJG3:EJL3"/>
    <mergeCell ref="EJM3:EJR3"/>
    <mergeCell ref="EJS3:EJX3"/>
    <mergeCell ref="EJY3:EKD3"/>
    <mergeCell ref="EHK3:EHP3"/>
    <mergeCell ref="EHQ3:EHV3"/>
    <mergeCell ref="EHW3:EIB3"/>
    <mergeCell ref="EIC3:EIH3"/>
    <mergeCell ref="EII3:EIN3"/>
    <mergeCell ref="EIO3:EIT3"/>
    <mergeCell ref="EGA3:EGF3"/>
    <mergeCell ref="EGG3:EGL3"/>
    <mergeCell ref="EGM3:EGR3"/>
    <mergeCell ref="EGS3:EGX3"/>
    <mergeCell ref="EGY3:EHD3"/>
    <mergeCell ref="EHE3:EHJ3"/>
    <mergeCell ref="EMY3:END3"/>
    <mergeCell ref="ENE3:ENJ3"/>
    <mergeCell ref="ENK3:ENP3"/>
    <mergeCell ref="ENQ3:ENV3"/>
    <mergeCell ref="ENW3:EOB3"/>
    <mergeCell ref="EOC3:EOH3"/>
    <mergeCell ref="ELO3:ELT3"/>
    <mergeCell ref="ELU3:ELZ3"/>
    <mergeCell ref="EMA3:EMF3"/>
    <mergeCell ref="EMG3:EML3"/>
    <mergeCell ref="EMM3:EMR3"/>
    <mergeCell ref="EMS3:EMX3"/>
    <mergeCell ref="EKE3:EKJ3"/>
    <mergeCell ref="EKK3:EKP3"/>
    <mergeCell ref="EKQ3:EKV3"/>
    <mergeCell ref="EKW3:ELB3"/>
    <mergeCell ref="ELC3:ELH3"/>
    <mergeCell ref="ELI3:ELN3"/>
    <mergeCell ref="ERC3:ERH3"/>
    <mergeCell ref="ERI3:ERN3"/>
    <mergeCell ref="ERO3:ERT3"/>
    <mergeCell ref="ERU3:ERZ3"/>
    <mergeCell ref="ESA3:ESF3"/>
    <mergeCell ref="ESG3:ESL3"/>
    <mergeCell ref="EPS3:EPX3"/>
    <mergeCell ref="EPY3:EQD3"/>
    <mergeCell ref="EQE3:EQJ3"/>
    <mergeCell ref="EQK3:EQP3"/>
    <mergeCell ref="EQQ3:EQV3"/>
    <mergeCell ref="EQW3:ERB3"/>
    <mergeCell ref="EOI3:EON3"/>
    <mergeCell ref="EOO3:EOT3"/>
    <mergeCell ref="EOU3:EOZ3"/>
    <mergeCell ref="EPA3:EPF3"/>
    <mergeCell ref="EPG3:EPL3"/>
    <mergeCell ref="EPM3:EPR3"/>
    <mergeCell ref="EVG3:EVL3"/>
    <mergeCell ref="EVM3:EVR3"/>
    <mergeCell ref="EVS3:EVX3"/>
    <mergeCell ref="EVY3:EWD3"/>
    <mergeCell ref="EWE3:EWJ3"/>
    <mergeCell ref="EWK3:EWP3"/>
    <mergeCell ref="ETW3:EUB3"/>
    <mergeCell ref="EUC3:EUH3"/>
    <mergeCell ref="EUI3:EUN3"/>
    <mergeCell ref="EUO3:EUT3"/>
    <mergeCell ref="EUU3:EUZ3"/>
    <mergeCell ref="EVA3:EVF3"/>
    <mergeCell ref="ESM3:ESR3"/>
    <mergeCell ref="ESS3:ESX3"/>
    <mergeCell ref="ESY3:ETD3"/>
    <mergeCell ref="ETE3:ETJ3"/>
    <mergeCell ref="ETK3:ETP3"/>
    <mergeCell ref="ETQ3:ETV3"/>
    <mergeCell ref="EZK3:EZP3"/>
    <mergeCell ref="EZQ3:EZV3"/>
    <mergeCell ref="EZW3:FAB3"/>
    <mergeCell ref="FAC3:FAH3"/>
    <mergeCell ref="FAI3:FAN3"/>
    <mergeCell ref="FAO3:FAT3"/>
    <mergeCell ref="EYA3:EYF3"/>
    <mergeCell ref="EYG3:EYL3"/>
    <mergeCell ref="EYM3:EYR3"/>
    <mergeCell ref="EYS3:EYX3"/>
    <mergeCell ref="EYY3:EZD3"/>
    <mergeCell ref="EZE3:EZJ3"/>
    <mergeCell ref="EWQ3:EWV3"/>
    <mergeCell ref="EWW3:EXB3"/>
    <mergeCell ref="EXC3:EXH3"/>
    <mergeCell ref="EXI3:EXN3"/>
    <mergeCell ref="EXO3:EXT3"/>
    <mergeCell ref="EXU3:EXZ3"/>
    <mergeCell ref="FDO3:FDT3"/>
    <mergeCell ref="FDU3:FDZ3"/>
    <mergeCell ref="FEA3:FEF3"/>
    <mergeCell ref="FEG3:FEL3"/>
    <mergeCell ref="FEM3:FER3"/>
    <mergeCell ref="FES3:FEX3"/>
    <mergeCell ref="FCE3:FCJ3"/>
    <mergeCell ref="FCK3:FCP3"/>
    <mergeCell ref="FCQ3:FCV3"/>
    <mergeCell ref="FCW3:FDB3"/>
    <mergeCell ref="FDC3:FDH3"/>
    <mergeCell ref="FDI3:FDN3"/>
    <mergeCell ref="FAU3:FAZ3"/>
    <mergeCell ref="FBA3:FBF3"/>
    <mergeCell ref="FBG3:FBL3"/>
    <mergeCell ref="FBM3:FBR3"/>
    <mergeCell ref="FBS3:FBX3"/>
    <mergeCell ref="FBY3:FCD3"/>
    <mergeCell ref="FHS3:FHX3"/>
    <mergeCell ref="FHY3:FID3"/>
    <mergeCell ref="FIE3:FIJ3"/>
    <mergeCell ref="FIK3:FIP3"/>
    <mergeCell ref="FIQ3:FIV3"/>
    <mergeCell ref="FIW3:FJB3"/>
    <mergeCell ref="FGI3:FGN3"/>
    <mergeCell ref="FGO3:FGT3"/>
    <mergeCell ref="FGU3:FGZ3"/>
    <mergeCell ref="FHA3:FHF3"/>
    <mergeCell ref="FHG3:FHL3"/>
    <mergeCell ref="FHM3:FHR3"/>
    <mergeCell ref="FEY3:FFD3"/>
    <mergeCell ref="FFE3:FFJ3"/>
    <mergeCell ref="FFK3:FFP3"/>
    <mergeCell ref="FFQ3:FFV3"/>
    <mergeCell ref="FFW3:FGB3"/>
    <mergeCell ref="FGC3:FGH3"/>
    <mergeCell ref="FLW3:FMB3"/>
    <mergeCell ref="FMC3:FMH3"/>
    <mergeCell ref="FMI3:FMN3"/>
    <mergeCell ref="FMO3:FMT3"/>
    <mergeCell ref="FMU3:FMZ3"/>
    <mergeCell ref="FNA3:FNF3"/>
    <mergeCell ref="FKM3:FKR3"/>
    <mergeCell ref="FKS3:FKX3"/>
    <mergeCell ref="FKY3:FLD3"/>
    <mergeCell ref="FLE3:FLJ3"/>
    <mergeCell ref="FLK3:FLP3"/>
    <mergeCell ref="FLQ3:FLV3"/>
    <mergeCell ref="FJC3:FJH3"/>
    <mergeCell ref="FJI3:FJN3"/>
    <mergeCell ref="FJO3:FJT3"/>
    <mergeCell ref="FJU3:FJZ3"/>
    <mergeCell ref="FKA3:FKF3"/>
    <mergeCell ref="FKG3:FKL3"/>
    <mergeCell ref="FQA3:FQF3"/>
    <mergeCell ref="FQG3:FQL3"/>
    <mergeCell ref="FQM3:FQR3"/>
    <mergeCell ref="FQS3:FQX3"/>
    <mergeCell ref="FQY3:FRD3"/>
    <mergeCell ref="FRE3:FRJ3"/>
    <mergeCell ref="FOQ3:FOV3"/>
    <mergeCell ref="FOW3:FPB3"/>
    <mergeCell ref="FPC3:FPH3"/>
    <mergeCell ref="FPI3:FPN3"/>
    <mergeCell ref="FPO3:FPT3"/>
    <mergeCell ref="FPU3:FPZ3"/>
    <mergeCell ref="FNG3:FNL3"/>
    <mergeCell ref="FNM3:FNR3"/>
    <mergeCell ref="FNS3:FNX3"/>
    <mergeCell ref="FNY3:FOD3"/>
    <mergeCell ref="FOE3:FOJ3"/>
    <mergeCell ref="FOK3:FOP3"/>
    <mergeCell ref="FUE3:FUJ3"/>
    <mergeCell ref="FUK3:FUP3"/>
    <mergeCell ref="FUQ3:FUV3"/>
    <mergeCell ref="FUW3:FVB3"/>
    <mergeCell ref="FVC3:FVH3"/>
    <mergeCell ref="FVI3:FVN3"/>
    <mergeCell ref="FSU3:FSZ3"/>
    <mergeCell ref="FTA3:FTF3"/>
    <mergeCell ref="FTG3:FTL3"/>
    <mergeCell ref="FTM3:FTR3"/>
    <mergeCell ref="FTS3:FTX3"/>
    <mergeCell ref="FTY3:FUD3"/>
    <mergeCell ref="FRK3:FRP3"/>
    <mergeCell ref="FRQ3:FRV3"/>
    <mergeCell ref="FRW3:FSB3"/>
    <mergeCell ref="FSC3:FSH3"/>
    <mergeCell ref="FSI3:FSN3"/>
    <mergeCell ref="FSO3:FST3"/>
    <mergeCell ref="FYI3:FYN3"/>
    <mergeCell ref="FYO3:FYT3"/>
    <mergeCell ref="FYU3:FYZ3"/>
    <mergeCell ref="FZA3:FZF3"/>
    <mergeCell ref="FZG3:FZL3"/>
    <mergeCell ref="FZM3:FZR3"/>
    <mergeCell ref="FWY3:FXD3"/>
    <mergeCell ref="FXE3:FXJ3"/>
    <mergeCell ref="FXK3:FXP3"/>
    <mergeCell ref="FXQ3:FXV3"/>
    <mergeCell ref="FXW3:FYB3"/>
    <mergeCell ref="FYC3:FYH3"/>
    <mergeCell ref="FVO3:FVT3"/>
    <mergeCell ref="FVU3:FVZ3"/>
    <mergeCell ref="FWA3:FWF3"/>
    <mergeCell ref="FWG3:FWL3"/>
    <mergeCell ref="FWM3:FWR3"/>
    <mergeCell ref="FWS3:FWX3"/>
    <mergeCell ref="GCM3:GCR3"/>
    <mergeCell ref="GCS3:GCX3"/>
    <mergeCell ref="GCY3:GDD3"/>
    <mergeCell ref="GDE3:GDJ3"/>
    <mergeCell ref="GDK3:GDP3"/>
    <mergeCell ref="GDQ3:GDV3"/>
    <mergeCell ref="GBC3:GBH3"/>
    <mergeCell ref="GBI3:GBN3"/>
    <mergeCell ref="GBO3:GBT3"/>
    <mergeCell ref="GBU3:GBZ3"/>
    <mergeCell ref="GCA3:GCF3"/>
    <mergeCell ref="GCG3:GCL3"/>
    <mergeCell ref="FZS3:FZX3"/>
    <mergeCell ref="FZY3:GAD3"/>
    <mergeCell ref="GAE3:GAJ3"/>
    <mergeCell ref="GAK3:GAP3"/>
    <mergeCell ref="GAQ3:GAV3"/>
    <mergeCell ref="GAW3:GBB3"/>
    <mergeCell ref="GGQ3:GGV3"/>
    <mergeCell ref="GGW3:GHB3"/>
    <mergeCell ref="GHC3:GHH3"/>
    <mergeCell ref="GHI3:GHN3"/>
    <mergeCell ref="GHO3:GHT3"/>
    <mergeCell ref="GHU3:GHZ3"/>
    <mergeCell ref="GFG3:GFL3"/>
    <mergeCell ref="GFM3:GFR3"/>
    <mergeCell ref="GFS3:GFX3"/>
    <mergeCell ref="GFY3:GGD3"/>
    <mergeCell ref="GGE3:GGJ3"/>
    <mergeCell ref="GGK3:GGP3"/>
    <mergeCell ref="GDW3:GEB3"/>
    <mergeCell ref="GEC3:GEH3"/>
    <mergeCell ref="GEI3:GEN3"/>
    <mergeCell ref="GEO3:GET3"/>
    <mergeCell ref="GEU3:GEZ3"/>
    <mergeCell ref="GFA3:GFF3"/>
    <mergeCell ref="GKU3:GKZ3"/>
    <mergeCell ref="GLA3:GLF3"/>
    <mergeCell ref="GLG3:GLL3"/>
    <mergeCell ref="GLM3:GLR3"/>
    <mergeCell ref="GLS3:GLX3"/>
    <mergeCell ref="GLY3:GMD3"/>
    <mergeCell ref="GJK3:GJP3"/>
    <mergeCell ref="GJQ3:GJV3"/>
    <mergeCell ref="GJW3:GKB3"/>
    <mergeCell ref="GKC3:GKH3"/>
    <mergeCell ref="GKI3:GKN3"/>
    <mergeCell ref="GKO3:GKT3"/>
    <mergeCell ref="GIA3:GIF3"/>
    <mergeCell ref="GIG3:GIL3"/>
    <mergeCell ref="GIM3:GIR3"/>
    <mergeCell ref="GIS3:GIX3"/>
    <mergeCell ref="GIY3:GJD3"/>
    <mergeCell ref="GJE3:GJJ3"/>
    <mergeCell ref="GOY3:GPD3"/>
    <mergeCell ref="GPE3:GPJ3"/>
    <mergeCell ref="GPK3:GPP3"/>
    <mergeCell ref="GPQ3:GPV3"/>
    <mergeCell ref="GPW3:GQB3"/>
    <mergeCell ref="GQC3:GQH3"/>
    <mergeCell ref="GNO3:GNT3"/>
    <mergeCell ref="GNU3:GNZ3"/>
    <mergeCell ref="GOA3:GOF3"/>
    <mergeCell ref="GOG3:GOL3"/>
    <mergeCell ref="GOM3:GOR3"/>
    <mergeCell ref="GOS3:GOX3"/>
    <mergeCell ref="GME3:GMJ3"/>
    <mergeCell ref="GMK3:GMP3"/>
    <mergeCell ref="GMQ3:GMV3"/>
    <mergeCell ref="GMW3:GNB3"/>
    <mergeCell ref="GNC3:GNH3"/>
    <mergeCell ref="GNI3:GNN3"/>
    <mergeCell ref="GTC3:GTH3"/>
    <mergeCell ref="GTI3:GTN3"/>
    <mergeCell ref="GTO3:GTT3"/>
    <mergeCell ref="GTU3:GTZ3"/>
    <mergeCell ref="GUA3:GUF3"/>
    <mergeCell ref="GUG3:GUL3"/>
    <mergeCell ref="GRS3:GRX3"/>
    <mergeCell ref="GRY3:GSD3"/>
    <mergeCell ref="GSE3:GSJ3"/>
    <mergeCell ref="GSK3:GSP3"/>
    <mergeCell ref="GSQ3:GSV3"/>
    <mergeCell ref="GSW3:GTB3"/>
    <mergeCell ref="GQI3:GQN3"/>
    <mergeCell ref="GQO3:GQT3"/>
    <mergeCell ref="GQU3:GQZ3"/>
    <mergeCell ref="GRA3:GRF3"/>
    <mergeCell ref="GRG3:GRL3"/>
    <mergeCell ref="GRM3:GRR3"/>
    <mergeCell ref="GXG3:GXL3"/>
    <mergeCell ref="GXM3:GXR3"/>
    <mergeCell ref="GXS3:GXX3"/>
    <mergeCell ref="GXY3:GYD3"/>
    <mergeCell ref="GYE3:GYJ3"/>
    <mergeCell ref="GYK3:GYP3"/>
    <mergeCell ref="GVW3:GWB3"/>
    <mergeCell ref="GWC3:GWH3"/>
    <mergeCell ref="GWI3:GWN3"/>
    <mergeCell ref="GWO3:GWT3"/>
    <mergeCell ref="GWU3:GWZ3"/>
    <mergeCell ref="GXA3:GXF3"/>
    <mergeCell ref="GUM3:GUR3"/>
    <mergeCell ref="GUS3:GUX3"/>
    <mergeCell ref="GUY3:GVD3"/>
    <mergeCell ref="GVE3:GVJ3"/>
    <mergeCell ref="GVK3:GVP3"/>
    <mergeCell ref="GVQ3:GVV3"/>
    <mergeCell ref="HBK3:HBP3"/>
    <mergeCell ref="HBQ3:HBV3"/>
    <mergeCell ref="HBW3:HCB3"/>
    <mergeCell ref="HCC3:HCH3"/>
    <mergeCell ref="HCI3:HCN3"/>
    <mergeCell ref="HCO3:HCT3"/>
    <mergeCell ref="HAA3:HAF3"/>
    <mergeCell ref="HAG3:HAL3"/>
    <mergeCell ref="HAM3:HAR3"/>
    <mergeCell ref="HAS3:HAX3"/>
    <mergeCell ref="HAY3:HBD3"/>
    <mergeCell ref="HBE3:HBJ3"/>
    <mergeCell ref="GYQ3:GYV3"/>
    <mergeCell ref="GYW3:GZB3"/>
    <mergeCell ref="GZC3:GZH3"/>
    <mergeCell ref="GZI3:GZN3"/>
    <mergeCell ref="GZO3:GZT3"/>
    <mergeCell ref="GZU3:GZZ3"/>
    <mergeCell ref="HFO3:HFT3"/>
    <mergeCell ref="HFU3:HFZ3"/>
    <mergeCell ref="HGA3:HGF3"/>
    <mergeCell ref="HGG3:HGL3"/>
    <mergeCell ref="HGM3:HGR3"/>
    <mergeCell ref="HGS3:HGX3"/>
    <mergeCell ref="HEE3:HEJ3"/>
    <mergeCell ref="HEK3:HEP3"/>
    <mergeCell ref="HEQ3:HEV3"/>
    <mergeCell ref="HEW3:HFB3"/>
    <mergeCell ref="HFC3:HFH3"/>
    <mergeCell ref="HFI3:HFN3"/>
    <mergeCell ref="HCU3:HCZ3"/>
    <mergeCell ref="HDA3:HDF3"/>
    <mergeCell ref="HDG3:HDL3"/>
    <mergeCell ref="HDM3:HDR3"/>
    <mergeCell ref="HDS3:HDX3"/>
    <mergeCell ref="HDY3:HED3"/>
    <mergeCell ref="HJS3:HJX3"/>
    <mergeCell ref="HJY3:HKD3"/>
    <mergeCell ref="HKE3:HKJ3"/>
    <mergeCell ref="HKK3:HKP3"/>
    <mergeCell ref="HKQ3:HKV3"/>
    <mergeCell ref="HKW3:HLB3"/>
    <mergeCell ref="HII3:HIN3"/>
    <mergeCell ref="HIO3:HIT3"/>
    <mergeCell ref="HIU3:HIZ3"/>
    <mergeCell ref="HJA3:HJF3"/>
    <mergeCell ref="HJG3:HJL3"/>
    <mergeCell ref="HJM3:HJR3"/>
    <mergeCell ref="HGY3:HHD3"/>
    <mergeCell ref="HHE3:HHJ3"/>
    <mergeCell ref="HHK3:HHP3"/>
    <mergeCell ref="HHQ3:HHV3"/>
    <mergeCell ref="HHW3:HIB3"/>
    <mergeCell ref="HIC3:HIH3"/>
    <mergeCell ref="HNW3:HOB3"/>
    <mergeCell ref="HOC3:HOH3"/>
    <mergeCell ref="HOI3:HON3"/>
    <mergeCell ref="HOO3:HOT3"/>
    <mergeCell ref="HOU3:HOZ3"/>
    <mergeCell ref="HPA3:HPF3"/>
    <mergeCell ref="HMM3:HMR3"/>
    <mergeCell ref="HMS3:HMX3"/>
    <mergeCell ref="HMY3:HND3"/>
    <mergeCell ref="HNE3:HNJ3"/>
    <mergeCell ref="HNK3:HNP3"/>
    <mergeCell ref="HNQ3:HNV3"/>
    <mergeCell ref="HLC3:HLH3"/>
    <mergeCell ref="HLI3:HLN3"/>
    <mergeCell ref="HLO3:HLT3"/>
    <mergeCell ref="HLU3:HLZ3"/>
    <mergeCell ref="HMA3:HMF3"/>
    <mergeCell ref="HMG3:HML3"/>
    <mergeCell ref="HSA3:HSF3"/>
    <mergeCell ref="HSG3:HSL3"/>
    <mergeCell ref="HSM3:HSR3"/>
    <mergeCell ref="HSS3:HSX3"/>
    <mergeCell ref="HSY3:HTD3"/>
    <mergeCell ref="HTE3:HTJ3"/>
    <mergeCell ref="HQQ3:HQV3"/>
    <mergeCell ref="HQW3:HRB3"/>
    <mergeCell ref="HRC3:HRH3"/>
    <mergeCell ref="HRI3:HRN3"/>
    <mergeCell ref="HRO3:HRT3"/>
    <mergeCell ref="HRU3:HRZ3"/>
    <mergeCell ref="HPG3:HPL3"/>
    <mergeCell ref="HPM3:HPR3"/>
    <mergeCell ref="HPS3:HPX3"/>
    <mergeCell ref="HPY3:HQD3"/>
    <mergeCell ref="HQE3:HQJ3"/>
    <mergeCell ref="HQK3:HQP3"/>
    <mergeCell ref="HWE3:HWJ3"/>
    <mergeCell ref="HWK3:HWP3"/>
    <mergeCell ref="HWQ3:HWV3"/>
    <mergeCell ref="HWW3:HXB3"/>
    <mergeCell ref="HXC3:HXH3"/>
    <mergeCell ref="HXI3:HXN3"/>
    <mergeCell ref="HUU3:HUZ3"/>
    <mergeCell ref="HVA3:HVF3"/>
    <mergeCell ref="HVG3:HVL3"/>
    <mergeCell ref="HVM3:HVR3"/>
    <mergeCell ref="HVS3:HVX3"/>
    <mergeCell ref="HVY3:HWD3"/>
    <mergeCell ref="HTK3:HTP3"/>
    <mergeCell ref="HTQ3:HTV3"/>
    <mergeCell ref="HTW3:HUB3"/>
    <mergeCell ref="HUC3:HUH3"/>
    <mergeCell ref="HUI3:HUN3"/>
    <mergeCell ref="HUO3:HUT3"/>
    <mergeCell ref="IAI3:IAN3"/>
    <mergeCell ref="IAO3:IAT3"/>
    <mergeCell ref="IAU3:IAZ3"/>
    <mergeCell ref="IBA3:IBF3"/>
    <mergeCell ref="IBG3:IBL3"/>
    <mergeCell ref="IBM3:IBR3"/>
    <mergeCell ref="HYY3:HZD3"/>
    <mergeCell ref="HZE3:HZJ3"/>
    <mergeCell ref="HZK3:HZP3"/>
    <mergeCell ref="HZQ3:HZV3"/>
    <mergeCell ref="HZW3:IAB3"/>
    <mergeCell ref="IAC3:IAH3"/>
    <mergeCell ref="HXO3:HXT3"/>
    <mergeCell ref="HXU3:HXZ3"/>
    <mergeCell ref="HYA3:HYF3"/>
    <mergeCell ref="HYG3:HYL3"/>
    <mergeCell ref="HYM3:HYR3"/>
    <mergeCell ref="HYS3:HYX3"/>
    <mergeCell ref="IEM3:IER3"/>
    <mergeCell ref="IES3:IEX3"/>
    <mergeCell ref="IEY3:IFD3"/>
    <mergeCell ref="IFE3:IFJ3"/>
    <mergeCell ref="IFK3:IFP3"/>
    <mergeCell ref="IFQ3:IFV3"/>
    <mergeCell ref="IDC3:IDH3"/>
    <mergeCell ref="IDI3:IDN3"/>
    <mergeCell ref="IDO3:IDT3"/>
    <mergeCell ref="IDU3:IDZ3"/>
    <mergeCell ref="IEA3:IEF3"/>
    <mergeCell ref="IEG3:IEL3"/>
    <mergeCell ref="IBS3:IBX3"/>
    <mergeCell ref="IBY3:ICD3"/>
    <mergeCell ref="ICE3:ICJ3"/>
    <mergeCell ref="ICK3:ICP3"/>
    <mergeCell ref="ICQ3:ICV3"/>
    <mergeCell ref="ICW3:IDB3"/>
    <mergeCell ref="IIQ3:IIV3"/>
    <mergeCell ref="IIW3:IJB3"/>
    <mergeCell ref="IJC3:IJH3"/>
    <mergeCell ref="IJI3:IJN3"/>
    <mergeCell ref="IJO3:IJT3"/>
    <mergeCell ref="IJU3:IJZ3"/>
    <mergeCell ref="IHG3:IHL3"/>
    <mergeCell ref="IHM3:IHR3"/>
    <mergeCell ref="IHS3:IHX3"/>
    <mergeCell ref="IHY3:IID3"/>
    <mergeCell ref="IIE3:IIJ3"/>
    <mergeCell ref="IIK3:IIP3"/>
    <mergeCell ref="IFW3:IGB3"/>
    <mergeCell ref="IGC3:IGH3"/>
    <mergeCell ref="IGI3:IGN3"/>
    <mergeCell ref="IGO3:IGT3"/>
    <mergeCell ref="IGU3:IGZ3"/>
    <mergeCell ref="IHA3:IHF3"/>
    <mergeCell ref="IMU3:IMZ3"/>
    <mergeCell ref="INA3:INF3"/>
    <mergeCell ref="ING3:INL3"/>
    <mergeCell ref="INM3:INR3"/>
    <mergeCell ref="INS3:INX3"/>
    <mergeCell ref="INY3:IOD3"/>
    <mergeCell ref="ILK3:ILP3"/>
    <mergeCell ref="ILQ3:ILV3"/>
    <mergeCell ref="ILW3:IMB3"/>
    <mergeCell ref="IMC3:IMH3"/>
    <mergeCell ref="IMI3:IMN3"/>
    <mergeCell ref="IMO3:IMT3"/>
    <mergeCell ref="IKA3:IKF3"/>
    <mergeCell ref="IKG3:IKL3"/>
    <mergeCell ref="IKM3:IKR3"/>
    <mergeCell ref="IKS3:IKX3"/>
    <mergeCell ref="IKY3:ILD3"/>
    <mergeCell ref="ILE3:ILJ3"/>
    <mergeCell ref="IQY3:IRD3"/>
    <mergeCell ref="IRE3:IRJ3"/>
    <mergeCell ref="IRK3:IRP3"/>
    <mergeCell ref="IRQ3:IRV3"/>
    <mergeCell ref="IRW3:ISB3"/>
    <mergeCell ref="ISC3:ISH3"/>
    <mergeCell ref="IPO3:IPT3"/>
    <mergeCell ref="IPU3:IPZ3"/>
    <mergeCell ref="IQA3:IQF3"/>
    <mergeCell ref="IQG3:IQL3"/>
    <mergeCell ref="IQM3:IQR3"/>
    <mergeCell ref="IQS3:IQX3"/>
    <mergeCell ref="IOE3:IOJ3"/>
    <mergeCell ref="IOK3:IOP3"/>
    <mergeCell ref="IOQ3:IOV3"/>
    <mergeCell ref="IOW3:IPB3"/>
    <mergeCell ref="IPC3:IPH3"/>
    <mergeCell ref="IPI3:IPN3"/>
    <mergeCell ref="IVC3:IVH3"/>
    <mergeCell ref="IVI3:IVN3"/>
    <mergeCell ref="IVO3:IVT3"/>
    <mergeCell ref="IVU3:IVZ3"/>
    <mergeCell ref="IWA3:IWF3"/>
    <mergeCell ref="IWG3:IWL3"/>
    <mergeCell ref="ITS3:ITX3"/>
    <mergeCell ref="ITY3:IUD3"/>
    <mergeCell ref="IUE3:IUJ3"/>
    <mergeCell ref="IUK3:IUP3"/>
    <mergeCell ref="IUQ3:IUV3"/>
    <mergeCell ref="IUW3:IVB3"/>
    <mergeCell ref="ISI3:ISN3"/>
    <mergeCell ref="ISO3:IST3"/>
    <mergeCell ref="ISU3:ISZ3"/>
    <mergeCell ref="ITA3:ITF3"/>
    <mergeCell ref="ITG3:ITL3"/>
    <mergeCell ref="ITM3:ITR3"/>
    <mergeCell ref="IZG3:IZL3"/>
    <mergeCell ref="IZM3:IZR3"/>
    <mergeCell ref="IZS3:IZX3"/>
    <mergeCell ref="IZY3:JAD3"/>
    <mergeCell ref="JAE3:JAJ3"/>
    <mergeCell ref="JAK3:JAP3"/>
    <mergeCell ref="IXW3:IYB3"/>
    <mergeCell ref="IYC3:IYH3"/>
    <mergeCell ref="IYI3:IYN3"/>
    <mergeCell ref="IYO3:IYT3"/>
    <mergeCell ref="IYU3:IYZ3"/>
    <mergeCell ref="IZA3:IZF3"/>
    <mergeCell ref="IWM3:IWR3"/>
    <mergeCell ref="IWS3:IWX3"/>
    <mergeCell ref="IWY3:IXD3"/>
    <mergeCell ref="IXE3:IXJ3"/>
    <mergeCell ref="IXK3:IXP3"/>
    <mergeCell ref="IXQ3:IXV3"/>
    <mergeCell ref="JDK3:JDP3"/>
    <mergeCell ref="JDQ3:JDV3"/>
    <mergeCell ref="JDW3:JEB3"/>
    <mergeCell ref="JEC3:JEH3"/>
    <mergeCell ref="JEI3:JEN3"/>
    <mergeCell ref="JEO3:JET3"/>
    <mergeCell ref="JCA3:JCF3"/>
    <mergeCell ref="JCG3:JCL3"/>
    <mergeCell ref="JCM3:JCR3"/>
    <mergeCell ref="JCS3:JCX3"/>
    <mergeCell ref="JCY3:JDD3"/>
    <mergeCell ref="JDE3:JDJ3"/>
    <mergeCell ref="JAQ3:JAV3"/>
    <mergeCell ref="JAW3:JBB3"/>
    <mergeCell ref="JBC3:JBH3"/>
    <mergeCell ref="JBI3:JBN3"/>
    <mergeCell ref="JBO3:JBT3"/>
    <mergeCell ref="JBU3:JBZ3"/>
    <mergeCell ref="JHO3:JHT3"/>
    <mergeCell ref="JHU3:JHZ3"/>
    <mergeCell ref="JIA3:JIF3"/>
    <mergeCell ref="JIG3:JIL3"/>
    <mergeCell ref="JIM3:JIR3"/>
    <mergeCell ref="JIS3:JIX3"/>
    <mergeCell ref="JGE3:JGJ3"/>
    <mergeCell ref="JGK3:JGP3"/>
    <mergeCell ref="JGQ3:JGV3"/>
    <mergeCell ref="JGW3:JHB3"/>
    <mergeCell ref="JHC3:JHH3"/>
    <mergeCell ref="JHI3:JHN3"/>
    <mergeCell ref="JEU3:JEZ3"/>
    <mergeCell ref="JFA3:JFF3"/>
    <mergeCell ref="JFG3:JFL3"/>
    <mergeCell ref="JFM3:JFR3"/>
    <mergeCell ref="JFS3:JFX3"/>
    <mergeCell ref="JFY3:JGD3"/>
    <mergeCell ref="JLS3:JLX3"/>
    <mergeCell ref="JLY3:JMD3"/>
    <mergeCell ref="JME3:JMJ3"/>
    <mergeCell ref="JMK3:JMP3"/>
    <mergeCell ref="JMQ3:JMV3"/>
    <mergeCell ref="JMW3:JNB3"/>
    <mergeCell ref="JKI3:JKN3"/>
    <mergeCell ref="JKO3:JKT3"/>
    <mergeCell ref="JKU3:JKZ3"/>
    <mergeCell ref="JLA3:JLF3"/>
    <mergeCell ref="JLG3:JLL3"/>
    <mergeCell ref="JLM3:JLR3"/>
    <mergeCell ref="JIY3:JJD3"/>
    <mergeCell ref="JJE3:JJJ3"/>
    <mergeCell ref="JJK3:JJP3"/>
    <mergeCell ref="JJQ3:JJV3"/>
    <mergeCell ref="JJW3:JKB3"/>
    <mergeCell ref="JKC3:JKH3"/>
    <mergeCell ref="JPW3:JQB3"/>
    <mergeCell ref="JQC3:JQH3"/>
    <mergeCell ref="JQI3:JQN3"/>
    <mergeCell ref="JQO3:JQT3"/>
    <mergeCell ref="JQU3:JQZ3"/>
    <mergeCell ref="JRA3:JRF3"/>
    <mergeCell ref="JOM3:JOR3"/>
    <mergeCell ref="JOS3:JOX3"/>
    <mergeCell ref="JOY3:JPD3"/>
    <mergeCell ref="JPE3:JPJ3"/>
    <mergeCell ref="JPK3:JPP3"/>
    <mergeCell ref="JPQ3:JPV3"/>
    <mergeCell ref="JNC3:JNH3"/>
    <mergeCell ref="JNI3:JNN3"/>
    <mergeCell ref="JNO3:JNT3"/>
    <mergeCell ref="JNU3:JNZ3"/>
    <mergeCell ref="JOA3:JOF3"/>
    <mergeCell ref="JOG3:JOL3"/>
    <mergeCell ref="JUA3:JUF3"/>
    <mergeCell ref="JUG3:JUL3"/>
    <mergeCell ref="JUM3:JUR3"/>
    <mergeCell ref="JUS3:JUX3"/>
    <mergeCell ref="JUY3:JVD3"/>
    <mergeCell ref="JVE3:JVJ3"/>
    <mergeCell ref="JSQ3:JSV3"/>
    <mergeCell ref="JSW3:JTB3"/>
    <mergeCell ref="JTC3:JTH3"/>
    <mergeCell ref="JTI3:JTN3"/>
    <mergeCell ref="JTO3:JTT3"/>
    <mergeCell ref="JTU3:JTZ3"/>
    <mergeCell ref="JRG3:JRL3"/>
    <mergeCell ref="JRM3:JRR3"/>
    <mergeCell ref="JRS3:JRX3"/>
    <mergeCell ref="JRY3:JSD3"/>
    <mergeCell ref="JSE3:JSJ3"/>
    <mergeCell ref="JSK3:JSP3"/>
    <mergeCell ref="JYE3:JYJ3"/>
    <mergeCell ref="JYK3:JYP3"/>
    <mergeCell ref="JYQ3:JYV3"/>
    <mergeCell ref="JYW3:JZB3"/>
    <mergeCell ref="JZC3:JZH3"/>
    <mergeCell ref="JZI3:JZN3"/>
    <mergeCell ref="JWU3:JWZ3"/>
    <mergeCell ref="JXA3:JXF3"/>
    <mergeCell ref="JXG3:JXL3"/>
    <mergeCell ref="JXM3:JXR3"/>
    <mergeCell ref="JXS3:JXX3"/>
    <mergeCell ref="JXY3:JYD3"/>
    <mergeCell ref="JVK3:JVP3"/>
    <mergeCell ref="JVQ3:JVV3"/>
    <mergeCell ref="JVW3:JWB3"/>
    <mergeCell ref="JWC3:JWH3"/>
    <mergeCell ref="JWI3:JWN3"/>
    <mergeCell ref="JWO3:JWT3"/>
    <mergeCell ref="KCI3:KCN3"/>
    <mergeCell ref="KCO3:KCT3"/>
    <mergeCell ref="KCU3:KCZ3"/>
    <mergeCell ref="KDA3:KDF3"/>
    <mergeCell ref="KDG3:KDL3"/>
    <mergeCell ref="KDM3:KDR3"/>
    <mergeCell ref="KAY3:KBD3"/>
    <mergeCell ref="KBE3:KBJ3"/>
    <mergeCell ref="KBK3:KBP3"/>
    <mergeCell ref="KBQ3:KBV3"/>
    <mergeCell ref="KBW3:KCB3"/>
    <mergeCell ref="KCC3:KCH3"/>
    <mergeCell ref="JZO3:JZT3"/>
    <mergeCell ref="JZU3:JZZ3"/>
    <mergeCell ref="KAA3:KAF3"/>
    <mergeCell ref="KAG3:KAL3"/>
    <mergeCell ref="KAM3:KAR3"/>
    <mergeCell ref="KAS3:KAX3"/>
    <mergeCell ref="KGM3:KGR3"/>
    <mergeCell ref="KGS3:KGX3"/>
    <mergeCell ref="KGY3:KHD3"/>
    <mergeCell ref="KHE3:KHJ3"/>
    <mergeCell ref="KHK3:KHP3"/>
    <mergeCell ref="KHQ3:KHV3"/>
    <mergeCell ref="KFC3:KFH3"/>
    <mergeCell ref="KFI3:KFN3"/>
    <mergeCell ref="KFO3:KFT3"/>
    <mergeCell ref="KFU3:KFZ3"/>
    <mergeCell ref="KGA3:KGF3"/>
    <mergeCell ref="KGG3:KGL3"/>
    <mergeCell ref="KDS3:KDX3"/>
    <mergeCell ref="KDY3:KED3"/>
    <mergeCell ref="KEE3:KEJ3"/>
    <mergeCell ref="KEK3:KEP3"/>
    <mergeCell ref="KEQ3:KEV3"/>
    <mergeCell ref="KEW3:KFB3"/>
    <mergeCell ref="KKQ3:KKV3"/>
    <mergeCell ref="KKW3:KLB3"/>
    <mergeCell ref="KLC3:KLH3"/>
    <mergeCell ref="KLI3:KLN3"/>
    <mergeCell ref="KLO3:KLT3"/>
    <mergeCell ref="KLU3:KLZ3"/>
    <mergeCell ref="KJG3:KJL3"/>
    <mergeCell ref="KJM3:KJR3"/>
    <mergeCell ref="KJS3:KJX3"/>
    <mergeCell ref="KJY3:KKD3"/>
    <mergeCell ref="KKE3:KKJ3"/>
    <mergeCell ref="KKK3:KKP3"/>
    <mergeCell ref="KHW3:KIB3"/>
    <mergeCell ref="KIC3:KIH3"/>
    <mergeCell ref="KII3:KIN3"/>
    <mergeCell ref="KIO3:KIT3"/>
    <mergeCell ref="KIU3:KIZ3"/>
    <mergeCell ref="KJA3:KJF3"/>
    <mergeCell ref="KOU3:KOZ3"/>
    <mergeCell ref="KPA3:KPF3"/>
    <mergeCell ref="KPG3:KPL3"/>
    <mergeCell ref="KPM3:KPR3"/>
    <mergeCell ref="KPS3:KPX3"/>
    <mergeCell ref="KPY3:KQD3"/>
    <mergeCell ref="KNK3:KNP3"/>
    <mergeCell ref="KNQ3:KNV3"/>
    <mergeCell ref="KNW3:KOB3"/>
    <mergeCell ref="KOC3:KOH3"/>
    <mergeCell ref="KOI3:KON3"/>
    <mergeCell ref="KOO3:KOT3"/>
    <mergeCell ref="KMA3:KMF3"/>
    <mergeCell ref="KMG3:KML3"/>
    <mergeCell ref="KMM3:KMR3"/>
    <mergeCell ref="KMS3:KMX3"/>
    <mergeCell ref="KMY3:KND3"/>
    <mergeCell ref="KNE3:KNJ3"/>
    <mergeCell ref="KSY3:KTD3"/>
    <mergeCell ref="KTE3:KTJ3"/>
    <mergeCell ref="KTK3:KTP3"/>
    <mergeCell ref="KTQ3:KTV3"/>
    <mergeCell ref="KTW3:KUB3"/>
    <mergeCell ref="KUC3:KUH3"/>
    <mergeCell ref="KRO3:KRT3"/>
    <mergeCell ref="KRU3:KRZ3"/>
    <mergeCell ref="KSA3:KSF3"/>
    <mergeCell ref="KSG3:KSL3"/>
    <mergeCell ref="KSM3:KSR3"/>
    <mergeCell ref="KSS3:KSX3"/>
    <mergeCell ref="KQE3:KQJ3"/>
    <mergeCell ref="KQK3:KQP3"/>
    <mergeCell ref="KQQ3:KQV3"/>
    <mergeCell ref="KQW3:KRB3"/>
    <mergeCell ref="KRC3:KRH3"/>
    <mergeCell ref="KRI3:KRN3"/>
    <mergeCell ref="KXC3:KXH3"/>
    <mergeCell ref="KXI3:KXN3"/>
    <mergeCell ref="KXO3:KXT3"/>
    <mergeCell ref="KXU3:KXZ3"/>
    <mergeCell ref="KYA3:KYF3"/>
    <mergeCell ref="KYG3:KYL3"/>
    <mergeCell ref="KVS3:KVX3"/>
    <mergeCell ref="KVY3:KWD3"/>
    <mergeCell ref="KWE3:KWJ3"/>
    <mergeCell ref="KWK3:KWP3"/>
    <mergeCell ref="KWQ3:KWV3"/>
    <mergeCell ref="KWW3:KXB3"/>
    <mergeCell ref="KUI3:KUN3"/>
    <mergeCell ref="KUO3:KUT3"/>
    <mergeCell ref="KUU3:KUZ3"/>
    <mergeCell ref="KVA3:KVF3"/>
    <mergeCell ref="KVG3:KVL3"/>
    <mergeCell ref="KVM3:KVR3"/>
    <mergeCell ref="LBG3:LBL3"/>
    <mergeCell ref="LBM3:LBR3"/>
    <mergeCell ref="LBS3:LBX3"/>
    <mergeCell ref="LBY3:LCD3"/>
    <mergeCell ref="LCE3:LCJ3"/>
    <mergeCell ref="LCK3:LCP3"/>
    <mergeCell ref="KZW3:LAB3"/>
    <mergeCell ref="LAC3:LAH3"/>
    <mergeCell ref="LAI3:LAN3"/>
    <mergeCell ref="LAO3:LAT3"/>
    <mergeCell ref="LAU3:LAZ3"/>
    <mergeCell ref="LBA3:LBF3"/>
    <mergeCell ref="KYM3:KYR3"/>
    <mergeCell ref="KYS3:KYX3"/>
    <mergeCell ref="KYY3:KZD3"/>
    <mergeCell ref="KZE3:KZJ3"/>
    <mergeCell ref="KZK3:KZP3"/>
    <mergeCell ref="KZQ3:KZV3"/>
    <mergeCell ref="LFK3:LFP3"/>
    <mergeCell ref="LFQ3:LFV3"/>
    <mergeCell ref="LFW3:LGB3"/>
    <mergeCell ref="LGC3:LGH3"/>
    <mergeCell ref="LGI3:LGN3"/>
    <mergeCell ref="LGO3:LGT3"/>
    <mergeCell ref="LEA3:LEF3"/>
    <mergeCell ref="LEG3:LEL3"/>
    <mergeCell ref="LEM3:LER3"/>
    <mergeCell ref="LES3:LEX3"/>
    <mergeCell ref="LEY3:LFD3"/>
    <mergeCell ref="LFE3:LFJ3"/>
    <mergeCell ref="LCQ3:LCV3"/>
    <mergeCell ref="LCW3:LDB3"/>
    <mergeCell ref="LDC3:LDH3"/>
    <mergeCell ref="LDI3:LDN3"/>
    <mergeCell ref="LDO3:LDT3"/>
    <mergeCell ref="LDU3:LDZ3"/>
    <mergeCell ref="LJO3:LJT3"/>
    <mergeCell ref="LJU3:LJZ3"/>
    <mergeCell ref="LKA3:LKF3"/>
    <mergeCell ref="LKG3:LKL3"/>
    <mergeCell ref="LKM3:LKR3"/>
    <mergeCell ref="LKS3:LKX3"/>
    <mergeCell ref="LIE3:LIJ3"/>
    <mergeCell ref="LIK3:LIP3"/>
    <mergeCell ref="LIQ3:LIV3"/>
    <mergeCell ref="LIW3:LJB3"/>
    <mergeCell ref="LJC3:LJH3"/>
    <mergeCell ref="LJI3:LJN3"/>
    <mergeCell ref="LGU3:LGZ3"/>
    <mergeCell ref="LHA3:LHF3"/>
    <mergeCell ref="LHG3:LHL3"/>
    <mergeCell ref="LHM3:LHR3"/>
    <mergeCell ref="LHS3:LHX3"/>
    <mergeCell ref="LHY3:LID3"/>
    <mergeCell ref="LNS3:LNX3"/>
    <mergeCell ref="LNY3:LOD3"/>
    <mergeCell ref="LOE3:LOJ3"/>
    <mergeCell ref="LOK3:LOP3"/>
    <mergeCell ref="LOQ3:LOV3"/>
    <mergeCell ref="LOW3:LPB3"/>
    <mergeCell ref="LMI3:LMN3"/>
    <mergeCell ref="LMO3:LMT3"/>
    <mergeCell ref="LMU3:LMZ3"/>
    <mergeCell ref="LNA3:LNF3"/>
    <mergeCell ref="LNG3:LNL3"/>
    <mergeCell ref="LNM3:LNR3"/>
    <mergeCell ref="LKY3:LLD3"/>
    <mergeCell ref="LLE3:LLJ3"/>
    <mergeCell ref="LLK3:LLP3"/>
    <mergeCell ref="LLQ3:LLV3"/>
    <mergeCell ref="LLW3:LMB3"/>
    <mergeCell ref="LMC3:LMH3"/>
    <mergeCell ref="LRW3:LSB3"/>
    <mergeCell ref="LSC3:LSH3"/>
    <mergeCell ref="LSI3:LSN3"/>
    <mergeCell ref="LSO3:LST3"/>
    <mergeCell ref="LSU3:LSZ3"/>
    <mergeCell ref="LTA3:LTF3"/>
    <mergeCell ref="LQM3:LQR3"/>
    <mergeCell ref="LQS3:LQX3"/>
    <mergeCell ref="LQY3:LRD3"/>
    <mergeCell ref="LRE3:LRJ3"/>
    <mergeCell ref="LRK3:LRP3"/>
    <mergeCell ref="LRQ3:LRV3"/>
    <mergeCell ref="LPC3:LPH3"/>
    <mergeCell ref="LPI3:LPN3"/>
    <mergeCell ref="LPO3:LPT3"/>
    <mergeCell ref="LPU3:LPZ3"/>
    <mergeCell ref="LQA3:LQF3"/>
    <mergeCell ref="LQG3:LQL3"/>
    <mergeCell ref="LWA3:LWF3"/>
    <mergeCell ref="LWG3:LWL3"/>
    <mergeCell ref="LWM3:LWR3"/>
    <mergeCell ref="LWS3:LWX3"/>
    <mergeCell ref="LWY3:LXD3"/>
    <mergeCell ref="LXE3:LXJ3"/>
    <mergeCell ref="LUQ3:LUV3"/>
    <mergeCell ref="LUW3:LVB3"/>
    <mergeCell ref="LVC3:LVH3"/>
    <mergeCell ref="LVI3:LVN3"/>
    <mergeCell ref="LVO3:LVT3"/>
    <mergeCell ref="LVU3:LVZ3"/>
    <mergeCell ref="LTG3:LTL3"/>
    <mergeCell ref="LTM3:LTR3"/>
    <mergeCell ref="LTS3:LTX3"/>
    <mergeCell ref="LTY3:LUD3"/>
    <mergeCell ref="LUE3:LUJ3"/>
    <mergeCell ref="LUK3:LUP3"/>
    <mergeCell ref="MAE3:MAJ3"/>
    <mergeCell ref="MAK3:MAP3"/>
    <mergeCell ref="MAQ3:MAV3"/>
    <mergeCell ref="MAW3:MBB3"/>
    <mergeCell ref="MBC3:MBH3"/>
    <mergeCell ref="MBI3:MBN3"/>
    <mergeCell ref="LYU3:LYZ3"/>
    <mergeCell ref="LZA3:LZF3"/>
    <mergeCell ref="LZG3:LZL3"/>
    <mergeCell ref="LZM3:LZR3"/>
    <mergeCell ref="LZS3:LZX3"/>
    <mergeCell ref="LZY3:MAD3"/>
    <mergeCell ref="LXK3:LXP3"/>
    <mergeCell ref="LXQ3:LXV3"/>
    <mergeCell ref="LXW3:LYB3"/>
    <mergeCell ref="LYC3:LYH3"/>
    <mergeCell ref="LYI3:LYN3"/>
    <mergeCell ref="LYO3:LYT3"/>
    <mergeCell ref="MEI3:MEN3"/>
    <mergeCell ref="MEO3:MET3"/>
    <mergeCell ref="MEU3:MEZ3"/>
    <mergeCell ref="MFA3:MFF3"/>
    <mergeCell ref="MFG3:MFL3"/>
    <mergeCell ref="MFM3:MFR3"/>
    <mergeCell ref="MCY3:MDD3"/>
    <mergeCell ref="MDE3:MDJ3"/>
    <mergeCell ref="MDK3:MDP3"/>
    <mergeCell ref="MDQ3:MDV3"/>
    <mergeCell ref="MDW3:MEB3"/>
    <mergeCell ref="MEC3:MEH3"/>
    <mergeCell ref="MBO3:MBT3"/>
    <mergeCell ref="MBU3:MBZ3"/>
    <mergeCell ref="MCA3:MCF3"/>
    <mergeCell ref="MCG3:MCL3"/>
    <mergeCell ref="MCM3:MCR3"/>
    <mergeCell ref="MCS3:MCX3"/>
    <mergeCell ref="MIM3:MIR3"/>
    <mergeCell ref="MIS3:MIX3"/>
    <mergeCell ref="MIY3:MJD3"/>
    <mergeCell ref="MJE3:MJJ3"/>
    <mergeCell ref="MJK3:MJP3"/>
    <mergeCell ref="MJQ3:MJV3"/>
    <mergeCell ref="MHC3:MHH3"/>
    <mergeCell ref="MHI3:MHN3"/>
    <mergeCell ref="MHO3:MHT3"/>
    <mergeCell ref="MHU3:MHZ3"/>
    <mergeCell ref="MIA3:MIF3"/>
    <mergeCell ref="MIG3:MIL3"/>
    <mergeCell ref="MFS3:MFX3"/>
    <mergeCell ref="MFY3:MGD3"/>
    <mergeCell ref="MGE3:MGJ3"/>
    <mergeCell ref="MGK3:MGP3"/>
    <mergeCell ref="MGQ3:MGV3"/>
    <mergeCell ref="MGW3:MHB3"/>
    <mergeCell ref="MMQ3:MMV3"/>
    <mergeCell ref="MMW3:MNB3"/>
    <mergeCell ref="MNC3:MNH3"/>
    <mergeCell ref="MNI3:MNN3"/>
    <mergeCell ref="MNO3:MNT3"/>
    <mergeCell ref="MNU3:MNZ3"/>
    <mergeCell ref="MLG3:MLL3"/>
    <mergeCell ref="MLM3:MLR3"/>
    <mergeCell ref="MLS3:MLX3"/>
    <mergeCell ref="MLY3:MMD3"/>
    <mergeCell ref="MME3:MMJ3"/>
    <mergeCell ref="MMK3:MMP3"/>
    <mergeCell ref="MJW3:MKB3"/>
    <mergeCell ref="MKC3:MKH3"/>
    <mergeCell ref="MKI3:MKN3"/>
    <mergeCell ref="MKO3:MKT3"/>
    <mergeCell ref="MKU3:MKZ3"/>
    <mergeCell ref="MLA3:MLF3"/>
    <mergeCell ref="MQU3:MQZ3"/>
    <mergeCell ref="MRA3:MRF3"/>
    <mergeCell ref="MRG3:MRL3"/>
    <mergeCell ref="MRM3:MRR3"/>
    <mergeCell ref="MRS3:MRX3"/>
    <mergeCell ref="MRY3:MSD3"/>
    <mergeCell ref="MPK3:MPP3"/>
    <mergeCell ref="MPQ3:MPV3"/>
    <mergeCell ref="MPW3:MQB3"/>
    <mergeCell ref="MQC3:MQH3"/>
    <mergeCell ref="MQI3:MQN3"/>
    <mergeCell ref="MQO3:MQT3"/>
    <mergeCell ref="MOA3:MOF3"/>
    <mergeCell ref="MOG3:MOL3"/>
    <mergeCell ref="MOM3:MOR3"/>
    <mergeCell ref="MOS3:MOX3"/>
    <mergeCell ref="MOY3:MPD3"/>
    <mergeCell ref="MPE3:MPJ3"/>
    <mergeCell ref="MUY3:MVD3"/>
    <mergeCell ref="MVE3:MVJ3"/>
    <mergeCell ref="MVK3:MVP3"/>
    <mergeCell ref="MVQ3:MVV3"/>
    <mergeCell ref="MVW3:MWB3"/>
    <mergeCell ref="MWC3:MWH3"/>
    <mergeCell ref="MTO3:MTT3"/>
    <mergeCell ref="MTU3:MTZ3"/>
    <mergeCell ref="MUA3:MUF3"/>
    <mergeCell ref="MUG3:MUL3"/>
    <mergeCell ref="MUM3:MUR3"/>
    <mergeCell ref="MUS3:MUX3"/>
    <mergeCell ref="MSE3:MSJ3"/>
    <mergeCell ref="MSK3:MSP3"/>
    <mergeCell ref="MSQ3:MSV3"/>
    <mergeCell ref="MSW3:MTB3"/>
    <mergeCell ref="MTC3:MTH3"/>
    <mergeCell ref="MTI3:MTN3"/>
    <mergeCell ref="MZC3:MZH3"/>
    <mergeCell ref="MZI3:MZN3"/>
    <mergeCell ref="MZO3:MZT3"/>
    <mergeCell ref="MZU3:MZZ3"/>
    <mergeCell ref="NAA3:NAF3"/>
    <mergeCell ref="NAG3:NAL3"/>
    <mergeCell ref="MXS3:MXX3"/>
    <mergeCell ref="MXY3:MYD3"/>
    <mergeCell ref="MYE3:MYJ3"/>
    <mergeCell ref="MYK3:MYP3"/>
    <mergeCell ref="MYQ3:MYV3"/>
    <mergeCell ref="MYW3:MZB3"/>
    <mergeCell ref="MWI3:MWN3"/>
    <mergeCell ref="MWO3:MWT3"/>
    <mergeCell ref="MWU3:MWZ3"/>
    <mergeCell ref="MXA3:MXF3"/>
    <mergeCell ref="MXG3:MXL3"/>
    <mergeCell ref="MXM3:MXR3"/>
    <mergeCell ref="NDG3:NDL3"/>
    <mergeCell ref="NDM3:NDR3"/>
    <mergeCell ref="NDS3:NDX3"/>
    <mergeCell ref="NDY3:NED3"/>
    <mergeCell ref="NEE3:NEJ3"/>
    <mergeCell ref="NEK3:NEP3"/>
    <mergeCell ref="NBW3:NCB3"/>
    <mergeCell ref="NCC3:NCH3"/>
    <mergeCell ref="NCI3:NCN3"/>
    <mergeCell ref="NCO3:NCT3"/>
    <mergeCell ref="NCU3:NCZ3"/>
    <mergeCell ref="NDA3:NDF3"/>
    <mergeCell ref="NAM3:NAR3"/>
    <mergeCell ref="NAS3:NAX3"/>
    <mergeCell ref="NAY3:NBD3"/>
    <mergeCell ref="NBE3:NBJ3"/>
    <mergeCell ref="NBK3:NBP3"/>
    <mergeCell ref="NBQ3:NBV3"/>
    <mergeCell ref="NHK3:NHP3"/>
    <mergeCell ref="NHQ3:NHV3"/>
    <mergeCell ref="NHW3:NIB3"/>
    <mergeCell ref="NIC3:NIH3"/>
    <mergeCell ref="NII3:NIN3"/>
    <mergeCell ref="NIO3:NIT3"/>
    <mergeCell ref="NGA3:NGF3"/>
    <mergeCell ref="NGG3:NGL3"/>
    <mergeCell ref="NGM3:NGR3"/>
    <mergeCell ref="NGS3:NGX3"/>
    <mergeCell ref="NGY3:NHD3"/>
    <mergeCell ref="NHE3:NHJ3"/>
    <mergeCell ref="NEQ3:NEV3"/>
    <mergeCell ref="NEW3:NFB3"/>
    <mergeCell ref="NFC3:NFH3"/>
    <mergeCell ref="NFI3:NFN3"/>
    <mergeCell ref="NFO3:NFT3"/>
    <mergeCell ref="NFU3:NFZ3"/>
    <mergeCell ref="NLO3:NLT3"/>
    <mergeCell ref="NLU3:NLZ3"/>
    <mergeCell ref="NMA3:NMF3"/>
    <mergeCell ref="NMG3:NML3"/>
    <mergeCell ref="NMM3:NMR3"/>
    <mergeCell ref="NMS3:NMX3"/>
    <mergeCell ref="NKE3:NKJ3"/>
    <mergeCell ref="NKK3:NKP3"/>
    <mergeCell ref="NKQ3:NKV3"/>
    <mergeCell ref="NKW3:NLB3"/>
    <mergeCell ref="NLC3:NLH3"/>
    <mergeCell ref="NLI3:NLN3"/>
    <mergeCell ref="NIU3:NIZ3"/>
    <mergeCell ref="NJA3:NJF3"/>
    <mergeCell ref="NJG3:NJL3"/>
    <mergeCell ref="NJM3:NJR3"/>
    <mergeCell ref="NJS3:NJX3"/>
    <mergeCell ref="NJY3:NKD3"/>
    <mergeCell ref="NPS3:NPX3"/>
    <mergeCell ref="NPY3:NQD3"/>
    <mergeCell ref="NQE3:NQJ3"/>
    <mergeCell ref="NQK3:NQP3"/>
    <mergeCell ref="NQQ3:NQV3"/>
    <mergeCell ref="NQW3:NRB3"/>
    <mergeCell ref="NOI3:NON3"/>
    <mergeCell ref="NOO3:NOT3"/>
    <mergeCell ref="NOU3:NOZ3"/>
    <mergeCell ref="NPA3:NPF3"/>
    <mergeCell ref="NPG3:NPL3"/>
    <mergeCell ref="NPM3:NPR3"/>
    <mergeCell ref="NMY3:NND3"/>
    <mergeCell ref="NNE3:NNJ3"/>
    <mergeCell ref="NNK3:NNP3"/>
    <mergeCell ref="NNQ3:NNV3"/>
    <mergeCell ref="NNW3:NOB3"/>
    <mergeCell ref="NOC3:NOH3"/>
    <mergeCell ref="NTW3:NUB3"/>
    <mergeCell ref="NUC3:NUH3"/>
    <mergeCell ref="NUI3:NUN3"/>
    <mergeCell ref="NUO3:NUT3"/>
    <mergeCell ref="NUU3:NUZ3"/>
    <mergeCell ref="NVA3:NVF3"/>
    <mergeCell ref="NSM3:NSR3"/>
    <mergeCell ref="NSS3:NSX3"/>
    <mergeCell ref="NSY3:NTD3"/>
    <mergeCell ref="NTE3:NTJ3"/>
    <mergeCell ref="NTK3:NTP3"/>
    <mergeCell ref="NTQ3:NTV3"/>
    <mergeCell ref="NRC3:NRH3"/>
    <mergeCell ref="NRI3:NRN3"/>
    <mergeCell ref="NRO3:NRT3"/>
    <mergeCell ref="NRU3:NRZ3"/>
    <mergeCell ref="NSA3:NSF3"/>
    <mergeCell ref="NSG3:NSL3"/>
    <mergeCell ref="NYA3:NYF3"/>
    <mergeCell ref="NYG3:NYL3"/>
    <mergeCell ref="NYM3:NYR3"/>
    <mergeCell ref="NYS3:NYX3"/>
    <mergeCell ref="NYY3:NZD3"/>
    <mergeCell ref="NZE3:NZJ3"/>
    <mergeCell ref="NWQ3:NWV3"/>
    <mergeCell ref="NWW3:NXB3"/>
    <mergeCell ref="NXC3:NXH3"/>
    <mergeCell ref="NXI3:NXN3"/>
    <mergeCell ref="NXO3:NXT3"/>
    <mergeCell ref="NXU3:NXZ3"/>
    <mergeCell ref="NVG3:NVL3"/>
    <mergeCell ref="NVM3:NVR3"/>
    <mergeCell ref="NVS3:NVX3"/>
    <mergeCell ref="NVY3:NWD3"/>
    <mergeCell ref="NWE3:NWJ3"/>
    <mergeCell ref="NWK3:NWP3"/>
    <mergeCell ref="OCE3:OCJ3"/>
    <mergeCell ref="OCK3:OCP3"/>
    <mergeCell ref="OCQ3:OCV3"/>
    <mergeCell ref="OCW3:ODB3"/>
    <mergeCell ref="ODC3:ODH3"/>
    <mergeCell ref="ODI3:ODN3"/>
    <mergeCell ref="OAU3:OAZ3"/>
    <mergeCell ref="OBA3:OBF3"/>
    <mergeCell ref="OBG3:OBL3"/>
    <mergeCell ref="OBM3:OBR3"/>
    <mergeCell ref="OBS3:OBX3"/>
    <mergeCell ref="OBY3:OCD3"/>
    <mergeCell ref="NZK3:NZP3"/>
    <mergeCell ref="NZQ3:NZV3"/>
    <mergeCell ref="NZW3:OAB3"/>
    <mergeCell ref="OAC3:OAH3"/>
    <mergeCell ref="OAI3:OAN3"/>
    <mergeCell ref="OAO3:OAT3"/>
    <mergeCell ref="OGI3:OGN3"/>
    <mergeCell ref="OGO3:OGT3"/>
    <mergeCell ref="OGU3:OGZ3"/>
    <mergeCell ref="OHA3:OHF3"/>
    <mergeCell ref="OHG3:OHL3"/>
    <mergeCell ref="OHM3:OHR3"/>
    <mergeCell ref="OEY3:OFD3"/>
    <mergeCell ref="OFE3:OFJ3"/>
    <mergeCell ref="OFK3:OFP3"/>
    <mergeCell ref="OFQ3:OFV3"/>
    <mergeCell ref="OFW3:OGB3"/>
    <mergeCell ref="OGC3:OGH3"/>
    <mergeCell ref="ODO3:ODT3"/>
    <mergeCell ref="ODU3:ODZ3"/>
    <mergeCell ref="OEA3:OEF3"/>
    <mergeCell ref="OEG3:OEL3"/>
    <mergeCell ref="OEM3:OER3"/>
    <mergeCell ref="OES3:OEX3"/>
    <mergeCell ref="OKM3:OKR3"/>
    <mergeCell ref="OKS3:OKX3"/>
    <mergeCell ref="OKY3:OLD3"/>
    <mergeCell ref="OLE3:OLJ3"/>
    <mergeCell ref="OLK3:OLP3"/>
    <mergeCell ref="OLQ3:OLV3"/>
    <mergeCell ref="OJC3:OJH3"/>
    <mergeCell ref="OJI3:OJN3"/>
    <mergeCell ref="OJO3:OJT3"/>
    <mergeCell ref="OJU3:OJZ3"/>
    <mergeCell ref="OKA3:OKF3"/>
    <mergeCell ref="OKG3:OKL3"/>
    <mergeCell ref="OHS3:OHX3"/>
    <mergeCell ref="OHY3:OID3"/>
    <mergeCell ref="OIE3:OIJ3"/>
    <mergeCell ref="OIK3:OIP3"/>
    <mergeCell ref="OIQ3:OIV3"/>
    <mergeCell ref="OIW3:OJB3"/>
    <mergeCell ref="OOQ3:OOV3"/>
    <mergeCell ref="OOW3:OPB3"/>
    <mergeCell ref="OPC3:OPH3"/>
    <mergeCell ref="OPI3:OPN3"/>
    <mergeCell ref="OPO3:OPT3"/>
    <mergeCell ref="OPU3:OPZ3"/>
    <mergeCell ref="ONG3:ONL3"/>
    <mergeCell ref="ONM3:ONR3"/>
    <mergeCell ref="ONS3:ONX3"/>
    <mergeCell ref="ONY3:OOD3"/>
    <mergeCell ref="OOE3:OOJ3"/>
    <mergeCell ref="OOK3:OOP3"/>
    <mergeCell ref="OLW3:OMB3"/>
    <mergeCell ref="OMC3:OMH3"/>
    <mergeCell ref="OMI3:OMN3"/>
    <mergeCell ref="OMO3:OMT3"/>
    <mergeCell ref="OMU3:OMZ3"/>
    <mergeCell ref="ONA3:ONF3"/>
    <mergeCell ref="OSU3:OSZ3"/>
    <mergeCell ref="OTA3:OTF3"/>
    <mergeCell ref="OTG3:OTL3"/>
    <mergeCell ref="OTM3:OTR3"/>
    <mergeCell ref="OTS3:OTX3"/>
    <mergeCell ref="OTY3:OUD3"/>
    <mergeCell ref="ORK3:ORP3"/>
    <mergeCell ref="ORQ3:ORV3"/>
    <mergeCell ref="ORW3:OSB3"/>
    <mergeCell ref="OSC3:OSH3"/>
    <mergeCell ref="OSI3:OSN3"/>
    <mergeCell ref="OSO3:OST3"/>
    <mergeCell ref="OQA3:OQF3"/>
    <mergeCell ref="OQG3:OQL3"/>
    <mergeCell ref="OQM3:OQR3"/>
    <mergeCell ref="OQS3:OQX3"/>
    <mergeCell ref="OQY3:ORD3"/>
    <mergeCell ref="ORE3:ORJ3"/>
    <mergeCell ref="OWY3:OXD3"/>
    <mergeCell ref="OXE3:OXJ3"/>
    <mergeCell ref="OXK3:OXP3"/>
    <mergeCell ref="OXQ3:OXV3"/>
    <mergeCell ref="OXW3:OYB3"/>
    <mergeCell ref="OYC3:OYH3"/>
    <mergeCell ref="OVO3:OVT3"/>
    <mergeCell ref="OVU3:OVZ3"/>
    <mergeCell ref="OWA3:OWF3"/>
    <mergeCell ref="OWG3:OWL3"/>
    <mergeCell ref="OWM3:OWR3"/>
    <mergeCell ref="OWS3:OWX3"/>
    <mergeCell ref="OUE3:OUJ3"/>
    <mergeCell ref="OUK3:OUP3"/>
    <mergeCell ref="OUQ3:OUV3"/>
    <mergeCell ref="OUW3:OVB3"/>
    <mergeCell ref="OVC3:OVH3"/>
    <mergeCell ref="OVI3:OVN3"/>
    <mergeCell ref="PBC3:PBH3"/>
    <mergeCell ref="PBI3:PBN3"/>
    <mergeCell ref="PBO3:PBT3"/>
    <mergeCell ref="PBU3:PBZ3"/>
    <mergeCell ref="PCA3:PCF3"/>
    <mergeCell ref="PCG3:PCL3"/>
    <mergeCell ref="OZS3:OZX3"/>
    <mergeCell ref="OZY3:PAD3"/>
    <mergeCell ref="PAE3:PAJ3"/>
    <mergeCell ref="PAK3:PAP3"/>
    <mergeCell ref="PAQ3:PAV3"/>
    <mergeCell ref="PAW3:PBB3"/>
    <mergeCell ref="OYI3:OYN3"/>
    <mergeCell ref="OYO3:OYT3"/>
    <mergeCell ref="OYU3:OYZ3"/>
    <mergeCell ref="OZA3:OZF3"/>
    <mergeCell ref="OZG3:OZL3"/>
    <mergeCell ref="OZM3:OZR3"/>
    <mergeCell ref="PFG3:PFL3"/>
    <mergeCell ref="PFM3:PFR3"/>
    <mergeCell ref="PFS3:PFX3"/>
    <mergeCell ref="PFY3:PGD3"/>
    <mergeCell ref="PGE3:PGJ3"/>
    <mergeCell ref="PGK3:PGP3"/>
    <mergeCell ref="PDW3:PEB3"/>
    <mergeCell ref="PEC3:PEH3"/>
    <mergeCell ref="PEI3:PEN3"/>
    <mergeCell ref="PEO3:PET3"/>
    <mergeCell ref="PEU3:PEZ3"/>
    <mergeCell ref="PFA3:PFF3"/>
    <mergeCell ref="PCM3:PCR3"/>
    <mergeCell ref="PCS3:PCX3"/>
    <mergeCell ref="PCY3:PDD3"/>
    <mergeCell ref="PDE3:PDJ3"/>
    <mergeCell ref="PDK3:PDP3"/>
    <mergeCell ref="PDQ3:PDV3"/>
    <mergeCell ref="PJK3:PJP3"/>
    <mergeCell ref="PJQ3:PJV3"/>
    <mergeCell ref="PJW3:PKB3"/>
    <mergeCell ref="PKC3:PKH3"/>
    <mergeCell ref="PKI3:PKN3"/>
    <mergeCell ref="PKO3:PKT3"/>
    <mergeCell ref="PIA3:PIF3"/>
    <mergeCell ref="PIG3:PIL3"/>
    <mergeCell ref="PIM3:PIR3"/>
    <mergeCell ref="PIS3:PIX3"/>
    <mergeCell ref="PIY3:PJD3"/>
    <mergeCell ref="PJE3:PJJ3"/>
    <mergeCell ref="PGQ3:PGV3"/>
    <mergeCell ref="PGW3:PHB3"/>
    <mergeCell ref="PHC3:PHH3"/>
    <mergeCell ref="PHI3:PHN3"/>
    <mergeCell ref="PHO3:PHT3"/>
    <mergeCell ref="PHU3:PHZ3"/>
    <mergeCell ref="PNO3:PNT3"/>
    <mergeCell ref="PNU3:PNZ3"/>
    <mergeCell ref="POA3:POF3"/>
    <mergeCell ref="POG3:POL3"/>
    <mergeCell ref="POM3:POR3"/>
    <mergeCell ref="POS3:POX3"/>
    <mergeCell ref="PME3:PMJ3"/>
    <mergeCell ref="PMK3:PMP3"/>
    <mergeCell ref="PMQ3:PMV3"/>
    <mergeCell ref="PMW3:PNB3"/>
    <mergeCell ref="PNC3:PNH3"/>
    <mergeCell ref="PNI3:PNN3"/>
    <mergeCell ref="PKU3:PKZ3"/>
    <mergeCell ref="PLA3:PLF3"/>
    <mergeCell ref="PLG3:PLL3"/>
    <mergeCell ref="PLM3:PLR3"/>
    <mergeCell ref="PLS3:PLX3"/>
    <mergeCell ref="PLY3:PMD3"/>
    <mergeCell ref="PRS3:PRX3"/>
    <mergeCell ref="PRY3:PSD3"/>
    <mergeCell ref="PSE3:PSJ3"/>
    <mergeCell ref="PSK3:PSP3"/>
    <mergeCell ref="PSQ3:PSV3"/>
    <mergeCell ref="PSW3:PTB3"/>
    <mergeCell ref="PQI3:PQN3"/>
    <mergeCell ref="PQO3:PQT3"/>
    <mergeCell ref="PQU3:PQZ3"/>
    <mergeCell ref="PRA3:PRF3"/>
    <mergeCell ref="PRG3:PRL3"/>
    <mergeCell ref="PRM3:PRR3"/>
    <mergeCell ref="POY3:PPD3"/>
    <mergeCell ref="PPE3:PPJ3"/>
    <mergeCell ref="PPK3:PPP3"/>
    <mergeCell ref="PPQ3:PPV3"/>
    <mergeCell ref="PPW3:PQB3"/>
    <mergeCell ref="PQC3:PQH3"/>
    <mergeCell ref="PVW3:PWB3"/>
    <mergeCell ref="PWC3:PWH3"/>
    <mergeCell ref="PWI3:PWN3"/>
    <mergeCell ref="PWO3:PWT3"/>
    <mergeCell ref="PWU3:PWZ3"/>
    <mergeCell ref="PXA3:PXF3"/>
    <mergeCell ref="PUM3:PUR3"/>
    <mergeCell ref="PUS3:PUX3"/>
    <mergeCell ref="PUY3:PVD3"/>
    <mergeCell ref="PVE3:PVJ3"/>
    <mergeCell ref="PVK3:PVP3"/>
    <mergeCell ref="PVQ3:PVV3"/>
    <mergeCell ref="PTC3:PTH3"/>
    <mergeCell ref="PTI3:PTN3"/>
    <mergeCell ref="PTO3:PTT3"/>
    <mergeCell ref="PTU3:PTZ3"/>
    <mergeCell ref="PUA3:PUF3"/>
    <mergeCell ref="PUG3:PUL3"/>
    <mergeCell ref="QAA3:QAF3"/>
    <mergeCell ref="QAG3:QAL3"/>
    <mergeCell ref="QAM3:QAR3"/>
    <mergeCell ref="QAS3:QAX3"/>
    <mergeCell ref="QAY3:QBD3"/>
    <mergeCell ref="QBE3:QBJ3"/>
    <mergeCell ref="PYQ3:PYV3"/>
    <mergeCell ref="PYW3:PZB3"/>
    <mergeCell ref="PZC3:PZH3"/>
    <mergeCell ref="PZI3:PZN3"/>
    <mergeCell ref="PZO3:PZT3"/>
    <mergeCell ref="PZU3:PZZ3"/>
    <mergeCell ref="PXG3:PXL3"/>
    <mergeCell ref="PXM3:PXR3"/>
    <mergeCell ref="PXS3:PXX3"/>
    <mergeCell ref="PXY3:PYD3"/>
    <mergeCell ref="PYE3:PYJ3"/>
    <mergeCell ref="PYK3:PYP3"/>
    <mergeCell ref="QEE3:QEJ3"/>
    <mergeCell ref="QEK3:QEP3"/>
    <mergeCell ref="QEQ3:QEV3"/>
    <mergeCell ref="QEW3:QFB3"/>
    <mergeCell ref="QFC3:QFH3"/>
    <mergeCell ref="QFI3:QFN3"/>
    <mergeCell ref="QCU3:QCZ3"/>
    <mergeCell ref="QDA3:QDF3"/>
    <mergeCell ref="QDG3:QDL3"/>
    <mergeCell ref="QDM3:QDR3"/>
    <mergeCell ref="QDS3:QDX3"/>
    <mergeCell ref="QDY3:QED3"/>
    <mergeCell ref="QBK3:QBP3"/>
    <mergeCell ref="QBQ3:QBV3"/>
    <mergeCell ref="QBW3:QCB3"/>
    <mergeCell ref="QCC3:QCH3"/>
    <mergeCell ref="QCI3:QCN3"/>
    <mergeCell ref="QCO3:QCT3"/>
    <mergeCell ref="QII3:QIN3"/>
    <mergeCell ref="QIO3:QIT3"/>
    <mergeCell ref="QIU3:QIZ3"/>
    <mergeCell ref="QJA3:QJF3"/>
    <mergeCell ref="QJG3:QJL3"/>
    <mergeCell ref="QJM3:QJR3"/>
    <mergeCell ref="QGY3:QHD3"/>
    <mergeCell ref="QHE3:QHJ3"/>
    <mergeCell ref="QHK3:QHP3"/>
    <mergeCell ref="QHQ3:QHV3"/>
    <mergeCell ref="QHW3:QIB3"/>
    <mergeCell ref="QIC3:QIH3"/>
    <mergeCell ref="QFO3:QFT3"/>
    <mergeCell ref="QFU3:QFZ3"/>
    <mergeCell ref="QGA3:QGF3"/>
    <mergeCell ref="QGG3:QGL3"/>
    <mergeCell ref="QGM3:QGR3"/>
    <mergeCell ref="QGS3:QGX3"/>
    <mergeCell ref="QMM3:QMR3"/>
    <mergeCell ref="QMS3:QMX3"/>
    <mergeCell ref="QMY3:QND3"/>
    <mergeCell ref="QNE3:QNJ3"/>
    <mergeCell ref="QNK3:QNP3"/>
    <mergeCell ref="QNQ3:QNV3"/>
    <mergeCell ref="QLC3:QLH3"/>
    <mergeCell ref="QLI3:QLN3"/>
    <mergeCell ref="QLO3:QLT3"/>
    <mergeCell ref="QLU3:QLZ3"/>
    <mergeCell ref="QMA3:QMF3"/>
    <mergeCell ref="QMG3:QML3"/>
    <mergeCell ref="QJS3:QJX3"/>
    <mergeCell ref="QJY3:QKD3"/>
    <mergeCell ref="QKE3:QKJ3"/>
    <mergeCell ref="QKK3:QKP3"/>
    <mergeCell ref="QKQ3:QKV3"/>
    <mergeCell ref="QKW3:QLB3"/>
    <mergeCell ref="QQQ3:QQV3"/>
    <mergeCell ref="QQW3:QRB3"/>
    <mergeCell ref="QRC3:QRH3"/>
    <mergeCell ref="QRI3:QRN3"/>
    <mergeCell ref="QRO3:QRT3"/>
    <mergeCell ref="QRU3:QRZ3"/>
    <mergeCell ref="QPG3:QPL3"/>
    <mergeCell ref="QPM3:QPR3"/>
    <mergeCell ref="QPS3:QPX3"/>
    <mergeCell ref="QPY3:QQD3"/>
    <mergeCell ref="QQE3:QQJ3"/>
    <mergeCell ref="QQK3:QQP3"/>
    <mergeCell ref="QNW3:QOB3"/>
    <mergeCell ref="QOC3:QOH3"/>
    <mergeCell ref="QOI3:QON3"/>
    <mergeCell ref="QOO3:QOT3"/>
    <mergeCell ref="QOU3:QOZ3"/>
    <mergeCell ref="QPA3:QPF3"/>
    <mergeCell ref="QUU3:QUZ3"/>
    <mergeCell ref="QVA3:QVF3"/>
    <mergeCell ref="QVG3:QVL3"/>
    <mergeCell ref="QVM3:QVR3"/>
    <mergeCell ref="QVS3:QVX3"/>
    <mergeCell ref="QVY3:QWD3"/>
    <mergeCell ref="QTK3:QTP3"/>
    <mergeCell ref="QTQ3:QTV3"/>
    <mergeCell ref="QTW3:QUB3"/>
    <mergeCell ref="QUC3:QUH3"/>
    <mergeCell ref="QUI3:QUN3"/>
    <mergeCell ref="QUO3:QUT3"/>
    <mergeCell ref="QSA3:QSF3"/>
    <mergeCell ref="QSG3:QSL3"/>
    <mergeCell ref="QSM3:QSR3"/>
    <mergeCell ref="QSS3:QSX3"/>
    <mergeCell ref="QSY3:QTD3"/>
    <mergeCell ref="QTE3:QTJ3"/>
    <mergeCell ref="QYY3:QZD3"/>
    <mergeCell ref="QZE3:QZJ3"/>
    <mergeCell ref="QZK3:QZP3"/>
    <mergeCell ref="QZQ3:QZV3"/>
    <mergeCell ref="QZW3:RAB3"/>
    <mergeCell ref="RAC3:RAH3"/>
    <mergeCell ref="QXO3:QXT3"/>
    <mergeCell ref="QXU3:QXZ3"/>
    <mergeCell ref="QYA3:QYF3"/>
    <mergeCell ref="QYG3:QYL3"/>
    <mergeCell ref="QYM3:QYR3"/>
    <mergeCell ref="QYS3:QYX3"/>
    <mergeCell ref="QWE3:QWJ3"/>
    <mergeCell ref="QWK3:QWP3"/>
    <mergeCell ref="QWQ3:QWV3"/>
    <mergeCell ref="QWW3:QXB3"/>
    <mergeCell ref="QXC3:QXH3"/>
    <mergeCell ref="QXI3:QXN3"/>
    <mergeCell ref="RDC3:RDH3"/>
    <mergeCell ref="RDI3:RDN3"/>
    <mergeCell ref="RDO3:RDT3"/>
    <mergeCell ref="RDU3:RDZ3"/>
    <mergeCell ref="REA3:REF3"/>
    <mergeCell ref="REG3:REL3"/>
    <mergeCell ref="RBS3:RBX3"/>
    <mergeCell ref="RBY3:RCD3"/>
    <mergeCell ref="RCE3:RCJ3"/>
    <mergeCell ref="RCK3:RCP3"/>
    <mergeCell ref="RCQ3:RCV3"/>
    <mergeCell ref="RCW3:RDB3"/>
    <mergeCell ref="RAI3:RAN3"/>
    <mergeCell ref="RAO3:RAT3"/>
    <mergeCell ref="RAU3:RAZ3"/>
    <mergeCell ref="RBA3:RBF3"/>
    <mergeCell ref="RBG3:RBL3"/>
    <mergeCell ref="RBM3:RBR3"/>
    <mergeCell ref="RHG3:RHL3"/>
    <mergeCell ref="RHM3:RHR3"/>
    <mergeCell ref="RHS3:RHX3"/>
    <mergeCell ref="RHY3:RID3"/>
    <mergeCell ref="RIE3:RIJ3"/>
    <mergeCell ref="RIK3:RIP3"/>
    <mergeCell ref="RFW3:RGB3"/>
    <mergeCell ref="RGC3:RGH3"/>
    <mergeCell ref="RGI3:RGN3"/>
    <mergeCell ref="RGO3:RGT3"/>
    <mergeCell ref="RGU3:RGZ3"/>
    <mergeCell ref="RHA3:RHF3"/>
    <mergeCell ref="REM3:RER3"/>
    <mergeCell ref="RES3:REX3"/>
    <mergeCell ref="REY3:RFD3"/>
    <mergeCell ref="RFE3:RFJ3"/>
    <mergeCell ref="RFK3:RFP3"/>
    <mergeCell ref="RFQ3:RFV3"/>
    <mergeCell ref="RLK3:RLP3"/>
    <mergeCell ref="RLQ3:RLV3"/>
    <mergeCell ref="RLW3:RMB3"/>
    <mergeCell ref="RMC3:RMH3"/>
    <mergeCell ref="RMI3:RMN3"/>
    <mergeCell ref="RMO3:RMT3"/>
    <mergeCell ref="RKA3:RKF3"/>
    <mergeCell ref="RKG3:RKL3"/>
    <mergeCell ref="RKM3:RKR3"/>
    <mergeCell ref="RKS3:RKX3"/>
    <mergeCell ref="RKY3:RLD3"/>
    <mergeCell ref="RLE3:RLJ3"/>
    <mergeCell ref="RIQ3:RIV3"/>
    <mergeCell ref="RIW3:RJB3"/>
    <mergeCell ref="RJC3:RJH3"/>
    <mergeCell ref="RJI3:RJN3"/>
    <mergeCell ref="RJO3:RJT3"/>
    <mergeCell ref="RJU3:RJZ3"/>
    <mergeCell ref="RPO3:RPT3"/>
    <mergeCell ref="RPU3:RPZ3"/>
    <mergeCell ref="RQA3:RQF3"/>
    <mergeCell ref="RQG3:RQL3"/>
    <mergeCell ref="RQM3:RQR3"/>
    <mergeCell ref="RQS3:RQX3"/>
    <mergeCell ref="ROE3:ROJ3"/>
    <mergeCell ref="ROK3:ROP3"/>
    <mergeCell ref="ROQ3:ROV3"/>
    <mergeCell ref="ROW3:RPB3"/>
    <mergeCell ref="RPC3:RPH3"/>
    <mergeCell ref="RPI3:RPN3"/>
    <mergeCell ref="RMU3:RMZ3"/>
    <mergeCell ref="RNA3:RNF3"/>
    <mergeCell ref="RNG3:RNL3"/>
    <mergeCell ref="RNM3:RNR3"/>
    <mergeCell ref="RNS3:RNX3"/>
    <mergeCell ref="RNY3:ROD3"/>
    <mergeCell ref="RTS3:RTX3"/>
    <mergeCell ref="RTY3:RUD3"/>
    <mergeCell ref="RUE3:RUJ3"/>
    <mergeCell ref="RUK3:RUP3"/>
    <mergeCell ref="RUQ3:RUV3"/>
    <mergeCell ref="RUW3:RVB3"/>
    <mergeCell ref="RSI3:RSN3"/>
    <mergeCell ref="RSO3:RST3"/>
    <mergeCell ref="RSU3:RSZ3"/>
    <mergeCell ref="RTA3:RTF3"/>
    <mergeCell ref="RTG3:RTL3"/>
    <mergeCell ref="RTM3:RTR3"/>
    <mergeCell ref="RQY3:RRD3"/>
    <mergeCell ref="RRE3:RRJ3"/>
    <mergeCell ref="RRK3:RRP3"/>
    <mergeCell ref="RRQ3:RRV3"/>
    <mergeCell ref="RRW3:RSB3"/>
    <mergeCell ref="RSC3:RSH3"/>
    <mergeCell ref="RXW3:RYB3"/>
    <mergeCell ref="RYC3:RYH3"/>
    <mergeCell ref="RYI3:RYN3"/>
    <mergeCell ref="RYO3:RYT3"/>
    <mergeCell ref="RYU3:RYZ3"/>
    <mergeCell ref="RZA3:RZF3"/>
    <mergeCell ref="RWM3:RWR3"/>
    <mergeCell ref="RWS3:RWX3"/>
    <mergeCell ref="RWY3:RXD3"/>
    <mergeCell ref="RXE3:RXJ3"/>
    <mergeCell ref="RXK3:RXP3"/>
    <mergeCell ref="RXQ3:RXV3"/>
    <mergeCell ref="RVC3:RVH3"/>
    <mergeCell ref="RVI3:RVN3"/>
    <mergeCell ref="RVO3:RVT3"/>
    <mergeCell ref="RVU3:RVZ3"/>
    <mergeCell ref="RWA3:RWF3"/>
    <mergeCell ref="RWG3:RWL3"/>
    <mergeCell ref="SCA3:SCF3"/>
    <mergeCell ref="SCG3:SCL3"/>
    <mergeCell ref="SCM3:SCR3"/>
    <mergeCell ref="SCS3:SCX3"/>
    <mergeCell ref="SCY3:SDD3"/>
    <mergeCell ref="SDE3:SDJ3"/>
    <mergeCell ref="SAQ3:SAV3"/>
    <mergeCell ref="SAW3:SBB3"/>
    <mergeCell ref="SBC3:SBH3"/>
    <mergeCell ref="SBI3:SBN3"/>
    <mergeCell ref="SBO3:SBT3"/>
    <mergeCell ref="SBU3:SBZ3"/>
    <mergeCell ref="RZG3:RZL3"/>
    <mergeCell ref="RZM3:RZR3"/>
    <mergeCell ref="RZS3:RZX3"/>
    <mergeCell ref="RZY3:SAD3"/>
    <mergeCell ref="SAE3:SAJ3"/>
    <mergeCell ref="SAK3:SAP3"/>
    <mergeCell ref="SGE3:SGJ3"/>
    <mergeCell ref="SGK3:SGP3"/>
    <mergeCell ref="SGQ3:SGV3"/>
    <mergeCell ref="SGW3:SHB3"/>
    <mergeCell ref="SHC3:SHH3"/>
    <mergeCell ref="SHI3:SHN3"/>
    <mergeCell ref="SEU3:SEZ3"/>
    <mergeCell ref="SFA3:SFF3"/>
    <mergeCell ref="SFG3:SFL3"/>
    <mergeCell ref="SFM3:SFR3"/>
    <mergeCell ref="SFS3:SFX3"/>
    <mergeCell ref="SFY3:SGD3"/>
    <mergeCell ref="SDK3:SDP3"/>
    <mergeCell ref="SDQ3:SDV3"/>
    <mergeCell ref="SDW3:SEB3"/>
    <mergeCell ref="SEC3:SEH3"/>
    <mergeCell ref="SEI3:SEN3"/>
    <mergeCell ref="SEO3:SET3"/>
    <mergeCell ref="SKI3:SKN3"/>
    <mergeCell ref="SKO3:SKT3"/>
    <mergeCell ref="SKU3:SKZ3"/>
    <mergeCell ref="SLA3:SLF3"/>
    <mergeCell ref="SLG3:SLL3"/>
    <mergeCell ref="SLM3:SLR3"/>
    <mergeCell ref="SIY3:SJD3"/>
    <mergeCell ref="SJE3:SJJ3"/>
    <mergeCell ref="SJK3:SJP3"/>
    <mergeCell ref="SJQ3:SJV3"/>
    <mergeCell ref="SJW3:SKB3"/>
    <mergeCell ref="SKC3:SKH3"/>
    <mergeCell ref="SHO3:SHT3"/>
    <mergeCell ref="SHU3:SHZ3"/>
    <mergeCell ref="SIA3:SIF3"/>
    <mergeCell ref="SIG3:SIL3"/>
    <mergeCell ref="SIM3:SIR3"/>
    <mergeCell ref="SIS3:SIX3"/>
    <mergeCell ref="SOM3:SOR3"/>
    <mergeCell ref="SOS3:SOX3"/>
    <mergeCell ref="SOY3:SPD3"/>
    <mergeCell ref="SPE3:SPJ3"/>
    <mergeCell ref="SPK3:SPP3"/>
    <mergeCell ref="SPQ3:SPV3"/>
    <mergeCell ref="SNC3:SNH3"/>
    <mergeCell ref="SNI3:SNN3"/>
    <mergeCell ref="SNO3:SNT3"/>
    <mergeCell ref="SNU3:SNZ3"/>
    <mergeCell ref="SOA3:SOF3"/>
    <mergeCell ref="SOG3:SOL3"/>
    <mergeCell ref="SLS3:SLX3"/>
    <mergeCell ref="SLY3:SMD3"/>
    <mergeCell ref="SME3:SMJ3"/>
    <mergeCell ref="SMK3:SMP3"/>
    <mergeCell ref="SMQ3:SMV3"/>
    <mergeCell ref="SMW3:SNB3"/>
    <mergeCell ref="SSQ3:SSV3"/>
    <mergeCell ref="SSW3:STB3"/>
    <mergeCell ref="STC3:STH3"/>
    <mergeCell ref="STI3:STN3"/>
    <mergeCell ref="STO3:STT3"/>
    <mergeCell ref="STU3:STZ3"/>
    <mergeCell ref="SRG3:SRL3"/>
    <mergeCell ref="SRM3:SRR3"/>
    <mergeCell ref="SRS3:SRX3"/>
    <mergeCell ref="SRY3:SSD3"/>
    <mergeCell ref="SSE3:SSJ3"/>
    <mergeCell ref="SSK3:SSP3"/>
    <mergeCell ref="SPW3:SQB3"/>
    <mergeCell ref="SQC3:SQH3"/>
    <mergeCell ref="SQI3:SQN3"/>
    <mergeCell ref="SQO3:SQT3"/>
    <mergeCell ref="SQU3:SQZ3"/>
    <mergeCell ref="SRA3:SRF3"/>
    <mergeCell ref="SWU3:SWZ3"/>
    <mergeCell ref="SXA3:SXF3"/>
    <mergeCell ref="SXG3:SXL3"/>
    <mergeCell ref="SXM3:SXR3"/>
    <mergeCell ref="SXS3:SXX3"/>
    <mergeCell ref="SXY3:SYD3"/>
    <mergeCell ref="SVK3:SVP3"/>
    <mergeCell ref="SVQ3:SVV3"/>
    <mergeCell ref="SVW3:SWB3"/>
    <mergeCell ref="SWC3:SWH3"/>
    <mergeCell ref="SWI3:SWN3"/>
    <mergeCell ref="SWO3:SWT3"/>
    <mergeCell ref="SUA3:SUF3"/>
    <mergeCell ref="SUG3:SUL3"/>
    <mergeCell ref="SUM3:SUR3"/>
    <mergeCell ref="SUS3:SUX3"/>
    <mergeCell ref="SUY3:SVD3"/>
    <mergeCell ref="SVE3:SVJ3"/>
    <mergeCell ref="TAY3:TBD3"/>
    <mergeCell ref="TBE3:TBJ3"/>
    <mergeCell ref="TBK3:TBP3"/>
    <mergeCell ref="TBQ3:TBV3"/>
    <mergeCell ref="TBW3:TCB3"/>
    <mergeCell ref="TCC3:TCH3"/>
    <mergeCell ref="SZO3:SZT3"/>
    <mergeCell ref="SZU3:SZZ3"/>
    <mergeCell ref="TAA3:TAF3"/>
    <mergeCell ref="TAG3:TAL3"/>
    <mergeCell ref="TAM3:TAR3"/>
    <mergeCell ref="TAS3:TAX3"/>
    <mergeCell ref="SYE3:SYJ3"/>
    <mergeCell ref="SYK3:SYP3"/>
    <mergeCell ref="SYQ3:SYV3"/>
    <mergeCell ref="SYW3:SZB3"/>
    <mergeCell ref="SZC3:SZH3"/>
    <mergeCell ref="SZI3:SZN3"/>
    <mergeCell ref="TFC3:TFH3"/>
    <mergeCell ref="TFI3:TFN3"/>
    <mergeCell ref="TFO3:TFT3"/>
    <mergeCell ref="TFU3:TFZ3"/>
    <mergeCell ref="TGA3:TGF3"/>
    <mergeCell ref="TGG3:TGL3"/>
    <mergeCell ref="TDS3:TDX3"/>
    <mergeCell ref="TDY3:TED3"/>
    <mergeCell ref="TEE3:TEJ3"/>
    <mergeCell ref="TEK3:TEP3"/>
    <mergeCell ref="TEQ3:TEV3"/>
    <mergeCell ref="TEW3:TFB3"/>
    <mergeCell ref="TCI3:TCN3"/>
    <mergeCell ref="TCO3:TCT3"/>
    <mergeCell ref="TCU3:TCZ3"/>
    <mergeCell ref="TDA3:TDF3"/>
    <mergeCell ref="TDG3:TDL3"/>
    <mergeCell ref="TDM3:TDR3"/>
    <mergeCell ref="TJG3:TJL3"/>
    <mergeCell ref="TJM3:TJR3"/>
    <mergeCell ref="TJS3:TJX3"/>
    <mergeCell ref="TJY3:TKD3"/>
    <mergeCell ref="TKE3:TKJ3"/>
    <mergeCell ref="TKK3:TKP3"/>
    <mergeCell ref="THW3:TIB3"/>
    <mergeCell ref="TIC3:TIH3"/>
    <mergeCell ref="TII3:TIN3"/>
    <mergeCell ref="TIO3:TIT3"/>
    <mergeCell ref="TIU3:TIZ3"/>
    <mergeCell ref="TJA3:TJF3"/>
    <mergeCell ref="TGM3:TGR3"/>
    <mergeCell ref="TGS3:TGX3"/>
    <mergeCell ref="TGY3:THD3"/>
    <mergeCell ref="THE3:THJ3"/>
    <mergeCell ref="THK3:THP3"/>
    <mergeCell ref="THQ3:THV3"/>
    <mergeCell ref="TNK3:TNP3"/>
    <mergeCell ref="TNQ3:TNV3"/>
    <mergeCell ref="TNW3:TOB3"/>
    <mergeCell ref="TOC3:TOH3"/>
    <mergeCell ref="TOI3:TON3"/>
    <mergeCell ref="TOO3:TOT3"/>
    <mergeCell ref="TMA3:TMF3"/>
    <mergeCell ref="TMG3:TML3"/>
    <mergeCell ref="TMM3:TMR3"/>
    <mergeCell ref="TMS3:TMX3"/>
    <mergeCell ref="TMY3:TND3"/>
    <mergeCell ref="TNE3:TNJ3"/>
    <mergeCell ref="TKQ3:TKV3"/>
    <mergeCell ref="TKW3:TLB3"/>
    <mergeCell ref="TLC3:TLH3"/>
    <mergeCell ref="TLI3:TLN3"/>
    <mergeCell ref="TLO3:TLT3"/>
    <mergeCell ref="TLU3:TLZ3"/>
    <mergeCell ref="TRO3:TRT3"/>
    <mergeCell ref="TRU3:TRZ3"/>
    <mergeCell ref="TSA3:TSF3"/>
    <mergeCell ref="TSG3:TSL3"/>
    <mergeCell ref="TSM3:TSR3"/>
    <mergeCell ref="TSS3:TSX3"/>
    <mergeCell ref="TQE3:TQJ3"/>
    <mergeCell ref="TQK3:TQP3"/>
    <mergeCell ref="TQQ3:TQV3"/>
    <mergeCell ref="TQW3:TRB3"/>
    <mergeCell ref="TRC3:TRH3"/>
    <mergeCell ref="TRI3:TRN3"/>
    <mergeCell ref="TOU3:TOZ3"/>
    <mergeCell ref="TPA3:TPF3"/>
    <mergeCell ref="TPG3:TPL3"/>
    <mergeCell ref="TPM3:TPR3"/>
    <mergeCell ref="TPS3:TPX3"/>
    <mergeCell ref="TPY3:TQD3"/>
    <mergeCell ref="TVS3:TVX3"/>
    <mergeCell ref="TVY3:TWD3"/>
    <mergeCell ref="TWE3:TWJ3"/>
    <mergeCell ref="TWK3:TWP3"/>
    <mergeCell ref="TWQ3:TWV3"/>
    <mergeCell ref="TWW3:TXB3"/>
    <mergeCell ref="TUI3:TUN3"/>
    <mergeCell ref="TUO3:TUT3"/>
    <mergeCell ref="TUU3:TUZ3"/>
    <mergeCell ref="TVA3:TVF3"/>
    <mergeCell ref="TVG3:TVL3"/>
    <mergeCell ref="TVM3:TVR3"/>
    <mergeCell ref="TSY3:TTD3"/>
    <mergeCell ref="TTE3:TTJ3"/>
    <mergeCell ref="TTK3:TTP3"/>
    <mergeCell ref="TTQ3:TTV3"/>
    <mergeCell ref="TTW3:TUB3"/>
    <mergeCell ref="TUC3:TUH3"/>
    <mergeCell ref="TZW3:UAB3"/>
    <mergeCell ref="UAC3:UAH3"/>
    <mergeCell ref="UAI3:UAN3"/>
    <mergeCell ref="UAO3:UAT3"/>
    <mergeCell ref="UAU3:UAZ3"/>
    <mergeCell ref="UBA3:UBF3"/>
    <mergeCell ref="TYM3:TYR3"/>
    <mergeCell ref="TYS3:TYX3"/>
    <mergeCell ref="TYY3:TZD3"/>
    <mergeCell ref="TZE3:TZJ3"/>
    <mergeCell ref="TZK3:TZP3"/>
    <mergeCell ref="TZQ3:TZV3"/>
    <mergeCell ref="TXC3:TXH3"/>
    <mergeCell ref="TXI3:TXN3"/>
    <mergeCell ref="TXO3:TXT3"/>
    <mergeCell ref="TXU3:TXZ3"/>
    <mergeCell ref="TYA3:TYF3"/>
    <mergeCell ref="TYG3:TYL3"/>
    <mergeCell ref="UEA3:UEF3"/>
    <mergeCell ref="UEG3:UEL3"/>
    <mergeCell ref="UEM3:UER3"/>
    <mergeCell ref="UES3:UEX3"/>
    <mergeCell ref="UEY3:UFD3"/>
    <mergeCell ref="UFE3:UFJ3"/>
    <mergeCell ref="UCQ3:UCV3"/>
    <mergeCell ref="UCW3:UDB3"/>
    <mergeCell ref="UDC3:UDH3"/>
    <mergeCell ref="UDI3:UDN3"/>
    <mergeCell ref="UDO3:UDT3"/>
    <mergeCell ref="UDU3:UDZ3"/>
    <mergeCell ref="UBG3:UBL3"/>
    <mergeCell ref="UBM3:UBR3"/>
    <mergeCell ref="UBS3:UBX3"/>
    <mergeCell ref="UBY3:UCD3"/>
    <mergeCell ref="UCE3:UCJ3"/>
    <mergeCell ref="UCK3:UCP3"/>
    <mergeCell ref="UIE3:UIJ3"/>
    <mergeCell ref="UIK3:UIP3"/>
    <mergeCell ref="UIQ3:UIV3"/>
    <mergeCell ref="UIW3:UJB3"/>
    <mergeCell ref="UJC3:UJH3"/>
    <mergeCell ref="UJI3:UJN3"/>
    <mergeCell ref="UGU3:UGZ3"/>
    <mergeCell ref="UHA3:UHF3"/>
    <mergeCell ref="UHG3:UHL3"/>
    <mergeCell ref="UHM3:UHR3"/>
    <mergeCell ref="UHS3:UHX3"/>
    <mergeCell ref="UHY3:UID3"/>
    <mergeCell ref="UFK3:UFP3"/>
    <mergeCell ref="UFQ3:UFV3"/>
    <mergeCell ref="UFW3:UGB3"/>
    <mergeCell ref="UGC3:UGH3"/>
    <mergeCell ref="UGI3:UGN3"/>
    <mergeCell ref="UGO3:UGT3"/>
    <mergeCell ref="UMI3:UMN3"/>
    <mergeCell ref="UMO3:UMT3"/>
    <mergeCell ref="UMU3:UMZ3"/>
    <mergeCell ref="UNA3:UNF3"/>
    <mergeCell ref="UNG3:UNL3"/>
    <mergeCell ref="UNM3:UNR3"/>
    <mergeCell ref="UKY3:ULD3"/>
    <mergeCell ref="ULE3:ULJ3"/>
    <mergeCell ref="ULK3:ULP3"/>
    <mergeCell ref="ULQ3:ULV3"/>
    <mergeCell ref="ULW3:UMB3"/>
    <mergeCell ref="UMC3:UMH3"/>
    <mergeCell ref="UJO3:UJT3"/>
    <mergeCell ref="UJU3:UJZ3"/>
    <mergeCell ref="UKA3:UKF3"/>
    <mergeCell ref="UKG3:UKL3"/>
    <mergeCell ref="UKM3:UKR3"/>
    <mergeCell ref="UKS3:UKX3"/>
    <mergeCell ref="UQM3:UQR3"/>
    <mergeCell ref="UQS3:UQX3"/>
    <mergeCell ref="UQY3:URD3"/>
    <mergeCell ref="URE3:URJ3"/>
    <mergeCell ref="URK3:URP3"/>
    <mergeCell ref="URQ3:URV3"/>
    <mergeCell ref="UPC3:UPH3"/>
    <mergeCell ref="UPI3:UPN3"/>
    <mergeCell ref="UPO3:UPT3"/>
    <mergeCell ref="UPU3:UPZ3"/>
    <mergeCell ref="UQA3:UQF3"/>
    <mergeCell ref="UQG3:UQL3"/>
    <mergeCell ref="UNS3:UNX3"/>
    <mergeCell ref="UNY3:UOD3"/>
    <mergeCell ref="UOE3:UOJ3"/>
    <mergeCell ref="UOK3:UOP3"/>
    <mergeCell ref="UOQ3:UOV3"/>
    <mergeCell ref="UOW3:UPB3"/>
    <mergeCell ref="UUQ3:UUV3"/>
    <mergeCell ref="UUW3:UVB3"/>
    <mergeCell ref="UVC3:UVH3"/>
    <mergeCell ref="UVI3:UVN3"/>
    <mergeCell ref="UVO3:UVT3"/>
    <mergeCell ref="UVU3:UVZ3"/>
    <mergeCell ref="UTG3:UTL3"/>
    <mergeCell ref="UTM3:UTR3"/>
    <mergeCell ref="UTS3:UTX3"/>
    <mergeCell ref="UTY3:UUD3"/>
    <mergeCell ref="UUE3:UUJ3"/>
    <mergeCell ref="UUK3:UUP3"/>
    <mergeCell ref="URW3:USB3"/>
    <mergeCell ref="USC3:USH3"/>
    <mergeCell ref="USI3:USN3"/>
    <mergeCell ref="USO3:UST3"/>
    <mergeCell ref="USU3:USZ3"/>
    <mergeCell ref="UTA3:UTF3"/>
    <mergeCell ref="UYU3:UYZ3"/>
    <mergeCell ref="UZA3:UZF3"/>
    <mergeCell ref="UZG3:UZL3"/>
    <mergeCell ref="UZM3:UZR3"/>
    <mergeCell ref="UZS3:UZX3"/>
    <mergeCell ref="UZY3:VAD3"/>
    <mergeCell ref="UXK3:UXP3"/>
    <mergeCell ref="UXQ3:UXV3"/>
    <mergeCell ref="UXW3:UYB3"/>
    <mergeCell ref="UYC3:UYH3"/>
    <mergeCell ref="UYI3:UYN3"/>
    <mergeCell ref="UYO3:UYT3"/>
    <mergeCell ref="UWA3:UWF3"/>
    <mergeCell ref="UWG3:UWL3"/>
    <mergeCell ref="UWM3:UWR3"/>
    <mergeCell ref="UWS3:UWX3"/>
    <mergeCell ref="UWY3:UXD3"/>
    <mergeCell ref="UXE3:UXJ3"/>
    <mergeCell ref="VCY3:VDD3"/>
    <mergeCell ref="VDE3:VDJ3"/>
    <mergeCell ref="VDK3:VDP3"/>
    <mergeCell ref="VDQ3:VDV3"/>
    <mergeCell ref="VDW3:VEB3"/>
    <mergeCell ref="VEC3:VEH3"/>
    <mergeCell ref="VBO3:VBT3"/>
    <mergeCell ref="VBU3:VBZ3"/>
    <mergeCell ref="VCA3:VCF3"/>
    <mergeCell ref="VCG3:VCL3"/>
    <mergeCell ref="VCM3:VCR3"/>
    <mergeCell ref="VCS3:VCX3"/>
    <mergeCell ref="VAE3:VAJ3"/>
    <mergeCell ref="VAK3:VAP3"/>
    <mergeCell ref="VAQ3:VAV3"/>
    <mergeCell ref="VAW3:VBB3"/>
    <mergeCell ref="VBC3:VBH3"/>
    <mergeCell ref="VBI3:VBN3"/>
    <mergeCell ref="VHC3:VHH3"/>
    <mergeCell ref="VHI3:VHN3"/>
    <mergeCell ref="VHO3:VHT3"/>
    <mergeCell ref="VHU3:VHZ3"/>
    <mergeCell ref="VIA3:VIF3"/>
    <mergeCell ref="VIG3:VIL3"/>
    <mergeCell ref="VFS3:VFX3"/>
    <mergeCell ref="VFY3:VGD3"/>
    <mergeCell ref="VGE3:VGJ3"/>
    <mergeCell ref="VGK3:VGP3"/>
    <mergeCell ref="VGQ3:VGV3"/>
    <mergeCell ref="VGW3:VHB3"/>
    <mergeCell ref="VEI3:VEN3"/>
    <mergeCell ref="VEO3:VET3"/>
    <mergeCell ref="VEU3:VEZ3"/>
    <mergeCell ref="VFA3:VFF3"/>
    <mergeCell ref="VFG3:VFL3"/>
    <mergeCell ref="VFM3:VFR3"/>
    <mergeCell ref="VLG3:VLL3"/>
    <mergeCell ref="VLM3:VLR3"/>
    <mergeCell ref="VLS3:VLX3"/>
    <mergeCell ref="VLY3:VMD3"/>
    <mergeCell ref="VME3:VMJ3"/>
    <mergeCell ref="VMK3:VMP3"/>
    <mergeCell ref="VJW3:VKB3"/>
    <mergeCell ref="VKC3:VKH3"/>
    <mergeCell ref="VKI3:VKN3"/>
    <mergeCell ref="VKO3:VKT3"/>
    <mergeCell ref="VKU3:VKZ3"/>
    <mergeCell ref="VLA3:VLF3"/>
    <mergeCell ref="VIM3:VIR3"/>
    <mergeCell ref="VIS3:VIX3"/>
    <mergeCell ref="VIY3:VJD3"/>
    <mergeCell ref="VJE3:VJJ3"/>
    <mergeCell ref="VJK3:VJP3"/>
    <mergeCell ref="VJQ3:VJV3"/>
    <mergeCell ref="VPK3:VPP3"/>
    <mergeCell ref="VPQ3:VPV3"/>
    <mergeCell ref="VPW3:VQB3"/>
    <mergeCell ref="VQC3:VQH3"/>
    <mergeCell ref="VQI3:VQN3"/>
    <mergeCell ref="VQO3:VQT3"/>
    <mergeCell ref="VOA3:VOF3"/>
    <mergeCell ref="VOG3:VOL3"/>
    <mergeCell ref="VOM3:VOR3"/>
    <mergeCell ref="VOS3:VOX3"/>
    <mergeCell ref="VOY3:VPD3"/>
    <mergeCell ref="VPE3:VPJ3"/>
    <mergeCell ref="VMQ3:VMV3"/>
    <mergeCell ref="VMW3:VNB3"/>
    <mergeCell ref="VNC3:VNH3"/>
    <mergeCell ref="VNI3:VNN3"/>
    <mergeCell ref="VNO3:VNT3"/>
    <mergeCell ref="VNU3:VNZ3"/>
    <mergeCell ref="VTO3:VTT3"/>
    <mergeCell ref="VTU3:VTZ3"/>
    <mergeCell ref="VUA3:VUF3"/>
    <mergeCell ref="VUG3:VUL3"/>
    <mergeCell ref="VUM3:VUR3"/>
    <mergeCell ref="VUS3:VUX3"/>
    <mergeCell ref="VSE3:VSJ3"/>
    <mergeCell ref="VSK3:VSP3"/>
    <mergeCell ref="VSQ3:VSV3"/>
    <mergeCell ref="VSW3:VTB3"/>
    <mergeCell ref="VTC3:VTH3"/>
    <mergeCell ref="VTI3:VTN3"/>
    <mergeCell ref="VQU3:VQZ3"/>
    <mergeCell ref="VRA3:VRF3"/>
    <mergeCell ref="VRG3:VRL3"/>
    <mergeCell ref="VRM3:VRR3"/>
    <mergeCell ref="VRS3:VRX3"/>
    <mergeCell ref="VRY3:VSD3"/>
    <mergeCell ref="VXS3:VXX3"/>
    <mergeCell ref="VXY3:VYD3"/>
    <mergeCell ref="VYE3:VYJ3"/>
    <mergeCell ref="VYK3:VYP3"/>
    <mergeCell ref="VYQ3:VYV3"/>
    <mergeCell ref="VYW3:VZB3"/>
    <mergeCell ref="VWI3:VWN3"/>
    <mergeCell ref="VWO3:VWT3"/>
    <mergeCell ref="VWU3:VWZ3"/>
    <mergeCell ref="VXA3:VXF3"/>
    <mergeCell ref="VXG3:VXL3"/>
    <mergeCell ref="VXM3:VXR3"/>
    <mergeCell ref="VUY3:VVD3"/>
    <mergeCell ref="VVE3:VVJ3"/>
    <mergeCell ref="VVK3:VVP3"/>
    <mergeCell ref="VVQ3:VVV3"/>
    <mergeCell ref="VVW3:VWB3"/>
    <mergeCell ref="VWC3:VWH3"/>
    <mergeCell ref="WBW3:WCB3"/>
    <mergeCell ref="WCC3:WCH3"/>
    <mergeCell ref="WCI3:WCN3"/>
    <mergeCell ref="WCO3:WCT3"/>
    <mergeCell ref="WCU3:WCZ3"/>
    <mergeCell ref="WDA3:WDF3"/>
    <mergeCell ref="WAM3:WAR3"/>
    <mergeCell ref="WAS3:WAX3"/>
    <mergeCell ref="WAY3:WBD3"/>
    <mergeCell ref="WBE3:WBJ3"/>
    <mergeCell ref="WBK3:WBP3"/>
    <mergeCell ref="WBQ3:WBV3"/>
    <mergeCell ref="VZC3:VZH3"/>
    <mergeCell ref="VZI3:VZN3"/>
    <mergeCell ref="VZO3:VZT3"/>
    <mergeCell ref="VZU3:VZZ3"/>
    <mergeCell ref="WAA3:WAF3"/>
    <mergeCell ref="WAG3:WAL3"/>
    <mergeCell ref="WGA3:WGF3"/>
    <mergeCell ref="WGG3:WGL3"/>
    <mergeCell ref="WGM3:WGR3"/>
    <mergeCell ref="WGS3:WGX3"/>
    <mergeCell ref="WGY3:WHD3"/>
    <mergeCell ref="WHE3:WHJ3"/>
    <mergeCell ref="WEQ3:WEV3"/>
    <mergeCell ref="WEW3:WFB3"/>
    <mergeCell ref="WFC3:WFH3"/>
    <mergeCell ref="WFI3:WFN3"/>
    <mergeCell ref="WFO3:WFT3"/>
    <mergeCell ref="WFU3:WFZ3"/>
    <mergeCell ref="WDG3:WDL3"/>
    <mergeCell ref="WDM3:WDR3"/>
    <mergeCell ref="WDS3:WDX3"/>
    <mergeCell ref="WDY3:WED3"/>
    <mergeCell ref="WEE3:WEJ3"/>
    <mergeCell ref="WEK3:WEP3"/>
    <mergeCell ref="WKE3:WKJ3"/>
    <mergeCell ref="WKK3:WKP3"/>
    <mergeCell ref="WKQ3:WKV3"/>
    <mergeCell ref="WKW3:WLB3"/>
    <mergeCell ref="WLC3:WLH3"/>
    <mergeCell ref="WLI3:WLN3"/>
    <mergeCell ref="WIU3:WIZ3"/>
    <mergeCell ref="WJA3:WJF3"/>
    <mergeCell ref="WJG3:WJL3"/>
    <mergeCell ref="WJM3:WJR3"/>
    <mergeCell ref="WJS3:WJX3"/>
    <mergeCell ref="WJY3:WKD3"/>
    <mergeCell ref="WHK3:WHP3"/>
    <mergeCell ref="WHQ3:WHV3"/>
    <mergeCell ref="WHW3:WIB3"/>
    <mergeCell ref="WIC3:WIH3"/>
    <mergeCell ref="WII3:WIN3"/>
    <mergeCell ref="WIO3:WIT3"/>
    <mergeCell ref="WOI3:WON3"/>
    <mergeCell ref="WOO3:WOT3"/>
    <mergeCell ref="WOU3:WOZ3"/>
    <mergeCell ref="WPA3:WPF3"/>
    <mergeCell ref="WPG3:WPL3"/>
    <mergeCell ref="WPM3:WPR3"/>
    <mergeCell ref="WMY3:WND3"/>
    <mergeCell ref="WNE3:WNJ3"/>
    <mergeCell ref="WNK3:WNP3"/>
    <mergeCell ref="WNQ3:WNV3"/>
    <mergeCell ref="WNW3:WOB3"/>
    <mergeCell ref="WOC3:WOH3"/>
    <mergeCell ref="WLO3:WLT3"/>
    <mergeCell ref="WLU3:WLZ3"/>
    <mergeCell ref="WMA3:WMF3"/>
    <mergeCell ref="WMG3:WML3"/>
    <mergeCell ref="WMM3:WMR3"/>
    <mergeCell ref="WMS3:WMX3"/>
    <mergeCell ref="WSM3:WSR3"/>
    <mergeCell ref="WSS3:WSX3"/>
    <mergeCell ref="WSY3:WTD3"/>
    <mergeCell ref="WTE3:WTJ3"/>
    <mergeCell ref="WTK3:WTP3"/>
    <mergeCell ref="WTQ3:WTV3"/>
    <mergeCell ref="WRC3:WRH3"/>
    <mergeCell ref="WRI3:WRN3"/>
    <mergeCell ref="WRO3:WRT3"/>
    <mergeCell ref="WRU3:WRZ3"/>
    <mergeCell ref="WSA3:WSF3"/>
    <mergeCell ref="WSG3:WSL3"/>
    <mergeCell ref="WPS3:WPX3"/>
    <mergeCell ref="WPY3:WQD3"/>
    <mergeCell ref="WQE3:WQJ3"/>
    <mergeCell ref="WQK3:WQP3"/>
    <mergeCell ref="WQQ3:WQV3"/>
    <mergeCell ref="WQW3:WRB3"/>
    <mergeCell ref="WZQ3:WZV3"/>
    <mergeCell ref="WZW3:XAB3"/>
    <mergeCell ref="XAC3:XAH3"/>
    <mergeCell ref="XAI3:XAN3"/>
    <mergeCell ref="XAO3:XAT3"/>
    <mergeCell ref="WYA3:WYF3"/>
    <mergeCell ref="WYG3:WYL3"/>
    <mergeCell ref="WYM3:WYR3"/>
    <mergeCell ref="WYS3:WYX3"/>
    <mergeCell ref="WYY3:WZD3"/>
    <mergeCell ref="WZE3:WZJ3"/>
    <mergeCell ref="WWQ3:WWV3"/>
    <mergeCell ref="WWW3:WXB3"/>
    <mergeCell ref="WXC3:WXH3"/>
    <mergeCell ref="WXI3:WXN3"/>
    <mergeCell ref="WXO3:WXT3"/>
    <mergeCell ref="WXU3:WXZ3"/>
    <mergeCell ref="WVG3:WVL3"/>
    <mergeCell ref="WVM3:WVR3"/>
    <mergeCell ref="WVS3:WVX3"/>
    <mergeCell ref="WVY3:WWD3"/>
    <mergeCell ref="WWE3:WWJ3"/>
    <mergeCell ref="WWK3:WWP3"/>
    <mergeCell ref="WTW3:WUB3"/>
    <mergeCell ref="WUC3:WUH3"/>
    <mergeCell ref="WUI3:WUN3"/>
    <mergeCell ref="WUO3:WUT3"/>
    <mergeCell ref="WUU3:WUZ3"/>
    <mergeCell ref="WVA3:WVF3"/>
    <mergeCell ref="XEY3:XFB3"/>
    <mergeCell ref="XDO3:XDT3"/>
    <mergeCell ref="XDU3:XDZ3"/>
    <mergeCell ref="XEA3:XEF3"/>
    <mergeCell ref="XEG3:XEL3"/>
    <mergeCell ref="XEM3:XER3"/>
    <mergeCell ref="XES3:XEX3"/>
    <mergeCell ref="XCE3:XCJ3"/>
    <mergeCell ref="XCK3:XCP3"/>
    <mergeCell ref="XCQ3:XCV3"/>
    <mergeCell ref="XCW3:XDB3"/>
    <mergeCell ref="XDC3:XDH3"/>
    <mergeCell ref="XDI3:XDN3"/>
    <mergeCell ref="XAU3:XAZ3"/>
    <mergeCell ref="XBA3:XBF3"/>
    <mergeCell ref="XBG3:XBL3"/>
    <mergeCell ref="XBM3:XBR3"/>
    <mergeCell ref="XBS3:XBX3"/>
    <mergeCell ref="XBY3:XCD3"/>
    <mergeCell ref="WZK3:WZP3"/>
  </mergeCells>
  <hyperlinks>
    <hyperlink ref="C2" location="BG!A1" display="BG" xr:uid="{00000000-0004-0000-0F00-000000000000}"/>
    <hyperlink ref="B1" location="BG!A1" display="BG" xr:uid="{700E0EAA-BD1C-4FEC-9D7C-532E55C099A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5"/>
  <dimension ref="A1:AD66"/>
  <sheetViews>
    <sheetView showGridLines="0" workbookViewId="0">
      <selection activeCell="G8" sqref="A7:G8"/>
    </sheetView>
  </sheetViews>
  <sheetFormatPr baseColWidth="10" defaultColWidth="11.42578125" defaultRowHeight="12"/>
  <cols>
    <col min="1" max="1" width="34.28515625" style="101" customWidth="1"/>
    <col min="2" max="2" width="16.140625" style="116" customWidth="1"/>
    <col min="3" max="3" width="18.28515625" style="116" customWidth="1"/>
    <col min="4" max="6" width="11.42578125" style="101"/>
    <col min="7" max="30" width="11.42578125" style="111"/>
    <col min="31" max="16384" width="11.42578125" style="101"/>
  </cols>
  <sheetData>
    <row r="1" spans="1:6">
      <c r="A1" s="277" t="str">
        <f>Indice!C1</f>
        <v>NICOLAS GONZALEZ ODDONE S.A.E.C.A</v>
      </c>
      <c r="B1" s="112"/>
      <c r="C1" s="288" t="s">
        <v>79</v>
      </c>
      <c r="D1" s="115"/>
      <c r="E1" s="111"/>
      <c r="F1" s="111"/>
    </row>
    <row r="2" spans="1:6">
      <c r="A2" s="111"/>
      <c r="B2" s="112"/>
      <c r="C2" s="112"/>
      <c r="D2" s="111"/>
      <c r="E2" s="111"/>
      <c r="F2" s="111"/>
    </row>
    <row r="3" spans="1:6">
      <c r="A3" s="111"/>
      <c r="B3" s="112"/>
      <c r="C3" s="112"/>
      <c r="D3" s="111"/>
      <c r="E3" s="111"/>
      <c r="F3" s="111"/>
    </row>
    <row r="4" spans="1:6">
      <c r="A4" s="1209" t="s">
        <v>497</v>
      </c>
      <c r="B4" s="1209"/>
      <c r="C4" s="1209"/>
      <c r="D4" s="111"/>
      <c r="E4" s="111"/>
      <c r="F4" s="111"/>
    </row>
    <row r="5" spans="1:6">
      <c r="A5" s="1260" t="s">
        <v>171</v>
      </c>
      <c r="B5" s="1260"/>
      <c r="C5" s="112"/>
      <c r="D5" s="111"/>
      <c r="E5" s="111"/>
      <c r="F5" s="111"/>
    </row>
    <row r="6" spans="1:6">
      <c r="A6" s="176"/>
      <c r="B6" s="176"/>
      <c r="C6" s="112"/>
      <c r="D6" s="111"/>
      <c r="E6" s="111"/>
      <c r="F6" s="111"/>
    </row>
    <row r="7" spans="1:6">
      <c r="A7" s="289"/>
      <c r="B7" s="235"/>
      <c r="D7" s="235"/>
      <c r="E7" s="235"/>
      <c r="F7" s="111"/>
    </row>
    <row r="8" spans="1:6">
      <c r="A8" s="235"/>
      <c r="B8" s="235"/>
      <c r="D8" s="235"/>
      <c r="E8" s="235"/>
      <c r="F8" s="111"/>
    </row>
    <row r="9" spans="1:6" ht="13.5">
      <c r="A9" s="184"/>
      <c r="B9" s="184"/>
      <c r="C9" s="185"/>
      <c r="D9" s="184"/>
      <c r="E9" s="184"/>
      <c r="F9" s="111"/>
    </row>
    <row r="10" spans="1:6">
      <c r="A10" s="106" t="s">
        <v>337</v>
      </c>
      <c r="B10" s="280">
        <v>43921</v>
      </c>
      <c r="C10" s="280">
        <v>43830</v>
      </c>
      <c r="D10" s="111"/>
      <c r="E10" s="111"/>
      <c r="F10" s="111"/>
    </row>
    <row r="11" spans="1:6">
      <c r="A11" s="111" t="s">
        <v>334</v>
      </c>
      <c r="B11" s="112">
        <v>13354381956</v>
      </c>
      <c r="C11" s="112">
        <v>10266827892</v>
      </c>
      <c r="D11" s="111"/>
      <c r="E11" s="111"/>
      <c r="F11" s="111"/>
    </row>
    <row r="12" spans="1:6">
      <c r="A12" s="111" t="s">
        <v>335</v>
      </c>
      <c r="B12" s="112">
        <v>30921600000</v>
      </c>
      <c r="C12" s="112">
        <v>31459200000</v>
      </c>
      <c r="D12" s="111"/>
      <c r="E12" s="111"/>
      <c r="F12" s="111"/>
    </row>
    <row r="13" spans="1:6">
      <c r="A13" s="111" t="s">
        <v>336</v>
      </c>
      <c r="B13" s="112">
        <v>0</v>
      </c>
      <c r="C13" s="112">
        <v>3560595316</v>
      </c>
      <c r="D13" s="111"/>
      <c r="E13" s="111"/>
      <c r="F13" s="111"/>
    </row>
    <row r="14" spans="1:6" ht="12.75" thickBot="1">
      <c r="A14" s="110" t="s">
        <v>1</v>
      </c>
      <c r="B14" s="114">
        <f>SUM($B$11:B13)</f>
        <v>44275981956</v>
      </c>
      <c r="C14" s="114">
        <f>SUM($C$11:C13)</f>
        <v>45286623208</v>
      </c>
      <c r="D14" s="111"/>
      <c r="E14" s="111"/>
      <c r="F14" s="111"/>
    </row>
    <row r="15" spans="1:6" ht="12.75" thickTop="1">
      <c r="A15" s="111"/>
      <c r="B15" s="112"/>
      <c r="C15" s="112"/>
      <c r="D15" s="111"/>
      <c r="E15" s="111"/>
      <c r="F15" s="111"/>
    </row>
    <row r="16" spans="1:6">
      <c r="A16" s="111"/>
      <c r="B16" s="112"/>
      <c r="C16" s="112"/>
      <c r="D16" s="111"/>
      <c r="E16" s="111"/>
      <c r="F16" s="111"/>
    </row>
    <row r="17" spans="1:6">
      <c r="A17" s="111"/>
      <c r="B17" s="112"/>
      <c r="C17" s="112"/>
      <c r="D17" s="111"/>
      <c r="E17" s="111"/>
      <c r="F17" s="111"/>
    </row>
    <row r="18" spans="1:6">
      <c r="A18" s="111"/>
      <c r="B18" s="112"/>
      <c r="C18" s="112"/>
      <c r="D18" s="111"/>
      <c r="E18" s="111"/>
      <c r="F18" s="111"/>
    </row>
    <row r="19" spans="1:6">
      <c r="A19" s="111"/>
      <c r="B19" s="112"/>
      <c r="C19" s="112"/>
      <c r="D19" s="111"/>
      <c r="E19" s="111"/>
      <c r="F19" s="111"/>
    </row>
    <row r="20" spans="1:6">
      <c r="A20" s="111"/>
      <c r="B20" s="112"/>
      <c r="C20" s="112"/>
      <c r="D20" s="111"/>
      <c r="E20" s="111"/>
      <c r="F20" s="111"/>
    </row>
    <row r="21" spans="1:6">
      <c r="A21" s="111"/>
      <c r="B21" s="112"/>
      <c r="C21" s="112"/>
      <c r="D21" s="111"/>
      <c r="E21" s="111"/>
      <c r="F21" s="111"/>
    </row>
    <row r="22" spans="1:6">
      <c r="A22" s="111"/>
      <c r="B22" s="112"/>
      <c r="C22" s="112"/>
      <c r="D22" s="111"/>
      <c r="E22" s="111"/>
      <c r="F22" s="111"/>
    </row>
    <row r="23" spans="1:6">
      <c r="A23" s="111"/>
      <c r="B23" s="112"/>
      <c r="C23" s="112"/>
      <c r="D23" s="111"/>
      <c r="E23" s="111"/>
      <c r="F23" s="111"/>
    </row>
    <row r="24" spans="1:6">
      <c r="A24" s="111"/>
      <c r="B24" s="112"/>
      <c r="C24" s="112"/>
      <c r="D24" s="111"/>
      <c r="E24" s="111"/>
      <c r="F24" s="111"/>
    </row>
    <row r="25" spans="1:6">
      <c r="A25" s="111"/>
      <c r="B25" s="112"/>
      <c r="C25" s="112"/>
      <c r="D25" s="111"/>
      <c r="E25" s="111"/>
      <c r="F25" s="111"/>
    </row>
    <row r="26" spans="1:6">
      <c r="A26" s="111"/>
      <c r="B26" s="112"/>
      <c r="C26" s="112"/>
      <c r="D26" s="111"/>
      <c r="E26" s="111"/>
      <c r="F26" s="111"/>
    </row>
    <row r="27" spans="1:6">
      <c r="A27" s="111"/>
      <c r="B27" s="112"/>
      <c r="C27" s="112"/>
      <c r="D27" s="111"/>
      <c r="E27" s="111"/>
      <c r="F27" s="111"/>
    </row>
    <row r="28" spans="1:6">
      <c r="A28" s="111"/>
      <c r="B28" s="112"/>
      <c r="C28" s="112"/>
      <c r="D28" s="111"/>
      <c r="E28" s="111"/>
      <c r="F28" s="111"/>
    </row>
    <row r="29" spans="1:6">
      <c r="A29" s="111"/>
      <c r="B29" s="112"/>
      <c r="C29" s="112"/>
      <c r="D29" s="111"/>
      <c r="E29" s="111"/>
      <c r="F29" s="111"/>
    </row>
    <row r="30" spans="1:6">
      <c r="A30" s="111"/>
      <c r="B30" s="112"/>
      <c r="C30" s="112"/>
      <c r="D30" s="111"/>
      <c r="E30" s="111"/>
      <c r="F30" s="111"/>
    </row>
    <row r="31" spans="1:6">
      <c r="A31" s="111"/>
      <c r="B31" s="112"/>
      <c r="C31" s="112"/>
      <c r="D31" s="111"/>
      <c r="E31" s="111"/>
      <c r="F31" s="111"/>
    </row>
    <row r="32" spans="1:6">
      <c r="A32" s="111"/>
      <c r="B32" s="112"/>
      <c r="C32" s="112"/>
      <c r="D32" s="111"/>
      <c r="E32" s="111"/>
      <c r="F32" s="111"/>
    </row>
    <row r="33" spans="1:6">
      <c r="A33" s="111"/>
      <c r="B33" s="112"/>
      <c r="C33" s="112"/>
      <c r="D33" s="111"/>
      <c r="E33" s="111"/>
      <c r="F33" s="111"/>
    </row>
    <row r="34" spans="1:6">
      <c r="A34" s="111"/>
      <c r="B34" s="112"/>
      <c r="C34" s="112"/>
      <c r="D34" s="111"/>
      <c r="E34" s="111"/>
      <c r="F34" s="111"/>
    </row>
    <row r="35" spans="1:6">
      <c r="A35" s="111"/>
      <c r="B35" s="112"/>
      <c r="C35" s="112"/>
      <c r="D35" s="111"/>
      <c r="E35" s="111"/>
      <c r="F35" s="111"/>
    </row>
    <row r="36" spans="1:6">
      <c r="A36" s="111"/>
      <c r="B36" s="112"/>
      <c r="C36" s="112"/>
      <c r="D36" s="111"/>
      <c r="E36" s="111"/>
      <c r="F36" s="111"/>
    </row>
    <row r="37" spans="1:6">
      <c r="A37" s="111"/>
      <c r="B37" s="112"/>
      <c r="C37" s="112"/>
      <c r="D37" s="111"/>
      <c r="E37" s="111"/>
      <c r="F37" s="111"/>
    </row>
    <row r="38" spans="1:6">
      <c r="A38" s="111"/>
      <c r="B38" s="112"/>
      <c r="C38" s="112"/>
      <c r="D38" s="111"/>
      <c r="E38" s="111"/>
      <c r="F38" s="111"/>
    </row>
    <row r="39" spans="1:6">
      <c r="A39" s="111"/>
      <c r="B39" s="112"/>
      <c r="C39" s="112"/>
      <c r="D39" s="111"/>
      <c r="E39" s="111"/>
      <c r="F39" s="111"/>
    </row>
    <row r="40" spans="1:6">
      <c r="A40" s="111"/>
      <c r="B40" s="112"/>
      <c r="C40" s="112"/>
      <c r="D40" s="111"/>
      <c r="E40" s="111"/>
      <c r="F40" s="111"/>
    </row>
    <row r="41" spans="1:6">
      <c r="A41" s="111"/>
      <c r="B41" s="112"/>
      <c r="C41" s="112"/>
      <c r="D41" s="111"/>
      <c r="E41" s="111"/>
      <c r="F41" s="111"/>
    </row>
    <row r="42" spans="1:6">
      <c r="A42" s="111"/>
      <c r="B42" s="112"/>
      <c r="C42" s="112"/>
      <c r="D42" s="111"/>
      <c r="E42" s="111"/>
      <c r="F42" s="111"/>
    </row>
    <row r="43" spans="1:6">
      <c r="A43" s="111"/>
      <c r="B43" s="112"/>
      <c r="C43" s="112"/>
      <c r="D43" s="111"/>
      <c r="E43" s="111"/>
      <c r="F43" s="111"/>
    </row>
    <row r="44" spans="1:6">
      <c r="A44" s="111"/>
      <c r="B44" s="112"/>
      <c r="C44" s="112"/>
      <c r="D44" s="111"/>
      <c r="E44" s="111"/>
      <c r="F44" s="111"/>
    </row>
    <row r="45" spans="1:6">
      <c r="A45" s="111"/>
      <c r="B45" s="112"/>
      <c r="C45" s="112"/>
      <c r="D45" s="111"/>
      <c r="E45" s="111"/>
      <c r="F45" s="111"/>
    </row>
    <row r="46" spans="1:6">
      <c r="A46" s="111"/>
      <c r="B46" s="112"/>
      <c r="C46" s="112"/>
      <c r="D46" s="111"/>
      <c r="E46" s="111"/>
      <c r="F46" s="111"/>
    </row>
    <row r="47" spans="1:6">
      <c r="A47" s="111"/>
      <c r="B47" s="112"/>
      <c r="C47" s="112"/>
      <c r="D47" s="111"/>
      <c r="E47" s="111"/>
      <c r="F47" s="111"/>
    </row>
    <row r="48" spans="1:6">
      <c r="A48" s="111"/>
      <c r="B48" s="112"/>
      <c r="C48" s="112"/>
      <c r="D48" s="111"/>
      <c r="E48" s="111"/>
      <c r="F48" s="111"/>
    </row>
    <row r="49" spans="1:6">
      <c r="A49" s="111"/>
      <c r="B49" s="112"/>
      <c r="C49" s="112"/>
      <c r="D49" s="111"/>
      <c r="E49" s="111"/>
      <c r="F49" s="111"/>
    </row>
    <row r="50" spans="1:6">
      <c r="A50" s="111"/>
      <c r="B50" s="112"/>
      <c r="C50" s="112"/>
      <c r="D50" s="111"/>
      <c r="E50" s="111"/>
      <c r="F50" s="111"/>
    </row>
    <row r="51" spans="1:6">
      <c r="A51" s="111"/>
      <c r="B51" s="112"/>
      <c r="C51" s="112"/>
      <c r="D51" s="111"/>
      <c r="E51" s="111"/>
      <c r="F51" s="111"/>
    </row>
    <row r="52" spans="1:6">
      <c r="A52" s="111"/>
      <c r="B52" s="112"/>
      <c r="C52" s="112"/>
      <c r="D52" s="111"/>
      <c r="E52" s="111"/>
      <c r="F52" s="111"/>
    </row>
    <row r="53" spans="1:6">
      <c r="A53" s="111"/>
      <c r="B53" s="112"/>
      <c r="C53" s="112"/>
      <c r="D53" s="111"/>
      <c r="E53" s="111"/>
      <c r="F53" s="111"/>
    </row>
    <row r="54" spans="1:6">
      <c r="A54" s="111"/>
      <c r="B54" s="112"/>
      <c r="C54" s="112"/>
      <c r="D54" s="111"/>
      <c r="E54" s="111"/>
      <c r="F54" s="111"/>
    </row>
    <row r="55" spans="1:6">
      <c r="A55" s="111"/>
      <c r="B55" s="112"/>
      <c r="C55" s="112"/>
      <c r="D55" s="111"/>
      <c r="E55" s="111"/>
      <c r="F55" s="111"/>
    </row>
    <row r="56" spans="1:6">
      <c r="A56" s="111"/>
      <c r="B56" s="112"/>
      <c r="C56" s="112"/>
      <c r="D56" s="111"/>
      <c r="E56" s="111"/>
      <c r="F56" s="111"/>
    </row>
    <row r="57" spans="1:6">
      <c r="A57" s="111"/>
      <c r="B57" s="112"/>
      <c r="C57" s="112"/>
      <c r="D57" s="111"/>
      <c r="E57" s="111"/>
      <c r="F57" s="111"/>
    </row>
    <row r="58" spans="1:6">
      <c r="A58" s="111"/>
      <c r="B58" s="112"/>
      <c r="C58" s="112"/>
      <c r="D58" s="111"/>
      <c r="E58" s="111"/>
      <c r="F58" s="111"/>
    </row>
    <row r="59" spans="1:6">
      <c r="A59" s="111"/>
      <c r="B59" s="112"/>
      <c r="C59" s="112"/>
      <c r="D59" s="111"/>
      <c r="E59" s="111"/>
      <c r="F59" s="111"/>
    </row>
    <row r="60" spans="1:6">
      <c r="A60" s="111"/>
      <c r="B60" s="112"/>
      <c r="C60" s="112"/>
      <c r="D60" s="111"/>
      <c r="E60" s="111"/>
      <c r="F60" s="111"/>
    </row>
    <row r="61" spans="1:6">
      <c r="A61" s="111"/>
      <c r="B61" s="112"/>
      <c r="C61" s="112"/>
      <c r="D61" s="111"/>
      <c r="E61" s="111"/>
      <c r="F61" s="111"/>
    </row>
    <row r="62" spans="1:6">
      <c r="A62" s="111"/>
      <c r="B62" s="112"/>
      <c r="C62" s="112"/>
      <c r="D62" s="111"/>
      <c r="E62" s="111"/>
      <c r="F62" s="111"/>
    </row>
    <row r="63" spans="1:6">
      <c r="A63" s="111"/>
      <c r="B63" s="112"/>
      <c r="C63" s="112"/>
      <c r="D63" s="111"/>
      <c r="E63" s="111"/>
      <c r="F63" s="111"/>
    </row>
    <row r="64" spans="1:6">
      <c r="A64" s="111"/>
      <c r="B64" s="112"/>
      <c r="C64" s="112"/>
      <c r="D64" s="111"/>
      <c r="E64" s="111"/>
      <c r="F64" s="111"/>
    </row>
    <row r="65" spans="1:6">
      <c r="A65" s="111"/>
      <c r="B65" s="112"/>
      <c r="C65" s="112"/>
      <c r="D65" s="111"/>
      <c r="E65" s="111"/>
      <c r="F65" s="111"/>
    </row>
    <row r="66" spans="1:6">
      <c r="A66" s="111"/>
      <c r="B66" s="112"/>
      <c r="C66" s="112"/>
      <c r="D66" s="111"/>
      <c r="E66" s="111"/>
      <c r="F66" s="111"/>
    </row>
  </sheetData>
  <mergeCells count="2">
    <mergeCell ref="A4:C4"/>
    <mergeCell ref="A5:B5"/>
  </mergeCells>
  <hyperlinks>
    <hyperlink ref="C1" location="BG!A1" display="BG" xr:uid="{00000000-0004-0000-1000-000000000000}"/>
  </hyperlink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6"/>
  <dimension ref="A1:S38"/>
  <sheetViews>
    <sheetView showGridLines="0" workbookViewId="0">
      <selection activeCell="B1" sqref="B1"/>
    </sheetView>
  </sheetViews>
  <sheetFormatPr baseColWidth="10" defaultColWidth="11.42578125" defaultRowHeight="12"/>
  <cols>
    <col min="1" max="1" width="41.5703125" style="111" customWidth="1"/>
    <col min="2" max="2" width="18.42578125" style="111" customWidth="1"/>
    <col min="3" max="3" width="17.28515625" style="111" customWidth="1"/>
    <col min="4" max="4" width="0.7109375" style="111" customWidth="1"/>
    <col min="5" max="5" width="12.28515625" style="111" bestFit="1" customWidth="1"/>
    <col min="6" max="19" width="11.42578125" style="111"/>
    <col min="20" max="16384" width="11.42578125" style="522"/>
  </cols>
  <sheetData>
    <row r="1" spans="1:6" ht="17.25" customHeight="1">
      <c r="A1" s="277" t="str">
        <f>Indice!C1</f>
        <v>NICOLAS GONZALEZ ODDONE S.A.E.C.A</v>
      </c>
      <c r="B1" s="920" t="s">
        <v>79</v>
      </c>
      <c r="C1" s="288"/>
      <c r="F1" s="115"/>
    </row>
    <row r="2" spans="1:6">
      <c r="B2" s="337"/>
    </row>
    <row r="3" spans="1:6" ht="15" customHeight="1">
      <c r="A3" s="1207" t="s">
        <v>182</v>
      </c>
      <c r="B3" s="1207"/>
      <c r="C3" s="1207"/>
      <c r="D3" s="1207"/>
    </row>
    <row r="4" spans="1:6">
      <c r="A4" s="906" t="s">
        <v>171</v>
      </c>
      <c r="B4" s="528"/>
      <c r="C4" s="528"/>
    </row>
    <row r="5" spans="1:6">
      <c r="A5" s="529"/>
      <c r="B5" s="528"/>
      <c r="C5" s="528"/>
    </row>
    <row r="6" spans="1:6">
      <c r="A6" s="529" t="s">
        <v>492</v>
      </c>
      <c r="B6" s="528"/>
      <c r="C6" s="528"/>
    </row>
    <row r="7" spans="1:6">
      <c r="A7" s="136"/>
      <c r="B7" s="528"/>
      <c r="C7" s="528"/>
    </row>
    <row r="8" spans="1:6" ht="12.75">
      <c r="A8" s="544" t="s">
        <v>337</v>
      </c>
      <c r="B8" s="805">
        <v>44561</v>
      </c>
      <c r="C8" s="805">
        <v>44196</v>
      </c>
      <c r="D8" s="137"/>
    </row>
    <row r="9" spans="1:6">
      <c r="A9" s="136" t="s">
        <v>417</v>
      </c>
      <c r="B9" s="698"/>
      <c r="C9" s="698"/>
      <c r="D9" s="137"/>
    </row>
    <row r="10" spans="1:6" hidden="1">
      <c r="A10" s="608" t="s">
        <v>418</v>
      </c>
      <c r="B10" s="609">
        <f>54104002-54104002</f>
        <v>0</v>
      </c>
      <c r="C10" s="610">
        <v>0</v>
      </c>
      <c r="D10" s="137"/>
    </row>
    <row r="11" spans="1:6" hidden="1">
      <c r="A11" s="608" t="s">
        <v>419</v>
      </c>
      <c r="B11" s="609">
        <f>43068550-43068550</f>
        <v>0</v>
      </c>
      <c r="C11" s="610">
        <v>0</v>
      </c>
      <c r="D11" s="137"/>
    </row>
    <row r="12" spans="1:6">
      <c r="A12" s="608" t="s">
        <v>419</v>
      </c>
      <c r="B12" s="609">
        <v>43068550</v>
      </c>
      <c r="C12" s="609">
        <v>43068550</v>
      </c>
      <c r="D12" s="137"/>
    </row>
    <row r="13" spans="1:6">
      <c r="A13" s="608" t="s">
        <v>690</v>
      </c>
      <c r="B13" s="609">
        <v>-43068550</v>
      </c>
      <c r="C13" s="609">
        <v>-43068550</v>
      </c>
      <c r="D13" s="137"/>
    </row>
    <row r="14" spans="1:6">
      <c r="A14" s="608" t="s">
        <v>420</v>
      </c>
      <c r="B14" s="609">
        <v>7981312809</v>
      </c>
      <c r="C14" s="609">
        <v>6517454738</v>
      </c>
      <c r="D14" s="137"/>
    </row>
    <row r="15" spans="1:6">
      <c r="A15" s="608" t="s">
        <v>710</v>
      </c>
      <c r="B15" s="609">
        <v>-3769162225</v>
      </c>
      <c r="C15" s="609">
        <v>-2468109719</v>
      </c>
      <c r="D15" s="137"/>
    </row>
    <row r="16" spans="1:6">
      <c r="A16" s="608" t="s">
        <v>421</v>
      </c>
      <c r="B16" s="609">
        <v>4341665645</v>
      </c>
      <c r="C16" s="609">
        <v>3748352451</v>
      </c>
      <c r="D16" s="137"/>
    </row>
    <row r="17" spans="1:5" ht="12.75" customHeight="1">
      <c r="A17" s="608" t="s">
        <v>711</v>
      </c>
      <c r="B17" s="609">
        <v>-3000520499</v>
      </c>
      <c r="C17" s="609">
        <v>-2435701164</v>
      </c>
      <c r="D17" s="137"/>
    </row>
    <row r="18" spans="1:5">
      <c r="A18" s="608" t="s">
        <v>422</v>
      </c>
      <c r="B18" s="609">
        <v>351811895</v>
      </c>
      <c r="C18" s="609">
        <v>345380986</v>
      </c>
      <c r="D18" s="137"/>
    </row>
    <row r="19" spans="1:5">
      <c r="A19" s="608" t="s">
        <v>712</v>
      </c>
      <c r="B19" s="609">
        <v>-307340132</v>
      </c>
      <c r="C19" s="609">
        <v>-254709369</v>
      </c>
      <c r="D19" s="137"/>
    </row>
    <row r="20" spans="1:5" ht="12.75" customHeight="1">
      <c r="A20" s="608" t="s">
        <v>423</v>
      </c>
      <c r="B20" s="609">
        <v>342316500</v>
      </c>
      <c r="C20" s="609">
        <v>342316500</v>
      </c>
      <c r="D20" s="137"/>
    </row>
    <row r="21" spans="1:5" ht="12" customHeight="1">
      <c r="A21" s="608" t="s">
        <v>691</v>
      </c>
      <c r="B21" s="611">
        <v>-342316500</v>
      </c>
      <c r="C21" s="611">
        <v>-342316500</v>
      </c>
      <c r="D21" s="137"/>
      <c r="E21" s="112"/>
    </row>
    <row r="22" spans="1:5" ht="15.75" customHeight="1">
      <c r="A22" s="612" t="s">
        <v>1</v>
      </c>
      <c r="B22" s="613">
        <f>SUM(B10:B21)</f>
        <v>5597767493</v>
      </c>
      <c r="C22" s="613">
        <f>SUM(C10:C21)</f>
        <v>5452667923</v>
      </c>
      <c r="D22" s="137"/>
      <c r="E22" s="112"/>
    </row>
    <row r="23" spans="1:5">
      <c r="A23" s="608"/>
      <c r="B23" s="609"/>
      <c r="C23" s="609"/>
      <c r="D23" s="137"/>
    </row>
    <row r="24" spans="1:5">
      <c r="A24" s="614" t="s">
        <v>424</v>
      </c>
      <c r="B24" s="609"/>
      <c r="C24" s="609"/>
      <c r="D24" s="137"/>
    </row>
    <row r="25" spans="1:5" hidden="1">
      <c r="A25" s="608" t="s">
        <v>425</v>
      </c>
      <c r="B25" s="615">
        <f>599465-599465</f>
        <v>0</v>
      </c>
      <c r="C25" s="613">
        <v>0</v>
      </c>
      <c r="D25" s="137"/>
    </row>
    <row r="26" spans="1:5">
      <c r="A26" s="608" t="s">
        <v>425</v>
      </c>
      <c r="B26" s="609">
        <v>599465</v>
      </c>
      <c r="C26" s="609">
        <v>599465</v>
      </c>
      <c r="D26" s="137"/>
    </row>
    <row r="27" spans="1:5">
      <c r="A27" s="608" t="s">
        <v>713</v>
      </c>
      <c r="B27" s="609">
        <v>-599465</v>
      </c>
      <c r="C27" s="609">
        <v>-599465</v>
      </c>
      <c r="D27" s="137"/>
    </row>
    <row r="28" spans="1:5" ht="15" customHeight="1">
      <c r="A28" s="527" t="s">
        <v>426</v>
      </c>
      <c r="B28" s="616">
        <v>14269091</v>
      </c>
      <c r="C28" s="609">
        <v>14269091</v>
      </c>
      <c r="D28" s="138"/>
    </row>
    <row r="29" spans="1:5" ht="12.75" customHeight="1">
      <c r="A29" s="527" t="s">
        <v>714</v>
      </c>
      <c r="B29" s="617">
        <v>-14269091</v>
      </c>
      <c r="C29" s="611">
        <v>-13854886</v>
      </c>
      <c r="D29" s="138"/>
    </row>
    <row r="30" spans="1:5">
      <c r="A30" s="139" t="s">
        <v>1</v>
      </c>
      <c r="B30" s="143">
        <f>SUM(B25:B29)</f>
        <v>0</v>
      </c>
      <c r="C30" s="749">
        <f>SUM(C25:C29)</f>
        <v>414205</v>
      </c>
      <c r="D30" s="140"/>
    </row>
    <row r="31" spans="1:5" ht="12.75" thickBot="1">
      <c r="A31" s="144" t="s">
        <v>77</v>
      </c>
      <c r="B31" s="454">
        <f>+B22+B30</f>
        <v>5597767493</v>
      </c>
      <c r="C31" s="745">
        <f>+C22+C30</f>
        <v>5453082128</v>
      </c>
      <c r="E31" s="112"/>
    </row>
    <row r="32" spans="1:5" ht="12.75" thickTop="1">
      <c r="A32" s="139"/>
      <c r="B32" s="337"/>
      <c r="C32" s="744"/>
      <c r="D32" s="140"/>
    </row>
    <row r="33" spans="1:6">
      <c r="A33" s="140"/>
      <c r="D33" s="140"/>
    </row>
    <row r="34" spans="1:6">
      <c r="A34" s="139"/>
      <c r="D34" s="140"/>
      <c r="E34" s="138"/>
      <c r="F34" s="138"/>
    </row>
    <row r="35" spans="1:6">
      <c r="B35" s="112"/>
    </row>
    <row r="36" spans="1:6">
      <c r="A36" s="144"/>
    </row>
    <row r="37" spans="1:6">
      <c r="A37" s="137"/>
      <c r="D37" s="137"/>
    </row>
    <row r="38" spans="1:6">
      <c r="A38" s="139"/>
    </row>
  </sheetData>
  <mergeCells count="1">
    <mergeCell ref="A3:D3"/>
  </mergeCells>
  <hyperlinks>
    <hyperlink ref="B1" location="BG!A1" display="BG" xr:uid="{B7973AD7-80BD-4780-BF69-8D5951F66F13}"/>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7"/>
  <dimension ref="A1:M13"/>
  <sheetViews>
    <sheetView showGridLines="0" workbookViewId="0">
      <selection activeCell="C7" sqref="C7"/>
    </sheetView>
  </sheetViews>
  <sheetFormatPr baseColWidth="10" defaultRowHeight="15"/>
  <cols>
    <col min="1" max="1" width="24.7109375" style="12" customWidth="1"/>
    <col min="2" max="2" width="17.140625" style="12" customWidth="1"/>
    <col min="3" max="3" width="17.28515625" style="12" customWidth="1"/>
    <col min="4" max="13" width="11.42578125" style="12"/>
  </cols>
  <sheetData>
    <row r="1" spans="1:13" ht="15.75" customHeight="1">
      <c r="A1" s="277" t="str">
        <f>Indice!C1</f>
        <v>NICOLAS GONZALEZ ODDONE S.A.E.C.A</v>
      </c>
      <c r="B1" s="349"/>
      <c r="C1" s="919" t="s">
        <v>79</v>
      </c>
      <c r="E1" s="295"/>
    </row>
    <row r="3" spans="1:13" ht="15.75" customHeight="1">
      <c r="A3" s="282" t="s">
        <v>183</v>
      </c>
      <c r="B3" s="296"/>
      <c r="C3" s="296"/>
      <c r="D3" s="296"/>
    </row>
    <row r="4" spans="1:13">
      <c r="A4" s="906" t="s">
        <v>171</v>
      </c>
      <c r="B4" s="1249"/>
      <c r="C4" s="1249"/>
    </row>
    <row r="5" spans="1:13" s="355" customFormat="1" ht="23.25">
      <c r="A5" s="334" t="s">
        <v>613</v>
      </c>
      <c r="B5" s="176"/>
      <c r="C5" s="176"/>
      <c r="D5" s="373"/>
      <c r="E5" s="373"/>
      <c r="F5" s="373"/>
      <c r="G5" s="373"/>
      <c r="H5" s="373"/>
      <c r="I5" s="373"/>
      <c r="J5" s="373"/>
      <c r="K5" s="373"/>
      <c r="L5" s="373"/>
      <c r="M5" s="373"/>
    </row>
    <row r="6" spans="1:13" s="355" customFormat="1">
      <c r="A6" s="111"/>
      <c r="B6" s="176"/>
      <c r="C6" s="176"/>
      <c r="D6" s="373"/>
      <c r="E6" s="373"/>
      <c r="F6" s="373"/>
      <c r="G6" s="373"/>
      <c r="H6" s="373"/>
      <c r="I6" s="373"/>
      <c r="J6" s="373"/>
      <c r="K6" s="373"/>
      <c r="L6" s="373"/>
      <c r="M6" s="373"/>
    </row>
    <row r="7" spans="1:13" ht="12.75" customHeight="1">
      <c r="A7" s="343" t="s">
        <v>78</v>
      </c>
      <c r="B7" s="811">
        <v>44561</v>
      </c>
      <c r="C7" s="811">
        <v>44196</v>
      </c>
      <c r="D7" s="14"/>
    </row>
    <row r="8" spans="1:13">
      <c r="A8" s="138"/>
      <c r="B8" s="138"/>
      <c r="C8" s="138"/>
      <c r="D8" s="15"/>
    </row>
    <row r="9" spans="1:13">
      <c r="A9" s="140"/>
      <c r="B9" s="111"/>
      <c r="C9" s="111"/>
      <c r="D9" s="16"/>
    </row>
    <row r="10" spans="1:13">
      <c r="A10" s="139"/>
      <c r="B10" s="111"/>
      <c r="C10" s="111"/>
      <c r="D10" s="16"/>
    </row>
    <row r="11" spans="1:13">
      <c r="A11" s="144" t="s">
        <v>77</v>
      </c>
      <c r="B11" s="346">
        <f>SUM(B8:B10)</f>
        <v>0</v>
      </c>
      <c r="C11" s="346">
        <f>SUM(C8:C10)</f>
        <v>0</v>
      </c>
    </row>
    <row r="12" spans="1:13">
      <c r="A12" s="17"/>
      <c r="D12" s="16"/>
    </row>
    <row r="13" spans="1:13">
      <c r="A13" s="16"/>
      <c r="D13" s="16"/>
    </row>
  </sheetData>
  <mergeCells count="1">
    <mergeCell ref="B4:C4"/>
  </mergeCells>
  <hyperlinks>
    <hyperlink ref="C1" location="BG!A1" display="BG" xr:uid="{8C63D888-8857-4054-80E4-7CCA64A3A7DD}"/>
  </hyperlinks>
  <pageMargins left="0.7" right="0.7" top="0.75" bottom="0.75" header="0.3" footer="0.3"/>
  <ignoredErrors>
    <ignoredError sqref="B11:C11" formulaRang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D62"/>
  <sheetViews>
    <sheetView showGridLines="0" topLeftCell="A38" workbookViewId="0">
      <selection activeCell="D50" sqref="D50"/>
    </sheetView>
  </sheetViews>
  <sheetFormatPr baseColWidth="10" defaultColWidth="11.42578125" defaultRowHeight="12.75"/>
  <cols>
    <col min="1" max="1" width="23.28515625" style="1" customWidth="1"/>
    <col min="2" max="2" width="10.140625" style="1" bestFit="1" customWidth="1"/>
    <col min="3" max="3" width="61.5703125" style="1" customWidth="1"/>
    <col min="4" max="4" width="14.85546875" style="49" customWidth="1"/>
    <col min="5" max="5" width="49.85546875" style="1" bestFit="1" customWidth="1"/>
    <col min="6" max="6" width="6.7109375" style="1" bestFit="1" customWidth="1"/>
    <col min="7" max="16384" width="11.42578125" style="1"/>
  </cols>
  <sheetData>
    <row r="1" spans="1:4">
      <c r="B1" s="72"/>
      <c r="C1" s="323" t="s">
        <v>324</v>
      </c>
      <c r="D1" s="1"/>
    </row>
    <row r="3" spans="1:4" s="268" customFormat="1" ht="19.5" customHeight="1">
      <c r="A3" s="324"/>
      <c r="B3" s="325" t="s">
        <v>579</v>
      </c>
      <c r="C3" s="654" t="s">
        <v>1045</v>
      </c>
    </row>
    <row r="4" spans="1:4" ht="12.75" hidden="1" customHeight="1">
      <c r="A4" s="6"/>
      <c r="B4" s="6"/>
      <c r="C4" s="6"/>
      <c r="D4" s="53"/>
    </row>
    <row r="5" spans="1:4">
      <c r="A5" s="61"/>
      <c r="C5" s="444"/>
      <c r="D5" s="327"/>
    </row>
    <row r="6" spans="1:4" ht="26.45" customHeight="1">
      <c r="B6" s="358"/>
      <c r="C6" s="443" t="s">
        <v>11</v>
      </c>
      <c r="D6" s="442" t="s">
        <v>229</v>
      </c>
    </row>
    <row r="7" spans="1:4" ht="26.45" customHeight="1">
      <c r="B7" s="379" t="s">
        <v>269</v>
      </c>
      <c r="C7" s="379"/>
      <c r="D7" s="437"/>
    </row>
    <row r="8" spans="1:4" ht="15">
      <c r="A8" s="10"/>
      <c r="B8" s="358"/>
      <c r="C8" s="380" t="s">
        <v>206</v>
      </c>
      <c r="D8" s="438" t="s">
        <v>12</v>
      </c>
    </row>
    <row r="9" spans="1:4" ht="15">
      <c r="A9" s="10"/>
      <c r="B9" s="358"/>
      <c r="C9" s="380" t="s">
        <v>28</v>
      </c>
      <c r="D9" s="439" t="s">
        <v>13</v>
      </c>
    </row>
    <row r="10" spans="1:4" ht="15">
      <c r="A10" s="10"/>
      <c r="B10" s="379" t="s">
        <v>159</v>
      </c>
      <c r="C10" s="380"/>
      <c r="D10" s="438" t="s">
        <v>79</v>
      </c>
    </row>
    <row r="11" spans="1:4">
      <c r="A11" s="10"/>
      <c r="B11" s="358"/>
      <c r="C11" s="358" t="s">
        <v>128</v>
      </c>
      <c r="D11" s="440" t="s">
        <v>14</v>
      </c>
    </row>
    <row r="12" spans="1:4">
      <c r="A12" s="10"/>
      <c r="B12" s="358"/>
      <c r="C12" s="358" t="s">
        <v>68</v>
      </c>
      <c r="D12" s="440" t="s">
        <v>15</v>
      </c>
    </row>
    <row r="13" spans="1:4">
      <c r="A13" s="10"/>
      <c r="B13" s="358"/>
      <c r="C13" s="358" t="s">
        <v>129</v>
      </c>
      <c r="D13" s="440" t="s">
        <v>16</v>
      </c>
    </row>
    <row r="14" spans="1:4">
      <c r="A14" s="10"/>
      <c r="B14" s="358"/>
      <c r="C14" s="358" t="s">
        <v>29</v>
      </c>
      <c r="D14" s="440" t="s">
        <v>17</v>
      </c>
    </row>
    <row r="15" spans="1:4">
      <c r="A15" s="10"/>
      <c r="B15" s="358"/>
      <c r="C15" s="358" t="s">
        <v>130</v>
      </c>
      <c r="D15" s="440" t="s">
        <v>18</v>
      </c>
    </row>
    <row r="16" spans="1:4">
      <c r="A16" s="10"/>
      <c r="B16" s="358"/>
      <c r="C16" s="358" t="s">
        <v>258</v>
      </c>
      <c r="D16" s="440" t="s">
        <v>19</v>
      </c>
    </row>
    <row r="17" spans="1:4">
      <c r="A17" s="10"/>
      <c r="B17" s="358"/>
      <c r="C17" s="358" t="s">
        <v>207</v>
      </c>
      <c r="D17" s="440" t="s">
        <v>20</v>
      </c>
    </row>
    <row r="18" spans="1:4">
      <c r="A18" s="10"/>
      <c r="B18" s="358"/>
      <c r="C18" s="358" t="s">
        <v>134</v>
      </c>
      <c r="D18" s="440" t="s">
        <v>21</v>
      </c>
    </row>
    <row r="19" spans="1:4" ht="15">
      <c r="A19" s="10"/>
      <c r="B19" s="358"/>
      <c r="C19" s="358" t="s">
        <v>75</v>
      </c>
      <c r="D19" s="439" t="s">
        <v>22</v>
      </c>
    </row>
    <row r="20" spans="1:4" ht="15">
      <c r="A20" s="10"/>
      <c r="B20" s="358"/>
      <c r="C20" s="358" t="s">
        <v>78</v>
      </c>
      <c r="D20" s="438" t="s">
        <v>23</v>
      </c>
    </row>
    <row r="21" spans="1:4" s="356" customFormat="1" ht="15">
      <c r="A21" s="10"/>
      <c r="B21" s="358"/>
      <c r="C21" s="358" t="s">
        <v>662</v>
      </c>
      <c r="D21" s="438" t="s">
        <v>663</v>
      </c>
    </row>
    <row r="22" spans="1:4" ht="15">
      <c r="A22" s="10"/>
      <c r="B22" s="358"/>
      <c r="C22" s="358" t="s">
        <v>580</v>
      </c>
      <c r="D22" s="439" t="s">
        <v>24</v>
      </c>
    </row>
    <row r="23" spans="1:4">
      <c r="A23" s="10"/>
      <c r="B23" s="358"/>
      <c r="C23" s="358" t="s">
        <v>70</v>
      </c>
      <c r="D23" s="440" t="s">
        <v>25</v>
      </c>
    </row>
    <row r="24" spans="1:4">
      <c r="A24" s="10"/>
      <c r="B24" s="358"/>
      <c r="C24" s="358" t="s">
        <v>80</v>
      </c>
      <c r="D24" s="440" t="s">
        <v>26</v>
      </c>
    </row>
    <row r="25" spans="1:4">
      <c r="A25" s="10"/>
      <c r="B25" s="358"/>
      <c r="C25" s="358" t="s">
        <v>44</v>
      </c>
      <c r="D25" s="440" t="s">
        <v>27</v>
      </c>
    </row>
    <row r="26" spans="1:4" ht="15">
      <c r="A26" s="10"/>
      <c r="B26" s="358"/>
      <c r="C26" s="358" t="s">
        <v>45</v>
      </c>
      <c r="D26" s="439" t="s">
        <v>208</v>
      </c>
    </row>
    <row r="27" spans="1:4" ht="15">
      <c r="A27" s="10"/>
      <c r="B27" s="358"/>
      <c r="C27" s="358" t="s">
        <v>46</v>
      </c>
      <c r="D27" s="439" t="s">
        <v>209</v>
      </c>
    </row>
    <row r="28" spans="1:4" ht="15">
      <c r="A28" s="10"/>
      <c r="B28" s="358"/>
      <c r="C28" s="358" t="s">
        <v>137</v>
      </c>
      <c r="D28" s="439" t="s">
        <v>210</v>
      </c>
    </row>
    <row r="29" spans="1:4" ht="15">
      <c r="A29" s="10"/>
      <c r="B29" s="358"/>
      <c r="C29" s="358" t="s">
        <v>140</v>
      </c>
      <c r="D29" s="439" t="s">
        <v>211</v>
      </c>
    </row>
    <row r="30" spans="1:4" ht="15">
      <c r="A30" s="10"/>
      <c r="B30" s="358"/>
      <c r="C30" s="358" t="s">
        <v>31</v>
      </c>
      <c r="D30" s="439" t="s">
        <v>213</v>
      </c>
    </row>
    <row r="31" spans="1:4" ht="15">
      <c r="A31" s="10"/>
      <c r="B31" s="358"/>
      <c r="C31" s="358" t="s">
        <v>58</v>
      </c>
      <c r="D31" s="439" t="s">
        <v>213</v>
      </c>
    </row>
    <row r="32" spans="1:4" ht="15">
      <c r="A32" s="10"/>
      <c r="B32" s="358"/>
      <c r="C32" s="358" t="s">
        <v>141</v>
      </c>
      <c r="D32" s="439" t="s">
        <v>213</v>
      </c>
    </row>
    <row r="33" spans="1:4" ht="15">
      <c r="A33" s="10"/>
      <c r="B33" s="358"/>
      <c r="C33" s="358" t="s">
        <v>259</v>
      </c>
      <c r="D33" s="439" t="s">
        <v>213</v>
      </c>
    </row>
    <row r="34" spans="1:4" ht="15">
      <c r="A34" s="10"/>
      <c r="B34" s="358"/>
      <c r="C34" s="358" t="s">
        <v>47</v>
      </c>
      <c r="D34" s="439" t="s">
        <v>214</v>
      </c>
    </row>
    <row r="35" spans="1:4" ht="15">
      <c r="A35" s="10"/>
      <c r="B35" s="358"/>
      <c r="C35" s="358" t="s">
        <v>32</v>
      </c>
      <c r="D35" s="439" t="s">
        <v>215</v>
      </c>
    </row>
    <row r="36" spans="1:4" ht="15">
      <c r="A36" s="10"/>
      <c r="B36" s="358"/>
      <c r="C36" s="358" t="s">
        <v>48</v>
      </c>
      <c r="D36" s="439" t="s">
        <v>216</v>
      </c>
    </row>
    <row r="37" spans="1:4" ht="15">
      <c r="A37" s="10"/>
      <c r="B37" s="379" t="s">
        <v>40</v>
      </c>
      <c r="C37" s="380"/>
      <c r="D37" s="438" t="s">
        <v>84</v>
      </c>
    </row>
    <row r="38" spans="1:4" ht="15">
      <c r="A38" s="10"/>
      <c r="B38" s="358"/>
      <c r="C38" s="358" t="s">
        <v>43</v>
      </c>
      <c r="D38" s="439" t="s">
        <v>217</v>
      </c>
    </row>
    <row r="39" spans="1:4" ht="15">
      <c r="A39" s="10"/>
      <c r="B39" s="358"/>
      <c r="C39" s="358" t="s">
        <v>89</v>
      </c>
      <c r="D39" s="439" t="s">
        <v>218</v>
      </c>
    </row>
    <row r="40" spans="1:4" ht="15">
      <c r="A40" s="10"/>
      <c r="B40" s="358"/>
      <c r="C40" s="358" t="s">
        <v>143</v>
      </c>
      <c r="D40" s="439" t="s">
        <v>219</v>
      </c>
    </row>
    <row r="41" spans="1:4" ht="15">
      <c r="A41" s="10"/>
      <c r="B41" s="358"/>
      <c r="C41" s="358" t="s">
        <v>100</v>
      </c>
      <c r="D41" s="439" t="s">
        <v>219</v>
      </c>
    </row>
    <row r="42" spans="1:4" ht="15">
      <c r="A42" s="10"/>
      <c r="B42" s="358"/>
      <c r="C42" s="358" t="s">
        <v>699</v>
      </c>
      <c r="D42" s="439" t="s">
        <v>220</v>
      </c>
    </row>
    <row r="43" spans="1:4" ht="15">
      <c r="A43" s="10"/>
      <c r="B43" s="358"/>
      <c r="C43" s="358" t="s">
        <v>702</v>
      </c>
      <c r="D43" s="439" t="s">
        <v>221</v>
      </c>
    </row>
    <row r="44" spans="1:4" ht="15">
      <c r="A44" s="10"/>
      <c r="B44" s="358"/>
      <c r="C44" s="358" t="s">
        <v>263</v>
      </c>
      <c r="D44" s="439" t="s">
        <v>221</v>
      </c>
    </row>
    <row r="45" spans="1:4" ht="15">
      <c r="A45" s="10"/>
      <c r="B45" s="358"/>
      <c r="C45" s="358" t="s">
        <v>93</v>
      </c>
      <c r="D45" s="439" t="s">
        <v>222</v>
      </c>
    </row>
    <row r="46" spans="1:4" ht="15">
      <c r="A46" s="10"/>
      <c r="B46" s="358"/>
      <c r="C46" s="358" t="s">
        <v>94</v>
      </c>
      <c r="D46" s="439" t="s">
        <v>223</v>
      </c>
    </row>
    <row r="47" spans="1:4" ht="15">
      <c r="A47" s="10"/>
      <c r="B47" s="358"/>
      <c r="C47" s="358" t="s">
        <v>34</v>
      </c>
      <c r="D47" s="439" t="s">
        <v>224</v>
      </c>
    </row>
    <row r="48" spans="1:4" ht="15">
      <c r="A48" s="10"/>
      <c r="B48" s="358"/>
      <c r="C48" s="358" t="s">
        <v>50</v>
      </c>
      <c r="D48" s="439" t="s">
        <v>225</v>
      </c>
    </row>
    <row r="49" spans="1:4" ht="15">
      <c r="A49" s="10"/>
      <c r="B49" s="358"/>
      <c r="C49" s="358" t="s">
        <v>51</v>
      </c>
      <c r="D49" s="439" t="s">
        <v>226</v>
      </c>
    </row>
    <row r="50" spans="1:4" ht="15">
      <c r="A50" s="10"/>
      <c r="B50" s="358"/>
      <c r="C50" s="358" t="s">
        <v>228</v>
      </c>
      <c r="D50" s="439" t="s">
        <v>227</v>
      </c>
    </row>
    <row r="51" spans="1:4" ht="15">
      <c r="A51" s="10"/>
      <c r="B51" s="358"/>
      <c r="C51" s="358" t="s">
        <v>52</v>
      </c>
      <c r="D51" s="438" t="s">
        <v>227</v>
      </c>
    </row>
    <row r="52" spans="1:4" ht="15">
      <c r="A52" s="10"/>
      <c r="B52" s="379" t="s">
        <v>41</v>
      </c>
      <c r="C52" s="380"/>
      <c r="D52" s="438" t="s">
        <v>39</v>
      </c>
    </row>
    <row r="53" spans="1:4" ht="15">
      <c r="A53" s="10"/>
      <c r="B53" s="379" t="s">
        <v>160</v>
      </c>
      <c r="C53" s="380"/>
      <c r="D53" s="439" t="s">
        <v>161</v>
      </c>
    </row>
    <row r="54" spans="1:4" ht="15">
      <c r="A54" s="10"/>
      <c r="B54" s="379" t="s">
        <v>270</v>
      </c>
      <c r="C54" s="380"/>
      <c r="D54" s="439"/>
    </row>
    <row r="55" spans="1:4" ht="15">
      <c r="A55" s="10"/>
      <c r="B55" s="358"/>
      <c r="C55" s="358" t="s">
        <v>231</v>
      </c>
      <c r="D55" s="438" t="s">
        <v>232</v>
      </c>
    </row>
    <row r="56" spans="1:4" ht="15">
      <c r="A56" s="10"/>
      <c r="B56" s="358"/>
      <c r="C56" s="358" t="s">
        <v>236</v>
      </c>
      <c r="D56" s="438" t="s">
        <v>237</v>
      </c>
    </row>
    <row r="57" spans="1:4" ht="15">
      <c r="A57" s="10"/>
      <c r="B57" s="358"/>
      <c r="C57" s="358" t="s">
        <v>264</v>
      </c>
      <c r="D57" s="438" t="s">
        <v>239</v>
      </c>
    </row>
    <row r="58" spans="1:4" ht="15">
      <c r="A58" s="10"/>
      <c r="B58" s="358"/>
      <c r="C58" s="358" t="s">
        <v>238</v>
      </c>
      <c r="D58" s="438" t="s">
        <v>240</v>
      </c>
    </row>
    <row r="59" spans="1:4" ht="15">
      <c r="A59" s="10"/>
      <c r="B59" s="358"/>
      <c r="C59" s="358" t="s">
        <v>304</v>
      </c>
      <c r="D59" s="441" t="s">
        <v>305</v>
      </c>
    </row>
    <row r="60" spans="1:4" s="5" customFormat="1" ht="21.2" customHeight="1">
      <c r="A60" s="7"/>
      <c r="B60" s="358"/>
      <c r="C60" s="358"/>
      <c r="D60" s="54"/>
    </row>
    <row r="61" spans="1:4">
      <c r="B61" s="5"/>
      <c r="C61" s="5"/>
      <c r="D61" s="10"/>
    </row>
    <row r="62" spans="1:4">
      <c r="B62" s="5"/>
      <c r="C62" s="5"/>
      <c r="D62" s="10"/>
    </row>
  </sheetData>
  <phoneticPr fontId="96" type="noConversion"/>
  <hyperlinks>
    <hyperlink ref="D11" location="'Nota 3'!A1" display="'Nota 3'!A1" xr:uid="{00000000-0004-0000-0100-000000000000}"/>
    <hyperlink ref="D12" location="'Nota 4'!A1" display="'Nota 4'!A1" xr:uid="{00000000-0004-0000-0100-000001000000}"/>
    <hyperlink ref="D13" location="'Nota 5'!A1" display="'Nota 5'!A1" xr:uid="{00000000-0004-0000-0100-000002000000}"/>
    <hyperlink ref="D14" location="'Nota 6'!A1" display="'Nota 6'!A1" xr:uid="{00000000-0004-0000-0100-000003000000}"/>
    <hyperlink ref="D15" location="'Nota 7'!A1" display="'Nota 7'!A1" xr:uid="{00000000-0004-0000-0100-000004000000}"/>
    <hyperlink ref="D17" location="'Nota 9'!A1" display="'Nota 9'!A1" xr:uid="{00000000-0004-0000-0100-000005000000}"/>
    <hyperlink ref="D18" location="'Nota 10'!A1" display="'Nota 10'!A1" xr:uid="{00000000-0004-0000-0100-000006000000}"/>
    <hyperlink ref="D23" location="'Nota 14'!A1" display="'Nota 14'!A1" xr:uid="{00000000-0004-0000-0100-000007000000}"/>
    <hyperlink ref="D24" location="'Nota 15'!A1" display="'Nota 15'!A1" xr:uid="{00000000-0004-0000-0100-000008000000}"/>
    <hyperlink ref="D25" location="'Nota 16'!A1" display="'Nota 16'!A1" xr:uid="{00000000-0004-0000-0100-000009000000}"/>
    <hyperlink ref="D16" location="'Nota 8'!A1" display="'Nota 8'!A1" xr:uid="{00000000-0004-0000-0100-00000A000000}"/>
    <hyperlink ref="D10" location="BG!A1" display="BG" xr:uid="{00000000-0004-0000-0100-00000B000000}"/>
    <hyperlink ref="D37" location="ER!A1" display="ER" xr:uid="{00000000-0004-0000-0100-00000C000000}"/>
    <hyperlink ref="D52" location="EVPN!A1" display="EVPN" xr:uid="{00000000-0004-0000-0100-00000D000000}"/>
    <hyperlink ref="D53" location="EFE!A1" display="EFE" xr:uid="{00000000-0004-0000-0100-00000E000000}"/>
    <hyperlink ref="D19" location="'Nota 11'!A1" display="Nota 11 y 12" xr:uid="{00000000-0004-0000-0100-00000F000000}"/>
    <hyperlink ref="D20" location="'Nota 12'!A1" display="Nota 12" xr:uid="{00000000-0004-0000-0100-000010000000}"/>
    <hyperlink ref="D22" location="'Nota 13'!A1" display="Nota 13'" xr:uid="{00000000-0004-0000-0100-000011000000}"/>
    <hyperlink ref="D26" location="'Nota 17'!A1" display="Nota 17" xr:uid="{00000000-0004-0000-0100-000012000000}"/>
    <hyperlink ref="D27" location="'Nota 18'!A1" display="Nota 18" xr:uid="{00000000-0004-0000-0100-000013000000}"/>
    <hyperlink ref="D28" location="'Nota 19'!A1" display="Nota 19" xr:uid="{00000000-0004-0000-0100-000014000000}"/>
    <hyperlink ref="D29" location="'Nota 20'!A1" display="Nota 20" xr:uid="{00000000-0004-0000-0100-000015000000}"/>
    <hyperlink ref="D30" location="' Nota 21'!A1" display="Nota 21" xr:uid="{00000000-0004-0000-0100-000016000000}"/>
    <hyperlink ref="D31" location="' Nota 21'!A1" display="Nota 21" xr:uid="{00000000-0004-0000-0100-000017000000}"/>
    <hyperlink ref="D32" location="' Nota 21'!A1" display="Nota 21" xr:uid="{00000000-0004-0000-0100-000018000000}"/>
    <hyperlink ref="D33" location="' Nota 21'!A1" display="Nota 21" xr:uid="{00000000-0004-0000-0100-000019000000}"/>
    <hyperlink ref="D34" location="'Nota 22'!A1" display="Nota 22" xr:uid="{00000000-0004-0000-0100-00001A000000}"/>
    <hyperlink ref="D38" location="'Nota 25'!A1" display="Nota 25" xr:uid="{00000000-0004-0000-0100-00001D000000}"/>
    <hyperlink ref="D39" location="'Nota 26'!A1" display="Nota 26" xr:uid="{00000000-0004-0000-0100-00001E000000}"/>
    <hyperlink ref="D40" location="'Nota 27'!A1" display="Nota 27" xr:uid="{00000000-0004-0000-0100-00001F000000}"/>
    <hyperlink ref="D41" location="'Nota 27'!A1" display="N ota 27" xr:uid="{00000000-0004-0000-0100-000020000000}"/>
    <hyperlink ref="D42" location="'Nota 28'!A1" display="Nota 28" xr:uid="{00000000-0004-0000-0100-000021000000}"/>
    <hyperlink ref="D43" location="'Nota 29'!A1" display="Nota 29" xr:uid="{00000000-0004-0000-0100-000022000000}"/>
    <hyperlink ref="D44" location="'Nota 29'!A1" display="Nota 29" xr:uid="{00000000-0004-0000-0100-000023000000}"/>
    <hyperlink ref="D45" location="'Nota 30'!A1" display="Nota 30" xr:uid="{00000000-0004-0000-0100-000024000000}"/>
    <hyperlink ref="D46" location="'Nota 31'!A1" display="Nota 31" xr:uid="{00000000-0004-0000-0100-000025000000}"/>
    <hyperlink ref="D47" location="'Nota 32'!A1" display="Nota 32" xr:uid="{00000000-0004-0000-0100-000026000000}"/>
    <hyperlink ref="D48" location="'Nota 33'!A1" display="Nota 33" xr:uid="{00000000-0004-0000-0100-000027000000}"/>
    <hyperlink ref="D49" location="'Nota 34'!A1" display="Nota 34" xr:uid="{00000000-0004-0000-0100-000028000000}"/>
    <hyperlink ref="D50" location="'Nota 35'!A1" display="Nota 35" xr:uid="{00000000-0004-0000-0100-000029000000}"/>
    <hyperlink ref="D51" location="'Nota 35'!A1" display="Nota 35" xr:uid="{00000000-0004-0000-0100-00002A000000}"/>
    <hyperlink ref="D56" location="'Nota 37'!A1" display="Nota 37" xr:uid="{00000000-0004-0000-0100-00002B000000}"/>
    <hyperlink ref="D55" location="'Nota 36'!A1" display="Nota 36" xr:uid="{00000000-0004-0000-0100-00002C000000}"/>
    <hyperlink ref="D9" location="'Nota 2'!A1" display="Nota 2" xr:uid="{00000000-0004-0000-0100-00002D000000}"/>
    <hyperlink ref="D8" location="Nota1!A1" display="Nota 1" xr:uid="{00000000-0004-0000-0100-00002E000000}"/>
    <hyperlink ref="D59" location="'Nota 40'!A1" display="Nota 40" xr:uid="{00000000-0004-0000-0100-00002F000000}"/>
    <hyperlink ref="D58" location="'Nota 39'!A1" display="Nota 39" xr:uid="{00000000-0004-0000-0100-000030000000}"/>
    <hyperlink ref="D57" location="'Nota 38'!A1" display="Nota 38" xr:uid="{00000000-0004-0000-0100-000031000000}"/>
    <hyperlink ref="D21" location="'Nota 12'!A1" display="Nota 12" xr:uid="{00000000-0004-0000-0100-000032000000}"/>
    <hyperlink ref="D35" location="'Nota 22'!A1" display="Nota 22" xr:uid="{2E24AAC4-433E-4698-8B3A-081C3621C3D3}"/>
    <hyperlink ref="D36" location="'Nota 22'!A1" display="Nota 22" xr:uid="{7A3139B5-3255-4559-A225-7A3703B4EE78}"/>
  </hyperlink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8"/>
  <dimension ref="A1:I65"/>
  <sheetViews>
    <sheetView showGridLines="0" topLeftCell="A13" workbookViewId="0">
      <selection activeCell="B19" sqref="B19"/>
    </sheetView>
  </sheetViews>
  <sheetFormatPr baseColWidth="10" defaultColWidth="11.42578125" defaultRowHeight="12"/>
  <cols>
    <col min="1" max="1" width="42.5703125" style="522" customWidth="1"/>
    <col min="2" max="2" width="21.5703125" style="522" customWidth="1"/>
    <col min="3" max="3" width="19.28515625" style="522" customWidth="1"/>
    <col min="4" max="4" width="11.42578125" style="522"/>
    <col min="5" max="5" width="9.28515625" style="522" customWidth="1"/>
    <col min="6" max="6" width="15.28515625" style="522" customWidth="1"/>
    <col min="7" max="7" width="29.85546875" style="522" customWidth="1"/>
    <col min="8" max="8" width="19.28515625" style="522" customWidth="1"/>
    <col min="9" max="9" width="16.42578125" style="522" customWidth="1"/>
    <col min="10" max="16384" width="11.42578125" style="522"/>
  </cols>
  <sheetData>
    <row r="1" spans="1:9" ht="16.5" customHeight="1">
      <c r="A1" s="277" t="str">
        <f>Indice!C1</f>
        <v>NICOLAS GONZALEZ ODDONE S.A.E.C.A</v>
      </c>
      <c r="B1" s="924" t="s">
        <v>79</v>
      </c>
      <c r="C1" s="294"/>
    </row>
    <row r="3" spans="1:9" ht="14.25" customHeight="1">
      <c r="A3" s="282" t="s">
        <v>592</v>
      </c>
      <c r="B3" s="282"/>
      <c r="C3" s="282"/>
    </row>
    <row r="4" spans="1:9">
      <c r="A4" s="519" t="s">
        <v>171</v>
      </c>
      <c r="B4" s="519"/>
      <c r="H4" s="152"/>
      <c r="I4" s="154"/>
    </row>
    <row r="5" spans="1:9">
      <c r="A5" s="519"/>
      <c r="B5" s="519"/>
      <c r="H5" s="152"/>
      <c r="I5" s="154"/>
    </row>
    <row r="6" spans="1:9">
      <c r="A6" s="522" t="s">
        <v>288</v>
      </c>
      <c r="H6" s="152"/>
      <c r="I6" s="154"/>
    </row>
    <row r="7" spans="1:9">
      <c r="A7" s="129"/>
      <c r="B7" s="519"/>
      <c r="C7" s="519"/>
    </row>
    <row r="8" spans="1:9" ht="12.75">
      <c r="A8" s="618" t="s">
        <v>337</v>
      </c>
      <c r="B8" s="812">
        <v>44561</v>
      </c>
      <c r="C8" s="812">
        <v>44196</v>
      </c>
      <c r="H8" s="152"/>
      <c r="I8" s="154"/>
    </row>
    <row r="9" spans="1:9">
      <c r="A9" s="200" t="s">
        <v>402</v>
      </c>
      <c r="B9" s="619"/>
      <c r="C9" s="619"/>
    </row>
    <row r="10" spans="1:9">
      <c r="A10" s="129" t="s">
        <v>432</v>
      </c>
      <c r="B10" s="619"/>
      <c r="C10" s="619"/>
      <c r="H10" s="152"/>
      <c r="I10" s="154"/>
    </row>
    <row r="11" spans="1:9">
      <c r="B11" s="152"/>
      <c r="C11" s="154"/>
      <c r="G11" s="160"/>
      <c r="H11" s="1061"/>
      <c r="I11" s="1051"/>
    </row>
    <row r="12" spans="1:9" s="903" customFormat="1">
      <c r="A12" s="903" t="s">
        <v>976</v>
      </c>
      <c r="B12" s="152">
        <v>6602158080</v>
      </c>
      <c r="C12" s="1051">
        <v>213041162</v>
      </c>
      <c r="G12" s="160"/>
      <c r="H12" s="1061"/>
      <c r="I12" s="1051"/>
    </row>
    <row r="13" spans="1:9" s="903" customFormat="1">
      <c r="A13" s="903" t="s">
        <v>1059</v>
      </c>
      <c r="B13" s="152">
        <v>905107069</v>
      </c>
      <c r="C13" s="1051">
        <v>0</v>
      </c>
      <c r="G13" s="160"/>
      <c r="H13" s="202"/>
      <c r="I13" s="1051"/>
    </row>
    <row r="14" spans="1:9" s="903" customFormat="1">
      <c r="A14" s="903" t="s">
        <v>977</v>
      </c>
      <c r="B14" s="116">
        <v>0</v>
      </c>
      <c r="C14" s="1051">
        <v>5241176608</v>
      </c>
      <c r="G14" s="160"/>
      <c r="H14" s="1061"/>
      <c r="I14" s="1051"/>
    </row>
    <row r="15" spans="1:9" s="903" customFormat="1">
      <c r="A15" s="903" t="s">
        <v>978</v>
      </c>
      <c r="B15" s="152">
        <v>11841877946</v>
      </c>
      <c r="C15" s="1051">
        <v>3241380300</v>
      </c>
      <c r="G15" s="160"/>
      <c r="H15" s="1061"/>
      <c r="I15" s="1051"/>
    </row>
    <row r="16" spans="1:9" s="903" customFormat="1">
      <c r="A16" s="903" t="s">
        <v>433</v>
      </c>
      <c r="B16" s="152">
        <v>0</v>
      </c>
      <c r="C16" s="1051">
        <v>1520073079</v>
      </c>
      <c r="G16" s="160"/>
      <c r="H16" s="1061"/>
      <c r="I16" s="1062"/>
    </row>
    <row r="17" spans="1:9" s="903" customFormat="1">
      <c r="A17" s="903" t="s">
        <v>979</v>
      </c>
      <c r="B17" s="152">
        <v>0</v>
      </c>
      <c r="C17" s="1052">
        <v>175722638</v>
      </c>
      <c r="G17" s="160"/>
      <c r="H17" s="1061"/>
      <c r="I17" s="1051"/>
    </row>
    <row r="18" spans="1:9" s="903" customFormat="1">
      <c r="A18" s="903" t="s">
        <v>434</v>
      </c>
      <c r="B18" s="152">
        <v>10514125185</v>
      </c>
      <c r="C18" s="1051">
        <v>3071737812</v>
      </c>
      <c r="G18" s="160"/>
      <c r="H18" s="1061"/>
      <c r="I18" s="1051"/>
    </row>
    <row r="19" spans="1:9" s="1012" customFormat="1">
      <c r="A19" s="1012" t="s">
        <v>980</v>
      </c>
      <c r="B19" s="152">
        <v>7960641</v>
      </c>
      <c r="C19" s="1051">
        <v>2739868556</v>
      </c>
      <c r="G19" s="160"/>
      <c r="H19" s="1061"/>
      <c r="I19" s="1051"/>
    </row>
    <row r="20" spans="1:9" s="1012" customFormat="1">
      <c r="A20" s="1012" t="s">
        <v>882</v>
      </c>
      <c r="B20" s="152">
        <v>112062267</v>
      </c>
      <c r="C20" s="1051">
        <v>0</v>
      </c>
      <c r="G20" s="160"/>
      <c r="H20" s="1061"/>
      <c r="I20" s="1051"/>
    </row>
    <row r="21" spans="1:9" s="1082" customFormat="1">
      <c r="A21" s="1082" t="s">
        <v>1015</v>
      </c>
      <c r="B21" s="152">
        <v>619961203</v>
      </c>
      <c r="C21" s="1051">
        <v>0</v>
      </c>
      <c r="G21" s="160"/>
      <c r="H21" s="1061"/>
      <c r="I21" s="1051"/>
    </row>
    <row r="22" spans="1:9" s="1012" customFormat="1">
      <c r="A22" s="1012" t="s">
        <v>981</v>
      </c>
      <c r="B22" s="152">
        <v>0</v>
      </c>
      <c r="C22" s="1051">
        <v>5697124737</v>
      </c>
      <c r="G22" s="160"/>
      <c r="H22" s="1061"/>
      <c r="I22" s="1051"/>
    </row>
    <row r="23" spans="1:9" s="903" customFormat="1">
      <c r="A23" s="903" t="s">
        <v>982</v>
      </c>
      <c r="B23" s="152">
        <v>0</v>
      </c>
      <c r="C23" s="1051">
        <v>0</v>
      </c>
      <c r="G23" s="160"/>
      <c r="H23" s="1061"/>
      <c r="I23" s="1051"/>
    </row>
    <row r="24" spans="1:9" s="903" customFormat="1">
      <c r="A24" s="903" t="s">
        <v>983</v>
      </c>
      <c r="B24" s="152">
        <v>3783999</v>
      </c>
      <c r="C24" s="1051">
        <v>5622326</v>
      </c>
      <c r="G24" s="160"/>
      <c r="H24" s="202"/>
      <c r="I24" s="202"/>
    </row>
    <row r="25" spans="1:9" s="1082" customFormat="1">
      <c r="A25" s="1082" t="s">
        <v>1016</v>
      </c>
      <c r="B25" s="152">
        <v>116785935</v>
      </c>
      <c r="C25" s="1051">
        <v>0</v>
      </c>
      <c r="G25" s="160"/>
      <c r="H25" s="202"/>
      <c r="I25" s="202"/>
    </row>
    <row r="26" spans="1:9" s="903" customFormat="1">
      <c r="A26" s="903" t="s">
        <v>984</v>
      </c>
      <c r="B26" s="116">
        <v>12988867996</v>
      </c>
      <c r="C26" s="197">
        <v>4922830581</v>
      </c>
      <c r="G26" s="160"/>
      <c r="H26" s="202"/>
      <c r="I26" s="202"/>
    </row>
    <row r="27" spans="1:9" s="903" customFormat="1">
      <c r="A27" s="903" t="s">
        <v>826</v>
      </c>
      <c r="B27" s="116">
        <v>33404808</v>
      </c>
      <c r="C27" s="197">
        <v>210682758</v>
      </c>
      <c r="G27" s="160"/>
      <c r="H27" s="202"/>
      <c r="I27" s="202"/>
    </row>
    <row r="28" spans="1:9" s="903" customFormat="1">
      <c r="A28" s="903" t="s">
        <v>985</v>
      </c>
      <c r="B28" s="116">
        <v>161432320</v>
      </c>
      <c r="C28" s="116">
        <v>297069006</v>
      </c>
      <c r="G28" s="160"/>
      <c r="H28" s="1061"/>
      <c r="I28" s="1051"/>
    </row>
    <row r="29" spans="1:9" s="1082" customFormat="1">
      <c r="A29" s="1082" t="s">
        <v>1017</v>
      </c>
      <c r="B29" s="116">
        <v>1614392</v>
      </c>
      <c r="C29" s="116">
        <v>0</v>
      </c>
      <c r="G29" s="160"/>
      <c r="H29" s="1061"/>
      <c r="I29" s="1051"/>
    </row>
    <row r="30" spans="1:9" s="1082" customFormat="1">
      <c r="A30" s="1082" t="s">
        <v>1060</v>
      </c>
      <c r="B30" s="116">
        <v>425989166</v>
      </c>
      <c r="C30" s="116">
        <v>0</v>
      </c>
      <c r="G30" s="160"/>
      <c r="H30" s="1061"/>
      <c r="I30" s="1051"/>
    </row>
    <row r="31" spans="1:9" s="1135" customFormat="1">
      <c r="A31" s="1135" t="s">
        <v>1061</v>
      </c>
      <c r="B31" s="116">
        <v>12492195431</v>
      </c>
      <c r="C31" s="116">
        <v>0</v>
      </c>
      <c r="G31" s="160"/>
      <c r="H31" s="1061"/>
      <c r="I31" s="1051"/>
    </row>
    <row r="32" spans="1:9" s="903" customFormat="1">
      <c r="A32" s="903" t="s">
        <v>750</v>
      </c>
      <c r="B32" s="152">
        <v>0</v>
      </c>
      <c r="C32" s="154">
        <v>689170521</v>
      </c>
      <c r="G32" s="160"/>
      <c r="H32" s="1061"/>
      <c r="I32" s="1051"/>
    </row>
    <row r="33" spans="1:9" s="903" customFormat="1">
      <c r="A33" s="1058" t="s">
        <v>825</v>
      </c>
      <c r="B33" s="152">
        <v>0</v>
      </c>
      <c r="C33" s="154">
        <v>153508446</v>
      </c>
      <c r="G33" s="160"/>
      <c r="H33" s="1061"/>
      <c r="I33" s="1051"/>
    </row>
    <row r="34" spans="1:9" s="903" customFormat="1">
      <c r="A34" s="1058" t="s">
        <v>769</v>
      </c>
      <c r="B34" s="620">
        <v>0</v>
      </c>
      <c r="C34" s="554">
        <v>1928151608</v>
      </c>
      <c r="G34" s="160"/>
      <c r="H34" s="1061"/>
      <c r="I34" s="1051"/>
    </row>
    <row r="35" spans="1:9" s="903" customFormat="1">
      <c r="A35" s="129" t="s">
        <v>1</v>
      </c>
      <c r="B35" s="155">
        <f>SUM(B12:B34)</f>
        <v>56827326438</v>
      </c>
      <c r="C35" s="132">
        <f>SUM(C12:C34)</f>
        <v>30107160138</v>
      </c>
      <c r="F35" s="116"/>
      <c r="G35" s="160"/>
      <c r="H35" s="160"/>
      <c r="I35" s="202"/>
    </row>
    <row r="36" spans="1:9" s="903" customFormat="1">
      <c r="A36" s="129"/>
      <c r="B36" s="155"/>
      <c r="C36" s="132"/>
      <c r="F36" s="116"/>
    </row>
    <row r="37" spans="1:9">
      <c r="A37" s="129" t="s">
        <v>435</v>
      </c>
      <c r="B37" s="152"/>
      <c r="C37" s="154"/>
    </row>
    <row r="38" spans="1:9">
      <c r="A38" s="522" t="s">
        <v>436</v>
      </c>
      <c r="B38" s="620">
        <v>21622557</v>
      </c>
      <c r="C38" s="554">
        <v>17861902</v>
      </c>
    </row>
    <row r="39" spans="1:9">
      <c r="A39" s="129" t="s">
        <v>9</v>
      </c>
      <c r="B39" s="155">
        <f>SUM(B38)</f>
        <v>21622557</v>
      </c>
      <c r="C39" s="132">
        <f>SUM(C38)</f>
        <v>17861902</v>
      </c>
    </row>
    <row r="40" spans="1:9" s="1082" customFormat="1">
      <c r="A40" s="129"/>
      <c r="B40" s="155"/>
      <c r="C40" s="132"/>
    </row>
    <row r="41" spans="1:9" ht="12.75" thickBot="1">
      <c r="A41" s="117" t="s">
        <v>430</v>
      </c>
      <c r="B41" s="156">
        <f>+B35+B39</f>
        <v>56848948995</v>
      </c>
      <c r="C41" s="133">
        <f>+C35+C39</f>
        <v>30125022040</v>
      </c>
      <c r="F41" s="116"/>
    </row>
    <row r="42" spans="1:9" ht="12.75" thickTop="1">
      <c r="A42" s="117"/>
      <c r="B42" s="157"/>
      <c r="C42" s="154"/>
    </row>
    <row r="43" spans="1:9">
      <c r="B43" s="116"/>
      <c r="C43" s="131"/>
    </row>
    <row r="44" spans="1:9">
      <c r="C44" s="124"/>
    </row>
    <row r="45" spans="1:9">
      <c r="A45" s="129"/>
      <c r="B45" s="112"/>
      <c r="C45" s="621"/>
    </row>
    <row r="46" spans="1:9">
      <c r="B46" s="622"/>
      <c r="C46" s="623"/>
    </row>
    <row r="47" spans="1:9">
      <c r="A47" s="903"/>
      <c r="B47" s="152"/>
      <c r="C47" s="154"/>
    </row>
    <row r="48" spans="1:9">
      <c r="A48" s="903"/>
      <c r="B48" s="152"/>
      <c r="C48" s="154"/>
    </row>
    <row r="49" spans="1:9">
      <c r="A49" s="903"/>
      <c r="B49" s="116"/>
      <c r="C49" s="154"/>
    </row>
    <row r="50" spans="1:9">
      <c r="A50" s="903"/>
      <c r="B50" s="152"/>
      <c r="C50" s="154"/>
    </row>
    <row r="51" spans="1:9">
      <c r="A51" s="903"/>
      <c r="B51" s="152"/>
      <c r="C51" s="154"/>
    </row>
    <row r="52" spans="1:9">
      <c r="A52" s="903"/>
      <c r="B52" s="152"/>
      <c r="C52" s="153"/>
    </row>
    <row r="53" spans="1:9">
      <c r="A53" s="903"/>
      <c r="B53" s="152"/>
      <c r="C53" s="154"/>
    </row>
    <row r="54" spans="1:9">
      <c r="A54" s="903"/>
      <c r="B54" s="152"/>
      <c r="C54" s="154"/>
    </row>
    <row r="55" spans="1:9">
      <c r="A55" s="903"/>
      <c r="B55" s="152"/>
      <c r="C55" s="154"/>
    </row>
    <row r="56" spans="1:9" s="903" customFormat="1">
      <c r="B56" s="116"/>
      <c r="C56" s="116"/>
    </row>
    <row r="57" spans="1:9" s="903" customFormat="1">
      <c r="B57" s="152"/>
      <c r="C57" s="154"/>
      <c r="H57" s="152"/>
      <c r="I57" s="154"/>
    </row>
    <row r="58" spans="1:9" s="903" customFormat="1">
      <c r="B58" s="152"/>
      <c r="C58" s="154"/>
    </row>
    <row r="59" spans="1:9" s="903" customFormat="1">
      <c r="B59" s="152"/>
      <c r="C59" s="154"/>
      <c r="H59" s="152"/>
      <c r="I59" s="154"/>
    </row>
    <row r="60" spans="1:9" s="903" customFormat="1">
      <c r="B60" s="116"/>
      <c r="C60" s="116"/>
    </row>
    <row r="61" spans="1:9" s="903" customFormat="1">
      <c r="B61" s="116"/>
      <c r="C61" s="116"/>
    </row>
    <row r="62" spans="1:9" s="903" customFormat="1">
      <c r="B62" s="152"/>
      <c r="C62" s="154"/>
      <c r="H62" s="152"/>
      <c r="I62" s="154"/>
    </row>
    <row r="63" spans="1:9" s="903" customFormat="1">
      <c r="B63" s="152"/>
      <c r="C63" s="154"/>
      <c r="H63" s="152"/>
      <c r="I63" s="154"/>
    </row>
    <row r="64" spans="1:9" s="903" customFormat="1">
      <c r="B64" s="152"/>
      <c r="C64" s="154"/>
    </row>
    <row r="65" spans="2:3" s="903" customFormat="1">
      <c r="B65" s="152"/>
      <c r="C65" s="126"/>
    </row>
  </sheetData>
  <hyperlinks>
    <hyperlink ref="B1" location="BG!A1" display="BG" xr:uid="{1A05AE50-E94B-4931-8FA2-1B0BA561AF73}"/>
  </hyperlinks>
  <printOptions horizontalCentered="1"/>
  <pageMargins left="0.70866141732283472" right="0.70866141732283472" top="0.74803149606299213" bottom="0.74803149606299213" header="0.31496062992125984" footer="0.31496062992125984"/>
  <pageSetup paperSize="5" scale="75" fitToWidth="2" fitToHeight="2"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N590"/>
  <sheetViews>
    <sheetView showGridLines="0" topLeftCell="A7" zoomScaleNormal="100" workbookViewId="0">
      <selection activeCell="F31" sqref="F31"/>
    </sheetView>
  </sheetViews>
  <sheetFormatPr baseColWidth="10" defaultColWidth="11.42578125" defaultRowHeight="12"/>
  <cols>
    <col min="1" max="1" width="43.28515625" style="522" customWidth="1"/>
    <col min="2" max="2" width="17.85546875" style="904" customWidth="1"/>
    <col min="3" max="3" width="10.140625" style="522" customWidth="1"/>
    <col min="4" max="4" width="13.42578125" style="522" customWidth="1"/>
    <col min="5" max="5" width="15.7109375" style="522" customWidth="1"/>
    <col min="6" max="6" width="14.140625" style="522" customWidth="1"/>
    <col min="7" max="7" width="2.7109375" style="522" customWidth="1"/>
    <col min="8" max="8" width="19" style="522" customWidth="1"/>
    <col min="9" max="9" width="9" style="904" customWidth="1"/>
    <col min="10" max="10" width="14.85546875" style="522" customWidth="1"/>
    <col min="11" max="11" width="20.42578125" style="522" bestFit="1" customWidth="1"/>
    <col min="12" max="12" width="14.7109375" style="522" customWidth="1"/>
    <col min="13" max="13" width="11.42578125" style="522"/>
    <col min="14" max="14" width="14.28515625" style="522" bestFit="1" customWidth="1"/>
    <col min="15" max="16384" width="11.42578125" style="522"/>
  </cols>
  <sheetData>
    <row r="1" spans="1:12" ht="17.25" customHeight="1">
      <c r="A1" s="277" t="str">
        <f>Indice!C1</f>
        <v>NICOLAS GONZALEZ ODDONE S.A.E.C.A</v>
      </c>
      <c r="B1" s="317" t="s">
        <v>79</v>
      </c>
      <c r="C1" s="290"/>
      <c r="E1" s="166"/>
      <c r="L1" s="166"/>
    </row>
    <row r="2" spans="1:12" ht="15" customHeight="1"/>
    <row r="3" spans="1:12" ht="15.75" customHeight="1">
      <c r="A3" s="282" t="s">
        <v>493</v>
      </c>
      <c r="B3" s="494"/>
      <c r="C3" s="282"/>
      <c r="D3" s="282"/>
      <c r="E3" s="282"/>
      <c r="F3" s="282"/>
      <c r="G3" s="407"/>
      <c r="H3" s="282"/>
      <c r="I3" s="494"/>
      <c r="J3" s="282"/>
      <c r="K3" s="282"/>
      <c r="L3" s="282"/>
    </row>
    <row r="4" spans="1:12" ht="15" customHeight="1">
      <c r="A4" s="519" t="s">
        <v>171</v>
      </c>
    </row>
    <row r="5" spans="1:12" ht="15" customHeight="1">
      <c r="A5" s="117"/>
    </row>
    <row r="6" spans="1:12" ht="15" customHeight="1">
      <c r="A6" s="522" t="s">
        <v>489</v>
      </c>
    </row>
    <row r="7" spans="1:12" ht="15" customHeight="1"/>
    <row r="8" spans="1:12" ht="15" customHeight="1">
      <c r="A8" s="129" t="s">
        <v>468</v>
      </c>
      <c r="C8" s="519"/>
      <c r="D8" s="519"/>
      <c r="E8" s="519"/>
      <c r="I8" s="905"/>
      <c r="J8" s="519"/>
      <c r="K8" s="519"/>
      <c r="L8" s="519"/>
    </row>
    <row r="9" spans="1:12" ht="15" customHeight="1">
      <c r="A9" s="167" t="s">
        <v>464</v>
      </c>
      <c r="C9" s="519"/>
      <c r="D9" s="519"/>
      <c r="E9" s="519"/>
      <c r="I9" s="905"/>
      <c r="J9" s="519"/>
      <c r="K9" s="519"/>
      <c r="L9" s="519"/>
    </row>
    <row r="10" spans="1:12" ht="15" customHeight="1">
      <c r="A10" s="120"/>
      <c r="B10" s="915"/>
      <c r="C10" s="915"/>
      <c r="D10" s="813">
        <v>44561</v>
      </c>
      <c r="E10" s="292"/>
      <c r="F10" s="292"/>
      <c r="G10" s="624"/>
      <c r="H10" s="277"/>
      <c r="I10" s="915"/>
      <c r="J10" s="804">
        <v>44196</v>
      </c>
      <c r="K10" s="277"/>
      <c r="L10" s="277"/>
    </row>
    <row r="11" spans="1:12" ht="15" customHeight="1">
      <c r="A11" s="625" t="s">
        <v>337</v>
      </c>
      <c r="B11" s="633" t="s">
        <v>72</v>
      </c>
      <c r="C11" s="631" t="s">
        <v>883</v>
      </c>
      <c r="D11" s="627" t="s">
        <v>185</v>
      </c>
      <c r="E11" s="628" t="s">
        <v>33</v>
      </c>
      <c r="F11" s="626" t="s">
        <v>74</v>
      </c>
      <c r="G11" s="629"/>
      <c r="H11" s="630" t="s">
        <v>72</v>
      </c>
      <c r="I11" s="631" t="s">
        <v>884</v>
      </c>
      <c r="J11" s="631" t="s">
        <v>185</v>
      </c>
      <c r="K11" s="632" t="s">
        <v>290</v>
      </c>
      <c r="L11" s="633" t="s">
        <v>74</v>
      </c>
    </row>
    <row r="12" spans="1:12" ht="15" customHeight="1">
      <c r="A12" s="522" t="s">
        <v>320</v>
      </c>
      <c r="B12" s="904" t="s">
        <v>465</v>
      </c>
      <c r="C12" s="904" t="s">
        <v>271</v>
      </c>
      <c r="D12" s="130" t="str">
        <f>IFERROR(VLOOKUP(C12,'[1]Base de Monedas'!A:B,2,0),"")</f>
        <v>Dólar estadounidense</v>
      </c>
      <c r="E12" s="131">
        <v>57969619308</v>
      </c>
      <c r="F12" s="130" t="s">
        <v>467</v>
      </c>
      <c r="H12" s="522" t="s">
        <v>465</v>
      </c>
      <c r="I12" s="904" t="s">
        <v>271</v>
      </c>
      <c r="J12" s="522" t="str">
        <f>IFERROR(VLOOKUP(I12,'[1]Base de Monedas'!A:B,2,0),"")</f>
        <v>Dólar estadounidense</v>
      </c>
      <c r="K12" s="116">
        <v>74298686264</v>
      </c>
      <c r="L12" s="130" t="s">
        <v>467</v>
      </c>
    </row>
    <row r="13" spans="1:12" ht="15" customHeight="1">
      <c r="A13" s="522" t="s">
        <v>321</v>
      </c>
      <c r="B13" s="904" t="s">
        <v>465</v>
      </c>
      <c r="C13" s="904" t="s">
        <v>271</v>
      </c>
      <c r="D13" s="130" t="str">
        <f>IFERROR(VLOOKUP(C13,'[1]Base de Monedas'!A:B,2,0),"")</f>
        <v>Dólar estadounidense</v>
      </c>
      <c r="E13" s="131">
        <v>54588144236</v>
      </c>
      <c r="F13" s="130" t="s">
        <v>466</v>
      </c>
      <c r="H13" s="522" t="s">
        <v>465</v>
      </c>
      <c r="I13" s="904" t="s">
        <v>271</v>
      </c>
      <c r="J13" s="522" t="str">
        <f>IFERROR(VLOOKUP(I13,'[1]Base de Monedas'!A:B,2,0),"")</f>
        <v>Dólar estadounidense</v>
      </c>
      <c r="K13" s="116">
        <v>61533481518</v>
      </c>
      <c r="L13" s="130" t="s">
        <v>467</v>
      </c>
    </row>
    <row r="14" spans="1:12" ht="15" customHeight="1">
      <c r="A14" s="522" t="s">
        <v>770</v>
      </c>
      <c r="B14" s="904" t="s">
        <v>465</v>
      </c>
      <c r="C14" s="904" t="s">
        <v>271</v>
      </c>
      <c r="D14" s="130" t="str">
        <f>IFERROR(VLOOKUP(C14,'[1]Base de Monedas'!A:B,2,0),"")</f>
        <v>Dólar estadounidense</v>
      </c>
      <c r="E14" s="566">
        <v>46212818409</v>
      </c>
      <c r="F14" s="634" t="s">
        <v>467</v>
      </c>
      <c r="H14" s="635" t="s">
        <v>465</v>
      </c>
      <c r="I14" s="640" t="s">
        <v>271</v>
      </c>
      <c r="J14" s="635" t="str">
        <f>IFERROR(VLOOKUP(I14,'[1]Base de Monedas'!A:B,2,0),"")</f>
        <v>Dólar estadounidense</v>
      </c>
      <c r="K14" s="636">
        <v>7025523576</v>
      </c>
      <c r="L14" s="130" t="s">
        <v>467</v>
      </c>
    </row>
    <row r="15" spans="1:12" ht="15" customHeight="1">
      <c r="A15" s="129" t="s">
        <v>9</v>
      </c>
      <c r="B15" s="638"/>
      <c r="C15" s="638"/>
      <c r="D15" s="637" t="str">
        <f>IFERROR(VLOOKUP(C15,'[1]Base de Monedas'!A:B,2,0),"")</f>
        <v/>
      </c>
      <c r="E15" s="169">
        <f>SUM(E12:E14)</f>
        <v>158770581953</v>
      </c>
      <c r="J15" s="522" t="str">
        <f>IFERROR(VLOOKUP(I15,'[1]Base de Monedas'!A:B,2,0),"")</f>
        <v/>
      </c>
      <c r="K15" s="169">
        <f>SUM(K12:K14)</f>
        <v>142857691358</v>
      </c>
    </row>
    <row r="16" spans="1:12" ht="15" customHeight="1">
      <c r="A16" s="171"/>
      <c r="C16" s="525"/>
      <c r="D16" s="522" t="str">
        <f>IFERROR(VLOOKUP(C16,'[1]Base de Monedas'!A:B,2,0),"")</f>
        <v/>
      </c>
      <c r="E16" s="116"/>
      <c r="J16" s="522" t="str">
        <f>IFERROR(VLOOKUP(I16,'[1]Base de Monedas'!A:B,2,0),"")</f>
        <v/>
      </c>
      <c r="K16" s="116"/>
    </row>
    <row r="17" spans="1:14" ht="15" customHeight="1">
      <c r="A17" s="639" t="s">
        <v>469</v>
      </c>
      <c r="B17" s="827"/>
      <c r="C17" s="827"/>
      <c r="D17" s="170" t="str">
        <f>IFERROR(VLOOKUP(C17,'[1]Base de Monedas'!A:B,2,0),"")</f>
        <v/>
      </c>
      <c r="E17" s="781"/>
      <c r="F17" s="170"/>
      <c r="J17" s="522" t="str">
        <f>IFERROR(VLOOKUP(I17,'[1]Base de Monedas'!A:B,2,0),"")</f>
        <v/>
      </c>
    </row>
    <row r="18" spans="1:14" ht="15" customHeight="1">
      <c r="A18" s="522" t="s">
        <v>1081</v>
      </c>
      <c r="B18" s="925">
        <v>44878</v>
      </c>
      <c r="C18" s="827" t="s">
        <v>272</v>
      </c>
      <c r="D18" s="828" t="s">
        <v>717</v>
      </c>
      <c r="E18" s="780">
        <v>13740000000</v>
      </c>
      <c r="F18" s="829" t="s">
        <v>467</v>
      </c>
      <c r="H18" s="872">
        <v>44525</v>
      </c>
      <c r="I18" s="827" t="s">
        <v>272</v>
      </c>
      <c r="J18" s="828" t="s">
        <v>717</v>
      </c>
      <c r="K18" s="780">
        <v>14000000000</v>
      </c>
      <c r="L18" s="829" t="s">
        <v>467</v>
      </c>
    </row>
    <row r="19" spans="1:14" s="1168" customFormat="1" ht="15" customHeight="1">
      <c r="A19" s="1168" t="s">
        <v>1081</v>
      </c>
      <c r="B19" s="925">
        <v>44890</v>
      </c>
      <c r="C19" s="827" t="s">
        <v>272</v>
      </c>
      <c r="D19" s="170" t="s">
        <v>717</v>
      </c>
      <c r="E19" s="780">
        <v>53000000000</v>
      </c>
      <c r="F19" s="829" t="s">
        <v>467</v>
      </c>
      <c r="H19" s="872"/>
      <c r="I19" s="827"/>
      <c r="J19" s="828"/>
      <c r="K19" s="780"/>
      <c r="L19" s="829"/>
    </row>
    <row r="20" spans="1:14" s="824" customFormat="1" ht="15" customHeight="1">
      <c r="A20" s="824" t="s">
        <v>771</v>
      </c>
      <c r="B20" s="925"/>
      <c r="C20" s="827" t="s">
        <v>272</v>
      </c>
      <c r="D20" s="170" t="s">
        <v>717</v>
      </c>
      <c r="E20" s="781">
        <v>0</v>
      </c>
      <c r="F20" s="829" t="s">
        <v>466</v>
      </c>
      <c r="H20" s="872">
        <v>44518</v>
      </c>
      <c r="I20" s="827" t="s">
        <v>272</v>
      </c>
      <c r="J20" s="170" t="s">
        <v>717</v>
      </c>
      <c r="K20" s="780">
        <v>13740000000</v>
      </c>
      <c r="L20" s="829" t="s">
        <v>467</v>
      </c>
    </row>
    <row r="21" spans="1:14" ht="15" customHeight="1">
      <c r="A21" s="522" t="s">
        <v>772</v>
      </c>
      <c r="B21" s="926"/>
      <c r="C21" s="640" t="s">
        <v>272</v>
      </c>
      <c r="D21" s="635" t="s">
        <v>717</v>
      </c>
      <c r="E21" s="636">
        <v>0</v>
      </c>
      <c r="F21" s="634" t="s">
        <v>466</v>
      </c>
      <c r="H21" s="873">
        <v>44530</v>
      </c>
      <c r="I21" s="640" t="s">
        <v>272</v>
      </c>
      <c r="J21" s="635" t="s">
        <v>717</v>
      </c>
      <c r="K21" s="566">
        <v>53000000000</v>
      </c>
      <c r="L21" s="829" t="s">
        <v>467</v>
      </c>
    </row>
    <row r="22" spans="1:14" ht="15" customHeight="1">
      <c r="A22" s="129" t="s">
        <v>1</v>
      </c>
      <c r="C22" s="525"/>
      <c r="E22" s="169">
        <f>SUM(E18:E21)</f>
        <v>66740000000</v>
      </c>
      <c r="J22" s="522" t="str">
        <f>IFERROR(VLOOKUP(I22,'[1]Base de Monedas'!G:H,2,0),"")</f>
        <v/>
      </c>
      <c r="K22" s="169">
        <f>SUM(K18:K21)</f>
        <v>80740000000</v>
      </c>
    </row>
    <row r="23" spans="1:14" ht="15" customHeight="1">
      <c r="A23" s="129"/>
      <c r="C23" s="525"/>
      <c r="E23" s="169"/>
    </row>
    <row r="24" spans="1:14" ht="15" customHeight="1">
      <c r="A24" s="129" t="s">
        <v>289</v>
      </c>
      <c r="C24" s="525"/>
      <c r="E24" s="169"/>
    </row>
    <row r="25" spans="1:14" ht="15" customHeight="1">
      <c r="A25" s="522" t="s">
        <v>715</v>
      </c>
      <c r="B25" s="904" t="s">
        <v>1082</v>
      </c>
      <c r="C25" s="525" t="s">
        <v>272</v>
      </c>
      <c r="D25" s="522" t="s">
        <v>717</v>
      </c>
      <c r="E25" s="116">
        <v>1991229041</v>
      </c>
      <c r="F25" s="525"/>
      <c r="H25" s="525" t="s">
        <v>367</v>
      </c>
      <c r="I25" s="904" t="s">
        <v>272</v>
      </c>
      <c r="J25" s="522" t="s">
        <v>717</v>
      </c>
      <c r="K25" s="116">
        <v>3016479452</v>
      </c>
      <c r="L25" s="525" t="s">
        <v>367</v>
      </c>
    </row>
    <row r="26" spans="1:14" ht="15" customHeight="1">
      <c r="A26" s="522" t="s">
        <v>716</v>
      </c>
      <c r="B26" s="640" t="s">
        <v>1082</v>
      </c>
      <c r="C26" s="640" t="s">
        <v>272</v>
      </c>
      <c r="D26" s="635" t="s">
        <v>717</v>
      </c>
      <c r="E26" s="636">
        <v>-1970288055</v>
      </c>
      <c r="F26" s="640"/>
      <c r="H26" s="640" t="s">
        <v>367</v>
      </c>
      <c r="I26" s="640" t="s">
        <v>272</v>
      </c>
      <c r="J26" s="635" t="s">
        <v>717</v>
      </c>
      <c r="K26" s="636">
        <v>-2928806163</v>
      </c>
      <c r="L26" s="640" t="s">
        <v>367</v>
      </c>
      <c r="N26" s="116"/>
    </row>
    <row r="27" spans="1:14" ht="15" customHeight="1">
      <c r="A27" s="129" t="s">
        <v>1</v>
      </c>
      <c r="C27" s="525"/>
      <c r="E27" s="169">
        <f>SUM(E25:E26)</f>
        <v>20940986</v>
      </c>
      <c r="K27" s="169">
        <f>SUM(K25:K26)</f>
        <v>87673289</v>
      </c>
    </row>
    <row r="28" spans="1:14" ht="15" customHeight="1" thickBot="1">
      <c r="A28" s="129" t="s">
        <v>470</v>
      </c>
      <c r="B28" s="174"/>
      <c r="C28" s="174"/>
      <c r="D28" s="173" t="str">
        <f>IFERROR(VLOOKUP(C28,'[1]Base de Monedas'!A:B,2,0),"")</f>
        <v/>
      </c>
      <c r="E28" s="175">
        <f>+E15+E22+E27</f>
        <v>225531522939</v>
      </c>
      <c r="F28" s="173"/>
      <c r="H28" s="173"/>
      <c r="I28" s="174"/>
      <c r="J28" s="173"/>
      <c r="K28" s="175">
        <f>+K15+K22+K27</f>
        <v>223685364647</v>
      </c>
      <c r="L28" s="173"/>
    </row>
    <row r="29" spans="1:14" ht="15" customHeight="1" thickTop="1">
      <c r="A29" s="129"/>
      <c r="E29" s="116"/>
    </row>
    <row r="30" spans="1:14" ht="15" customHeight="1">
      <c r="E30" s="116"/>
      <c r="F30" s="116"/>
    </row>
    <row r="31" spans="1:14" ht="15" customHeight="1">
      <c r="E31" s="197"/>
      <c r="L31" s="116"/>
    </row>
    <row r="32" spans="1:14" ht="15" customHeight="1"/>
    <row r="33" spans="5:5" ht="15" customHeight="1">
      <c r="E33" s="116"/>
    </row>
    <row r="34" spans="5:5" ht="15" customHeight="1">
      <c r="E34" s="116"/>
    </row>
    <row r="35" spans="5:5" ht="15" customHeight="1"/>
    <row r="36" spans="5:5" ht="15" customHeight="1"/>
    <row r="37" spans="5:5" ht="15" customHeight="1"/>
    <row r="38" spans="5:5" ht="15" customHeight="1"/>
    <row r="39" spans="5:5" ht="15" customHeight="1"/>
    <row r="40" spans="5:5" ht="15" customHeight="1"/>
    <row r="41" spans="5:5" ht="15" customHeight="1"/>
    <row r="42" spans="5:5" ht="15" customHeight="1"/>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sheetData>
  <hyperlinks>
    <hyperlink ref="B1" location="BG!A1" display="BG" xr:uid="{62B5F39B-5A05-4B6D-AD85-63FFCE82CC0E}"/>
  </hyperlinks>
  <printOptions horizontalCentered="1"/>
  <pageMargins left="0.70866141732283472" right="0.70866141732283472" top="0.74803149606299213" bottom="0.74803149606299213" header="0.31496062992125984" footer="0.31496062992125984"/>
  <pageSetup paperSize="5"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'U:\PARA C.N.V\2020\JUNIO\[Estados Financieros NGO SAECA al 30 de JUNIO de 2020.xlsm]Base de Monedas'!#REF!</xm:f>
          </x14:formula1>
          <xm:sqref>I12:I27 C12:C28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0"/>
  <dimension ref="A1:AH16"/>
  <sheetViews>
    <sheetView showGridLines="0" workbookViewId="0">
      <selection activeCell="A12" sqref="A12"/>
    </sheetView>
  </sheetViews>
  <sheetFormatPr baseColWidth="10" defaultRowHeight="15"/>
  <cols>
    <col min="1" max="1" width="44.7109375" style="12" customWidth="1"/>
    <col min="2" max="2" width="14" style="12" customWidth="1"/>
    <col min="3" max="3" width="13" style="12" customWidth="1"/>
    <col min="4" max="34" width="11.42578125" style="12"/>
  </cols>
  <sheetData>
    <row r="1" spans="1:34" ht="16.5" customHeight="1">
      <c r="A1" s="277" t="str">
        <f>Indice!C1</f>
        <v>NICOLAS GONZALEZ ODDONE S.A.E.C.A</v>
      </c>
      <c r="B1" s="920" t="s">
        <v>79</v>
      </c>
      <c r="C1" s="288"/>
      <c r="D1" s="19"/>
    </row>
    <row r="3" spans="1:34">
      <c r="A3" s="282" t="s">
        <v>186</v>
      </c>
      <c r="B3" s="296"/>
      <c r="C3" s="296"/>
      <c r="D3" s="296"/>
      <c r="T3"/>
      <c r="U3"/>
      <c r="V3"/>
      <c r="W3"/>
      <c r="X3"/>
      <c r="Y3"/>
      <c r="Z3"/>
      <c r="AA3"/>
      <c r="AB3"/>
      <c r="AC3"/>
      <c r="AD3"/>
      <c r="AE3"/>
      <c r="AF3"/>
      <c r="AG3"/>
      <c r="AH3"/>
    </row>
    <row r="4" spans="1:34">
      <c r="A4" s="1249" t="s">
        <v>171</v>
      </c>
      <c r="B4" s="1249"/>
    </row>
    <row r="5" spans="1:34" ht="23.25">
      <c r="A5" s="334" t="s">
        <v>613</v>
      </c>
      <c r="B5" s="1261"/>
      <c r="C5" s="1261"/>
    </row>
    <row r="6" spans="1:34" ht="12" customHeight="1">
      <c r="A6" s="343" t="s">
        <v>80</v>
      </c>
      <c r="B6" s="814">
        <v>44561</v>
      </c>
      <c r="C6" s="814">
        <v>44196</v>
      </c>
      <c r="D6" s="14"/>
      <c r="T6"/>
      <c r="U6"/>
      <c r="V6"/>
      <c r="W6"/>
      <c r="X6"/>
      <c r="Y6"/>
      <c r="Z6"/>
      <c r="AA6"/>
      <c r="AB6"/>
      <c r="AC6"/>
      <c r="AD6"/>
      <c r="AE6"/>
      <c r="AF6"/>
      <c r="AG6"/>
      <c r="AH6"/>
    </row>
    <row r="7" spans="1:34">
      <c r="A7" s="138" t="s">
        <v>69</v>
      </c>
      <c r="B7" s="138"/>
      <c r="C7" s="138"/>
      <c r="D7" s="15"/>
      <c r="T7"/>
      <c r="U7"/>
      <c r="V7"/>
      <c r="W7"/>
      <c r="X7"/>
      <c r="Y7"/>
      <c r="Z7"/>
      <c r="AA7"/>
      <c r="AB7"/>
      <c r="AC7"/>
      <c r="AD7"/>
      <c r="AE7"/>
      <c r="AF7"/>
      <c r="AG7"/>
      <c r="AH7"/>
    </row>
    <row r="8" spans="1:34">
      <c r="A8" s="140" t="s">
        <v>81</v>
      </c>
      <c r="B8" s="79"/>
      <c r="C8" s="79"/>
      <c r="D8" s="16"/>
      <c r="T8"/>
      <c r="U8"/>
      <c r="V8"/>
      <c r="W8"/>
      <c r="X8"/>
      <c r="Y8"/>
      <c r="Z8"/>
      <c r="AA8"/>
      <c r="AB8"/>
      <c r="AC8"/>
      <c r="AD8"/>
      <c r="AE8"/>
      <c r="AF8"/>
      <c r="AG8"/>
      <c r="AH8"/>
    </row>
    <row r="9" spans="1:34">
      <c r="A9" s="140" t="s">
        <v>71</v>
      </c>
      <c r="B9" s="79"/>
      <c r="C9" s="79"/>
      <c r="D9" s="16"/>
      <c r="T9"/>
      <c r="U9"/>
      <c r="V9"/>
      <c r="W9"/>
      <c r="X9"/>
      <c r="Y9"/>
      <c r="Z9"/>
      <c r="AA9"/>
      <c r="AB9"/>
      <c r="AC9"/>
      <c r="AD9"/>
      <c r="AE9"/>
      <c r="AF9"/>
      <c r="AG9"/>
      <c r="AH9"/>
    </row>
    <row r="10" spans="1:34">
      <c r="A10" s="140" t="s">
        <v>82</v>
      </c>
      <c r="B10" s="79"/>
      <c r="C10" s="79"/>
      <c r="D10" s="16"/>
      <c r="T10"/>
      <c r="U10"/>
      <c r="V10"/>
      <c r="W10"/>
      <c r="X10"/>
      <c r="Y10"/>
      <c r="Z10"/>
      <c r="AA10"/>
      <c r="AB10"/>
      <c r="AC10"/>
      <c r="AD10"/>
      <c r="AE10"/>
      <c r="AF10"/>
      <c r="AG10"/>
      <c r="AH10"/>
    </row>
    <row r="11" spans="1:34">
      <c r="A11" s="140" t="s">
        <v>83</v>
      </c>
      <c r="B11" s="79"/>
      <c r="C11" s="79"/>
      <c r="D11" s="16"/>
      <c r="T11"/>
      <c r="U11"/>
      <c r="V11"/>
      <c r="W11"/>
      <c r="X11"/>
      <c r="Y11"/>
      <c r="Z11"/>
      <c r="AA11"/>
      <c r="AB11"/>
      <c r="AC11"/>
      <c r="AD11"/>
      <c r="AE11"/>
      <c r="AF11"/>
      <c r="AG11"/>
      <c r="AH11"/>
    </row>
    <row r="12" spans="1:34">
      <c r="A12" s="144" t="s">
        <v>77</v>
      </c>
      <c r="B12" s="346">
        <f>SUM($B$7:B11)</f>
        <v>0</v>
      </c>
      <c r="C12" s="338">
        <f>SUM($C$7:C11)</f>
        <v>0</v>
      </c>
      <c r="T12"/>
      <c r="U12"/>
      <c r="V12"/>
      <c r="W12"/>
      <c r="X12"/>
      <c r="Y12"/>
      <c r="Z12"/>
      <c r="AA12"/>
      <c r="AB12"/>
      <c r="AC12"/>
      <c r="AD12"/>
      <c r="AE12"/>
      <c r="AF12"/>
      <c r="AG12"/>
      <c r="AH12"/>
    </row>
    <row r="13" spans="1:34">
      <c r="A13" s="139"/>
      <c r="B13" s="79"/>
      <c r="C13" s="79"/>
      <c r="D13" s="16"/>
      <c r="T13"/>
      <c r="U13"/>
      <c r="V13"/>
      <c r="W13"/>
      <c r="X13"/>
      <c r="Y13"/>
      <c r="Z13"/>
      <c r="AA13"/>
      <c r="AB13"/>
      <c r="AC13"/>
      <c r="AD13"/>
      <c r="AE13"/>
      <c r="AF13"/>
      <c r="AG13"/>
      <c r="AH13"/>
    </row>
    <row r="14" spans="1:34">
      <c r="A14" s="16"/>
      <c r="D14" s="16"/>
      <c r="T14"/>
      <c r="U14"/>
      <c r="V14"/>
      <c r="W14"/>
      <c r="X14"/>
      <c r="Y14"/>
      <c r="Z14"/>
      <c r="AA14"/>
      <c r="AB14"/>
      <c r="AC14"/>
      <c r="AD14"/>
      <c r="AE14"/>
      <c r="AF14"/>
      <c r="AG14"/>
      <c r="AH14"/>
    </row>
    <row r="15" spans="1:34">
      <c r="A15" s="17"/>
      <c r="D15" s="16"/>
      <c r="E15" s="15"/>
      <c r="F15" s="15"/>
      <c r="T15"/>
      <c r="U15"/>
      <c r="V15"/>
      <c r="W15"/>
      <c r="X15"/>
      <c r="Y15"/>
      <c r="Z15"/>
      <c r="AA15"/>
      <c r="AB15"/>
      <c r="AC15"/>
      <c r="AD15"/>
      <c r="AE15"/>
      <c r="AF15"/>
      <c r="AG15"/>
      <c r="AH15"/>
    </row>
    <row r="16" spans="1:34">
      <c r="T16"/>
      <c r="U16"/>
      <c r="V16"/>
      <c r="W16"/>
      <c r="X16"/>
      <c r="Y16"/>
      <c r="Z16"/>
      <c r="AA16"/>
      <c r="AB16"/>
      <c r="AC16"/>
      <c r="AD16"/>
      <c r="AE16"/>
      <c r="AF16"/>
      <c r="AG16"/>
      <c r="AH16"/>
    </row>
  </sheetData>
  <mergeCells count="2">
    <mergeCell ref="B5:C5"/>
    <mergeCell ref="A4:B4"/>
  </mergeCells>
  <hyperlinks>
    <hyperlink ref="B1" location="BG!A1" display="BG" xr:uid="{6B896528-8390-4229-A220-CF845D1F3BD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AG24"/>
  <sheetViews>
    <sheetView showGridLines="0" workbookViewId="0">
      <selection activeCell="B14" sqref="B14"/>
    </sheetView>
  </sheetViews>
  <sheetFormatPr baseColWidth="10" defaultColWidth="11.42578125" defaultRowHeight="12"/>
  <cols>
    <col min="1" max="1" width="33.28515625" style="111" customWidth="1"/>
    <col min="2" max="2" width="19.42578125" style="111" customWidth="1"/>
    <col min="3" max="3" width="18.85546875" style="111" customWidth="1"/>
    <col min="4" max="33" width="11.42578125" style="111"/>
    <col min="34" max="16384" width="11.42578125" style="101"/>
  </cols>
  <sheetData>
    <row r="1" spans="1:33" ht="18" customHeight="1">
      <c r="A1" s="277" t="str">
        <f>Indice!C1</f>
        <v>NICOLAS GONZALEZ ODDONE S.A.E.C.A</v>
      </c>
      <c r="B1" s="920" t="s">
        <v>79</v>
      </c>
      <c r="C1" s="288"/>
      <c r="F1" s="115"/>
    </row>
    <row r="3" spans="1:33" ht="15.75" customHeight="1">
      <c r="A3" s="282" t="s">
        <v>187</v>
      </c>
      <c r="B3" s="282"/>
      <c r="C3" s="282"/>
      <c r="D3" s="282"/>
      <c r="T3" s="101"/>
      <c r="U3" s="101"/>
      <c r="V3" s="101"/>
      <c r="W3" s="101"/>
      <c r="X3" s="101"/>
      <c r="Y3" s="101"/>
      <c r="Z3" s="101"/>
      <c r="AA3" s="101"/>
      <c r="AB3" s="101"/>
      <c r="AC3" s="101"/>
      <c r="AD3" s="101"/>
      <c r="AE3" s="101"/>
      <c r="AF3" s="101"/>
      <c r="AG3" s="101"/>
    </row>
    <row r="4" spans="1:33">
      <c r="A4" s="1249" t="s">
        <v>171</v>
      </c>
      <c r="B4" s="1249"/>
      <c r="C4" s="145"/>
      <c r="D4" s="145"/>
      <c r="T4" s="101"/>
      <c r="U4" s="101"/>
      <c r="V4" s="101"/>
      <c r="W4" s="101"/>
      <c r="X4" s="101"/>
      <c r="Y4" s="101"/>
      <c r="Z4" s="101"/>
      <c r="AA4" s="101"/>
      <c r="AB4" s="101"/>
      <c r="AC4" s="101"/>
      <c r="AD4" s="101"/>
      <c r="AE4" s="101"/>
      <c r="AF4" s="101"/>
      <c r="AG4" s="101"/>
    </row>
    <row r="5" spans="1:33" s="235" customFormat="1">
      <c r="A5" s="284"/>
      <c r="B5" s="284"/>
      <c r="C5" s="145"/>
      <c r="D5" s="145"/>
      <c r="E5" s="111"/>
      <c r="F5" s="111"/>
      <c r="G5" s="111"/>
      <c r="H5" s="111"/>
      <c r="I5" s="111"/>
      <c r="J5" s="111"/>
      <c r="K5" s="111"/>
      <c r="L5" s="111"/>
      <c r="M5" s="111"/>
      <c r="N5" s="111"/>
      <c r="O5" s="111"/>
      <c r="P5" s="111"/>
      <c r="Q5" s="111"/>
      <c r="R5" s="111"/>
      <c r="S5" s="111"/>
    </row>
    <row r="6" spans="1:33" s="259" customFormat="1" ht="15">
      <c r="A6" s="151" t="s">
        <v>575</v>
      </c>
      <c r="B6" s="236"/>
      <c r="C6" s="265"/>
    </row>
    <row r="7" spans="1:33">
      <c r="A7" s="146"/>
      <c r="B7" s="1248"/>
      <c r="C7" s="1248"/>
    </row>
    <row r="8" spans="1:33" ht="12.75">
      <c r="A8" s="147" t="s">
        <v>337</v>
      </c>
      <c r="B8" s="815">
        <v>44561</v>
      </c>
      <c r="C8" s="815">
        <v>44196</v>
      </c>
    </row>
    <row r="9" spans="1:33">
      <c r="A9" s="146" t="s">
        <v>417</v>
      </c>
      <c r="B9" s="341"/>
      <c r="C9" s="341"/>
    </row>
    <row r="10" spans="1:33">
      <c r="A10" s="111" t="s">
        <v>427</v>
      </c>
      <c r="B10" s="186">
        <v>603133784</v>
      </c>
      <c r="C10" s="186">
        <v>505754082</v>
      </c>
    </row>
    <row r="11" spans="1:33">
      <c r="A11" s="111" t="s">
        <v>428</v>
      </c>
      <c r="B11" s="186">
        <v>73095191</v>
      </c>
      <c r="C11" s="186">
        <v>43187778</v>
      </c>
    </row>
    <row r="12" spans="1:33" s="522" customFormat="1" hidden="1">
      <c r="A12" s="111" t="s">
        <v>718</v>
      </c>
      <c r="B12" s="186">
        <v>0</v>
      </c>
      <c r="C12" s="186">
        <v>0</v>
      </c>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row>
    <row r="13" spans="1:33">
      <c r="A13" s="111" t="s">
        <v>946</v>
      </c>
      <c r="B13" s="186">
        <v>2500000000</v>
      </c>
      <c r="C13" s="186">
        <v>2252238150</v>
      </c>
    </row>
    <row r="14" spans="1:33" s="800" customFormat="1">
      <c r="A14" s="111" t="s">
        <v>947</v>
      </c>
      <c r="B14" s="244">
        <v>0</v>
      </c>
      <c r="C14" s="186">
        <v>3993000</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row>
    <row r="15" spans="1:33" ht="12.75" thickBot="1">
      <c r="A15" s="144" t="s">
        <v>1</v>
      </c>
      <c r="B15" s="454">
        <f>SUM($B$10:B14)</f>
        <v>3176228975</v>
      </c>
      <c r="C15" s="454">
        <f>SUM($C$10:C14)</f>
        <v>2805173010</v>
      </c>
    </row>
    <row r="16" spans="1:33" ht="12.75" thickTop="1">
      <c r="B16" s="186"/>
      <c r="C16" s="186"/>
    </row>
    <row r="17" spans="1:33">
      <c r="A17" s="148" t="s">
        <v>424</v>
      </c>
      <c r="B17" s="337"/>
      <c r="C17" s="337"/>
    </row>
    <row r="18" spans="1:33">
      <c r="A18" s="111" t="s">
        <v>665</v>
      </c>
      <c r="B18" s="342">
        <v>35052069</v>
      </c>
      <c r="C18" s="342">
        <v>34797050</v>
      </c>
    </row>
    <row r="19" spans="1:33" s="1082" customFormat="1" hidden="1">
      <c r="A19" s="111" t="s">
        <v>1018</v>
      </c>
      <c r="B19" s="1104">
        <v>0</v>
      </c>
      <c r="C19" s="1104">
        <v>0</v>
      </c>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row>
    <row r="20" spans="1:33">
      <c r="A20" s="144" t="s">
        <v>9</v>
      </c>
      <c r="B20" s="750">
        <f>SUM(B18:B19)</f>
        <v>35052069</v>
      </c>
      <c r="C20" s="750">
        <f>SUM(C18)</f>
        <v>34797050</v>
      </c>
    </row>
    <row r="21" spans="1:33" ht="12.75" thickBot="1">
      <c r="A21" s="144" t="s">
        <v>77</v>
      </c>
      <c r="B21" s="455">
        <f>+B15+B20</f>
        <v>3211281044</v>
      </c>
      <c r="C21" s="455">
        <f>+C15+C20</f>
        <v>2839970060</v>
      </c>
    </row>
    <row r="22" spans="1:33" ht="12.75" thickTop="1"/>
    <row r="24" spans="1:33">
      <c r="B24" s="112"/>
    </row>
  </sheetData>
  <mergeCells count="2">
    <mergeCell ref="B7:C7"/>
    <mergeCell ref="A4:B4"/>
  </mergeCells>
  <hyperlinks>
    <hyperlink ref="B1" location="BG!A1" display="BG" xr:uid="{250B0BA6-9290-4D50-AFF2-083BF3B8566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O16"/>
  <sheetViews>
    <sheetView showGridLines="0" workbookViewId="0">
      <selection activeCell="B11" sqref="B11"/>
    </sheetView>
  </sheetViews>
  <sheetFormatPr baseColWidth="10" defaultRowHeight="15"/>
  <cols>
    <col min="1" max="1" width="33" style="12" customWidth="1"/>
    <col min="2" max="2" width="18.5703125" style="12" customWidth="1"/>
    <col min="3" max="3" width="20" style="12" customWidth="1"/>
    <col min="4" max="15" width="11.42578125" style="12"/>
  </cols>
  <sheetData>
    <row r="1" spans="1:15" ht="19.5" customHeight="1">
      <c r="A1" s="277" t="str">
        <f>Indice!C1</f>
        <v>NICOLAS GONZALEZ ODDONE S.A.E.C.A</v>
      </c>
      <c r="B1" s="919" t="s">
        <v>79</v>
      </c>
      <c r="C1" s="295"/>
      <c r="F1" s="19"/>
    </row>
    <row r="3" spans="1:15" ht="20.25" customHeight="1">
      <c r="A3" s="282" t="s">
        <v>199</v>
      </c>
      <c r="B3" s="282"/>
      <c r="C3" s="282"/>
    </row>
    <row r="4" spans="1:15" s="4" customFormat="1">
      <c r="A4" s="1249" t="s">
        <v>171</v>
      </c>
      <c r="B4" s="1249"/>
      <c r="C4" s="20"/>
    </row>
    <row r="5" spans="1:15" s="4" customFormat="1" ht="9" customHeight="1">
      <c r="A5" s="181"/>
      <c r="B5" s="181"/>
      <c r="C5" s="20"/>
    </row>
    <row r="6" spans="1:15" s="4" customFormat="1">
      <c r="A6" s="151" t="s">
        <v>488</v>
      </c>
      <c r="B6" s="181"/>
      <c r="C6" s="20"/>
    </row>
    <row r="7" spans="1:15">
      <c r="B7" s="1261"/>
      <c r="C7" s="1261"/>
    </row>
    <row r="8" spans="1:15" ht="12" customHeight="1">
      <c r="A8" s="182" t="s">
        <v>476</v>
      </c>
      <c r="B8" s="815">
        <v>44561</v>
      </c>
      <c r="C8" s="815">
        <v>44196</v>
      </c>
    </row>
    <row r="9" spans="1:15" s="73" customFormat="1" ht="13.5" hidden="1" customHeight="1">
      <c r="A9" s="641" t="s">
        <v>487</v>
      </c>
      <c r="B9" s="642">
        <v>0</v>
      </c>
      <c r="C9" s="642">
        <v>0</v>
      </c>
      <c r="D9" s="12"/>
      <c r="E9" s="12"/>
      <c r="F9" s="12"/>
      <c r="G9" s="12"/>
      <c r="H9" s="12"/>
      <c r="I9" s="12"/>
      <c r="J9" s="12"/>
      <c r="K9" s="12"/>
      <c r="L9" s="12"/>
      <c r="M9" s="12"/>
      <c r="N9" s="12"/>
      <c r="O9" s="12"/>
    </row>
    <row r="10" spans="1:15" s="73" customFormat="1" ht="13.5" customHeight="1">
      <c r="A10" s="641" t="s">
        <v>475</v>
      </c>
      <c r="B10" s="642">
        <v>66092593</v>
      </c>
      <c r="C10" s="642">
        <v>68092124</v>
      </c>
      <c r="D10" s="12"/>
      <c r="E10" s="12"/>
      <c r="F10" s="12"/>
      <c r="G10" s="12"/>
      <c r="H10" s="12"/>
      <c r="I10" s="12"/>
      <c r="J10" s="12"/>
      <c r="K10" s="12"/>
      <c r="L10" s="12"/>
      <c r="M10" s="12"/>
      <c r="N10" s="12"/>
      <c r="O10" s="12"/>
    </row>
    <row r="11" spans="1:15" s="355" customFormat="1" ht="13.5" customHeight="1">
      <c r="A11" s="641" t="s">
        <v>719</v>
      </c>
      <c r="B11" s="642">
        <v>0</v>
      </c>
      <c r="C11" s="642">
        <v>2794172660</v>
      </c>
      <c r="D11" s="373"/>
      <c r="E11" s="373"/>
      <c r="F11" s="373"/>
      <c r="G11" s="373"/>
      <c r="H11" s="373"/>
      <c r="I11" s="373"/>
      <c r="J11" s="373"/>
      <c r="K11" s="373"/>
      <c r="L11" s="373"/>
      <c r="M11" s="373"/>
      <c r="N11" s="373"/>
      <c r="O11" s="373"/>
    </row>
    <row r="12" spans="1:15" s="355" customFormat="1" ht="13.5" customHeight="1">
      <c r="A12" s="641" t="s">
        <v>490</v>
      </c>
      <c r="B12" s="642">
        <v>275819426</v>
      </c>
      <c r="C12" s="642">
        <v>440483321</v>
      </c>
      <c r="D12" s="373"/>
      <c r="E12" s="373"/>
      <c r="F12" s="373"/>
      <c r="G12" s="373"/>
      <c r="H12" s="373"/>
      <c r="I12" s="373"/>
      <c r="J12" s="373"/>
      <c r="K12" s="373"/>
      <c r="L12" s="373"/>
      <c r="M12" s="373"/>
      <c r="N12" s="373"/>
      <c r="O12" s="373"/>
    </row>
    <row r="13" spans="1:15" s="355" customFormat="1" ht="13.5" hidden="1" customHeight="1">
      <c r="A13" s="641" t="s">
        <v>1019</v>
      </c>
      <c r="B13" s="642">
        <v>0</v>
      </c>
      <c r="C13" s="642">
        <v>0</v>
      </c>
      <c r="D13" s="373"/>
      <c r="E13" s="373"/>
      <c r="F13" s="373"/>
      <c r="G13" s="373"/>
      <c r="H13" s="373"/>
      <c r="I13" s="373"/>
      <c r="J13" s="373"/>
      <c r="K13" s="373"/>
      <c r="L13" s="373"/>
      <c r="M13" s="373"/>
      <c r="N13" s="373"/>
      <c r="O13" s="373"/>
    </row>
    <row r="14" spans="1:15" s="73" customFormat="1" ht="13.5" hidden="1" customHeight="1">
      <c r="A14" s="641" t="s">
        <v>720</v>
      </c>
      <c r="B14" s="642">
        <v>0</v>
      </c>
      <c r="C14" s="642">
        <v>0</v>
      </c>
      <c r="D14" s="12"/>
      <c r="E14" s="12"/>
      <c r="F14" s="12"/>
      <c r="G14" s="12"/>
      <c r="H14" s="12"/>
      <c r="I14" s="12"/>
      <c r="J14" s="12"/>
      <c r="K14" s="12"/>
      <c r="L14" s="12"/>
      <c r="M14" s="12"/>
      <c r="N14" s="12"/>
      <c r="O14" s="12"/>
    </row>
    <row r="15" spans="1:15" ht="15.75" thickBot="1">
      <c r="A15" s="144" t="s">
        <v>491</v>
      </c>
      <c r="B15" s="643">
        <f>SUM(B9:B14)</f>
        <v>341912019</v>
      </c>
      <c r="C15" s="643">
        <f>SUM(C9:C14)</f>
        <v>3302748105</v>
      </c>
    </row>
    <row r="16" spans="1:15" ht="15.75" thickTop="1">
      <c r="B16" s="74"/>
      <c r="C16" s="74"/>
    </row>
  </sheetData>
  <mergeCells count="2">
    <mergeCell ref="B7:C7"/>
    <mergeCell ref="A4:B4"/>
  </mergeCells>
  <hyperlinks>
    <hyperlink ref="B1" location="BG!A1" display="BG" xr:uid="{CFBA7ADE-1714-4BCE-857A-86433EE0A36B}"/>
  </hyperlinks>
  <pageMargins left="0.7" right="0.7" top="0.75" bottom="0.75" header="0.3" footer="0.3"/>
  <pageSetup orientation="portrait" verticalDpi="0" r:id="rId1"/>
  <ignoredErrors>
    <ignoredError sqref="B15:C15"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M69"/>
  <sheetViews>
    <sheetView showGridLines="0" topLeftCell="A26" workbookViewId="0">
      <selection activeCell="A14" sqref="A14:XFD14"/>
    </sheetView>
  </sheetViews>
  <sheetFormatPr baseColWidth="10" defaultColWidth="11.42578125" defaultRowHeight="12"/>
  <cols>
    <col min="1" max="1" width="34.42578125" style="111" customWidth="1"/>
    <col min="2" max="2" width="15" style="111" customWidth="1"/>
    <col min="3" max="3" width="15.140625" style="111" customWidth="1"/>
    <col min="4" max="4" width="11.42578125" style="111"/>
    <col min="5" max="6" width="13.28515625" style="111" bestFit="1" customWidth="1"/>
    <col min="7" max="13" width="11.42578125" style="111"/>
    <col min="14" max="16384" width="11.42578125" style="101"/>
  </cols>
  <sheetData>
    <row r="1" spans="1:13" ht="19.5" customHeight="1">
      <c r="A1" s="277" t="str">
        <f>Indice!C1</f>
        <v>NICOLAS GONZALEZ ODDONE S.A.E.C.A</v>
      </c>
      <c r="B1" s="920" t="s">
        <v>79</v>
      </c>
      <c r="C1" s="288"/>
      <c r="D1" s="115"/>
    </row>
    <row r="3" spans="1:13" ht="17.25" customHeight="1">
      <c r="A3" s="1207" t="s">
        <v>188</v>
      </c>
      <c r="B3" s="1207"/>
      <c r="C3" s="1207"/>
      <c r="D3" s="1207"/>
    </row>
    <row r="4" spans="1:13">
      <c r="A4" s="158" t="s">
        <v>171</v>
      </c>
      <c r="B4" s="158"/>
      <c r="C4" s="102"/>
      <c r="D4" s="102"/>
    </row>
    <row r="5" spans="1:13" ht="8.25" customHeight="1">
      <c r="A5" s="158"/>
      <c r="B5" s="158"/>
      <c r="C5" s="102"/>
      <c r="D5" s="102"/>
    </row>
    <row r="6" spans="1:13">
      <c r="A6" s="144" t="s">
        <v>448</v>
      </c>
      <c r="B6" s="158"/>
      <c r="C6" s="158"/>
    </row>
    <row r="7" spans="1:13" ht="12.75">
      <c r="A7" s="159" t="s">
        <v>337</v>
      </c>
      <c r="B7" s="816">
        <v>44561</v>
      </c>
      <c r="C7" s="816">
        <v>44196</v>
      </c>
    </row>
    <row r="8" spans="1:13">
      <c r="A8" s="165" t="s">
        <v>417</v>
      </c>
      <c r="B8" s="205"/>
      <c r="C8" s="205"/>
    </row>
    <row r="9" spans="1:13">
      <c r="A9" s="161" t="s">
        <v>431</v>
      </c>
      <c r="B9" s="112">
        <v>6209123832</v>
      </c>
      <c r="C9" s="112">
        <v>4887364071</v>
      </c>
      <c r="E9" s="112"/>
    </row>
    <row r="10" spans="1:13">
      <c r="A10" s="161" t="s">
        <v>438</v>
      </c>
      <c r="B10" s="112">
        <v>2646520366</v>
      </c>
      <c r="C10" s="112">
        <v>2081347825</v>
      </c>
    </row>
    <row r="11" spans="1:13">
      <c r="A11" s="161" t="s">
        <v>439</v>
      </c>
      <c r="B11" s="112">
        <v>133399063</v>
      </c>
      <c r="C11" s="112">
        <v>180090553</v>
      </c>
    </row>
    <row r="12" spans="1:13">
      <c r="A12" s="161" t="s">
        <v>440</v>
      </c>
      <c r="B12" s="112">
        <v>361915658</v>
      </c>
      <c r="C12" s="112">
        <v>474305668</v>
      </c>
    </row>
    <row r="13" spans="1:13">
      <c r="A13" s="161" t="s">
        <v>441</v>
      </c>
      <c r="B13" s="112">
        <v>169616364</v>
      </c>
      <c r="C13" s="112">
        <v>41714617</v>
      </c>
    </row>
    <row r="14" spans="1:13" s="1083" customFormat="1" hidden="1">
      <c r="A14" s="1083" t="s">
        <v>437</v>
      </c>
      <c r="B14" s="112">
        <v>0</v>
      </c>
      <c r="C14" s="112">
        <v>0</v>
      </c>
      <c r="D14" s="111"/>
      <c r="E14" s="111"/>
      <c r="F14" s="111"/>
      <c r="G14" s="111"/>
      <c r="H14" s="111"/>
      <c r="I14" s="111"/>
      <c r="J14" s="111"/>
      <c r="K14" s="111"/>
      <c r="L14" s="111"/>
      <c r="M14" s="111"/>
    </row>
    <row r="15" spans="1:13">
      <c r="A15" s="161" t="s">
        <v>442</v>
      </c>
      <c r="B15" s="112">
        <v>0</v>
      </c>
      <c r="C15" s="112">
        <v>16378158</v>
      </c>
    </row>
    <row r="16" spans="1:13" s="1121" customFormat="1" hidden="1">
      <c r="A16" s="1127" t="s">
        <v>986</v>
      </c>
      <c r="B16" s="197">
        <v>0</v>
      </c>
      <c r="C16" s="197">
        <v>0</v>
      </c>
      <c r="D16" s="197"/>
    </row>
    <row r="17" spans="1:5">
      <c r="A17" s="161" t="s">
        <v>291</v>
      </c>
      <c r="B17" s="112">
        <v>53832701</v>
      </c>
      <c r="C17" s="112">
        <v>41409023</v>
      </c>
    </row>
    <row r="18" spans="1:5">
      <c r="A18" s="161" t="s">
        <v>443</v>
      </c>
      <c r="B18" s="112">
        <v>59018967</v>
      </c>
      <c r="C18" s="112">
        <v>42669834</v>
      </c>
    </row>
    <row r="19" spans="1:5">
      <c r="A19" s="161" t="s">
        <v>444</v>
      </c>
      <c r="B19" s="112">
        <v>137854817</v>
      </c>
      <c r="C19" s="112">
        <v>198590000</v>
      </c>
      <c r="E19" s="112"/>
    </row>
    <row r="20" spans="1:5">
      <c r="A20" s="161" t="s">
        <v>445</v>
      </c>
      <c r="B20" s="112">
        <v>496286957</v>
      </c>
      <c r="C20" s="112">
        <v>435568009</v>
      </c>
    </row>
    <row r="21" spans="1:5">
      <c r="A21" s="161" t="s">
        <v>446</v>
      </c>
      <c r="B21" s="112">
        <v>-332588754</v>
      </c>
      <c r="C21" s="112">
        <v>-420288176</v>
      </c>
    </row>
    <row r="22" spans="1:5">
      <c r="A22" s="161" t="s">
        <v>447</v>
      </c>
      <c r="B22" s="163">
        <v>-10583309</v>
      </c>
      <c r="C22" s="163">
        <v>-30249644</v>
      </c>
    </row>
    <row r="23" spans="1:5">
      <c r="A23" s="161" t="s">
        <v>463</v>
      </c>
      <c r="B23" s="789">
        <v>808000</v>
      </c>
      <c r="C23" s="789">
        <v>310000</v>
      </c>
    </row>
    <row r="24" spans="1:5">
      <c r="A24" s="162" t="s">
        <v>1</v>
      </c>
      <c r="B24" s="150">
        <f>SUM(B9:B23)</f>
        <v>9925204662</v>
      </c>
      <c r="C24" s="150">
        <f>SUM(C9:C23)</f>
        <v>7949209938</v>
      </c>
      <c r="E24" s="112"/>
    </row>
    <row r="25" spans="1:5">
      <c r="A25" s="162"/>
      <c r="B25" s="150"/>
      <c r="C25" s="112"/>
    </row>
    <row r="26" spans="1:5">
      <c r="A26" s="162" t="s">
        <v>449</v>
      </c>
      <c r="B26" s="163"/>
      <c r="C26" s="112"/>
    </row>
    <row r="27" spans="1:5">
      <c r="A27" s="161" t="s">
        <v>450</v>
      </c>
      <c r="B27" s="163">
        <v>317856000</v>
      </c>
      <c r="C27" s="112">
        <v>218666058</v>
      </c>
    </row>
    <row r="28" spans="1:5">
      <c r="A28" s="161" t="s">
        <v>451</v>
      </c>
      <c r="B28" s="163">
        <v>2825422466</v>
      </c>
      <c r="C28" s="112">
        <v>5175654195</v>
      </c>
    </row>
    <row r="29" spans="1:5">
      <c r="A29" s="161" t="s">
        <v>452</v>
      </c>
      <c r="B29" s="163">
        <v>33680701298</v>
      </c>
      <c r="C29" s="112">
        <v>11065604230</v>
      </c>
    </row>
    <row r="30" spans="1:5">
      <c r="A30" s="161" t="s">
        <v>453</v>
      </c>
      <c r="B30" s="163">
        <v>211375478</v>
      </c>
      <c r="C30" s="112">
        <v>149026274</v>
      </c>
    </row>
    <row r="31" spans="1:5">
      <c r="A31" s="161" t="s">
        <v>454</v>
      </c>
      <c r="B31" s="163">
        <v>60096800</v>
      </c>
      <c r="C31" s="112">
        <v>73307520</v>
      </c>
    </row>
    <row r="32" spans="1:5">
      <c r="A32" s="161" t="s">
        <v>455</v>
      </c>
      <c r="B32" s="163">
        <v>276988825</v>
      </c>
      <c r="C32" s="112">
        <v>1909881194</v>
      </c>
    </row>
    <row r="33" spans="1:13">
      <c r="A33" s="161" t="s">
        <v>456</v>
      </c>
      <c r="B33" s="163">
        <v>0</v>
      </c>
      <c r="C33" s="112">
        <v>-813954</v>
      </c>
    </row>
    <row r="34" spans="1:13" s="787" customFormat="1">
      <c r="A34" s="788" t="s">
        <v>751</v>
      </c>
      <c r="B34" s="789">
        <v>-83693274</v>
      </c>
      <c r="C34" s="112">
        <v>0</v>
      </c>
      <c r="D34" s="111"/>
      <c r="E34" s="111"/>
      <c r="F34" s="111"/>
      <c r="G34" s="111"/>
      <c r="H34" s="111"/>
      <c r="I34" s="111"/>
      <c r="J34" s="111"/>
      <c r="K34" s="111"/>
      <c r="L34" s="111"/>
      <c r="M34" s="111"/>
    </row>
    <row r="35" spans="1:13">
      <c r="A35" s="144" t="s">
        <v>1</v>
      </c>
      <c r="B35" s="1078">
        <f>SUM($B$27:B34)</f>
        <v>37288747593</v>
      </c>
      <c r="C35" s="1078">
        <f>SUM($C$27:C34)</f>
        <v>18591325517</v>
      </c>
      <c r="E35" s="112"/>
    </row>
    <row r="36" spans="1:13">
      <c r="A36" s="144" t="s">
        <v>461</v>
      </c>
      <c r="B36" s="164">
        <f>+B24+B35</f>
        <v>47213952255</v>
      </c>
      <c r="C36" s="164">
        <f>+C24+C35</f>
        <v>26540535455</v>
      </c>
      <c r="F36" s="112"/>
    </row>
    <row r="37" spans="1:13">
      <c r="A37" s="144"/>
      <c r="B37" s="336"/>
      <c r="C37" s="164"/>
    </row>
    <row r="38" spans="1:13">
      <c r="A38" s="144"/>
      <c r="B38" s="164"/>
      <c r="C38" s="164"/>
    </row>
    <row r="39" spans="1:13">
      <c r="B39" s="112"/>
      <c r="C39" s="112"/>
    </row>
    <row r="40" spans="1:13">
      <c r="A40" s="148" t="s">
        <v>424</v>
      </c>
      <c r="B40" s="112"/>
      <c r="C40" s="112"/>
    </row>
    <row r="41" spans="1:13">
      <c r="A41" s="144" t="s">
        <v>448</v>
      </c>
      <c r="B41" s="112"/>
      <c r="C41" s="112"/>
    </row>
    <row r="42" spans="1:13">
      <c r="A42" s="111" t="s">
        <v>457</v>
      </c>
      <c r="B42" s="112">
        <v>6400000</v>
      </c>
      <c r="C42" s="112">
        <v>10968000</v>
      </c>
    </row>
    <row r="43" spans="1:13">
      <c r="A43" s="111" t="s">
        <v>458</v>
      </c>
      <c r="B43" s="112">
        <v>6997200</v>
      </c>
      <c r="C43" s="112">
        <v>378397667</v>
      </c>
    </row>
    <row r="44" spans="1:13">
      <c r="A44" s="111" t="s">
        <v>459</v>
      </c>
      <c r="B44" s="149">
        <v>-9180465</v>
      </c>
      <c r="C44" s="112">
        <v>-10702754</v>
      </c>
    </row>
    <row r="45" spans="1:13">
      <c r="A45" s="144" t="s">
        <v>1</v>
      </c>
      <c r="B45" s="164">
        <f>SUM($B$42:B44)</f>
        <v>4216735</v>
      </c>
      <c r="C45" s="1053">
        <f>SUM($C$42:C44)</f>
        <v>378662913</v>
      </c>
    </row>
    <row r="46" spans="1:13">
      <c r="B46" s="112"/>
      <c r="C46" s="112"/>
    </row>
    <row r="47" spans="1:13">
      <c r="A47" s="162" t="s">
        <v>449</v>
      </c>
      <c r="B47" s="112"/>
      <c r="C47" s="112"/>
    </row>
    <row r="48" spans="1:13">
      <c r="A48" s="111" t="s">
        <v>460</v>
      </c>
      <c r="B48" s="149">
        <v>0</v>
      </c>
      <c r="C48" s="112">
        <v>23405509</v>
      </c>
    </row>
    <row r="49" spans="1:5">
      <c r="A49" s="144" t="s">
        <v>1</v>
      </c>
      <c r="B49" s="1078">
        <f>SUM($B$48:B48)</f>
        <v>0</v>
      </c>
      <c r="C49" s="1078">
        <f>SUM($C$48:C48)</f>
        <v>23405509</v>
      </c>
    </row>
    <row r="50" spans="1:5">
      <c r="A50" s="144" t="s">
        <v>462</v>
      </c>
      <c r="B50" s="1054">
        <f>+B45+B49</f>
        <v>4216735</v>
      </c>
      <c r="C50" s="1054">
        <f>+C45+C49</f>
        <v>402068422</v>
      </c>
      <c r="E50" s="112"/>
    </row>
    <row r="51" spans="1:5" ht="12.75" thickBot="1">
      <c r="A51" s="144" t="s">
        <v>858</v>
      </c>
      <c r="B51" s="894">
        <f>+B50+B36</f>
        <v>47218168990</v>
      </c>
      <c r="C51" s="894">
        <f>+C50+C36</f>
        <v>26942603877</v>
      </c>
    </row>
    <row r="52" spans="1:5" ht="12.75" thickTop="1">
      <c r="B52" s="112"/>
      <c r="C52" s="112"/>
    </row>
    <row r="53" spans="1:5">
      <c r="B53" s="112"/>
      <c r="C53" s="112"/>
    </row>
    <row r="54" spans="1:5">
      <c r="B54" s="112"/>
      <c r="C54" s="112"/>
    </row>
    <row r="55" spans="1:5">
      <c r="B55" s="112"/>
      <c r="C55" s="112"/>
    </row>
    <row r="56" spans="1:5">
      <c r="B56" s="112"/>
      <c r="C56" s="112"/>
    </row>
    <row r="57" spans="1:5">
      <c r="B57" s="112"/>
      <c r="C57" s="112"/>
    </row>
    <row r="58" spans="1:5">
      <c r="B58" s="112"/>
      <c r="C58" s="112"/>
    </row>
    <row r="59" spans="1:5">
      <c r="B59" s="112"/>
      <c r="C59" s="112"/>
    </row>
    <row r="60" spans="1:5">
      <c r="B60" s="112"/>
      <c r="C60" s="112"/>
    </row>
    <row r="61" spans="1:5">
      <c r="B61" s="112"/>
      <c r="C61" s="112"/>
    </row>
    <row r="62" spans="1:5">
      <c r="B62" s="112"/>
      <c r="C62" s="112"/>
    </row>
    <row r="63" spans="1:5">
      <c r="B63" s="112"/>
      <c r="C63" s="112"/>
    </row>
    <row r="64" spans="1:5">
      <c r="B64" s="112"/>
      <c r="C64" s="112"/>
    </row>
    <row r="65" spans="2:3">
      <c r="B65" s="112"/>
      <c r="C65" s="112"/>
    </row>
    <row r="66" spans="2:3">
      <c r="B66" s="112"/>
      <c r="C66" s="112"/>
    </row>
    <row r="67" spans="2:3">
      <c r="B67" s="112"/>
      <c r="C67" s="112"/>
    </row>
    <row r="68" spans="2:3">
      <c r="B68" s="112"/>
    </row>
    <row r="69" spans="2:3">
      <c r="B69" s="112"/>
    </row>
  </sheetData>
  <mergeCells count="1">
    <mergeCell ref="A3:D3"/>
  </mergeCells>
  <hyperlinks>
    <hyperlink ref="B1" location="BG!A1" display="BG" xr:uid="{362C1FAE-8266-4CAF-A137-1961AE6D5913}"/>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F37"/>
  <sheetViews>
    <sheetView showGridLines="0" workbookViewId="0">
      <selection activeCell="B1" sqref="B1"/>
    </sheetView>
  </sheetViews>
  <sheetFormatPr baseColWidth="10" defaultRowHeight="15"/>
  <cols>
    <col min="1" max="1" width="40.85546875" customWidth="1"/>
    <col min="2" max="2" width="17.140625" customWidth="1"/>
    <col min="3" max="3" width="16.7109375" customWidth="1"/>
    <col min="4" max="4" width="5.140625" customWidth="1"/>
    <col min="6" max="6" width="13.7109375" bestFit="1" customWidth="1"/>
  </cols>
  <sheetData>
    <row r="1" spans="1:4" ht="20.25" customHeight="1">
      <c r="A1" s="277" t="str">
        <f>Indice!C1</f>
        <v>NICOLAS GONZALEZ ODDONE S.A.E.C.A</v>
      </c>
      <c r="B1" s="918" t="s">
        <v>79</v>
      </c>
      <c r="C1" s="287"/>
      <c r="D1" s="18"/>
    </row>
    <row r="3" spans="1:4" ht="18" customHeight="1">
      <c r="A3" s="282" t="s">
        <v>477</v>
      </c>
      <c r="B3" s="282"/>
      <c r="C3" s="282"/>
    </row>
    <row r="4" spans="1:4">
      <c r="A4" s="1249" t="s">
        <v>171</v>
      </c>
      <c r="B4" s="1249"/>
    </row>
    <row r="5" spans="1:4" s="355" customFormat="1" ht="4.5" customHeight="1">
      <c r="A5" s="906"/>
      <c r="B5" s="906"/>
    </row>
    <row r="6" spans="1:4">
      <c r="A6" s="257" t="s">
        <v>581</v>
      </c>
      <c r="B6" s="355"/>
      <c r="C6" s="355"/>
    </row>
    <row r="7" spans="1:4" ht="12.75" customHeight="1">
      <c r="A7" s="3" t="s">
        <v>476</v>
      </c>
      <c r="B7" s="816">
        <v>44561</v>
      </c>
      <c r="C7" s="816">
        <v>44196</v>
      </c>
    </row>
    <row r="8" spans="1:4" s="355" customFormat="1" ht="12.75" customHeight="1">
      <c r="A8" s="916"/>
      <c r="B8" s="917"/>
      <c r="C8" s="917"/>
    </row>
    <row r="9" spans="1:4" s="73" customFormat="1">
      <c r="A9" s="644" t="s">
        <v>478</v>
      </c>
      <c r="B9" s="141">
        <v>0</v>
      </c>
      <c r="C9" s="141">
        <v>53017206</v>
      </c>
    </row>
    <row r="10" spans="1:4" s="73" customFormat="1">
      <c r="A10" s="644" t="s">
        <v>479</v>
      </c>
      <c r="B10" s="141">
        <v>77064000</v>
      </c>
      <c r="C10" s="141">
        <v>67832000</v>
      </c>
    </row>
    <row r="11" spans="1:4" s="73" customFormat="1">
      <c r="A11" s="644" t="s">
        <v>480</v>
      </c>
      <c r="B11" s="141">
        <v>4336678</v>
      </c>
      <c r="C11" s="141">
        <v>4336678</v>
      </c>
    </row>
    <row r="12" spans="1:4" s="73" customFormat="1">
      <c r="A12" s="644" t="s">
        <v>481</v>
      </c>
      <c r="B12" s="141">
        <v>4193400344</v>
      </c>
      <c r="C12" s="141">
        <v>1449424749</v>
      </c>
    </row>
    <row r="13" spans="1:4" s="355" customFormat="1">
      <c r="A13" s="644" t="s">
        <v>482</v>
      </c>
      <c r="B13" s="1063">
        <v>28517954</v>
      </c>
      <c r="C13" s="1063">
        <v>55730908</v>
      </c>
    </row>
    <row r="14" spans="1:4" s="73" customFormat="1">
      <c r="A14" s="644" t="s">
        <v>721</v>
      </c>
      <c r="B14" s="648">
        <v>22720406</v>
      </c>
      <c r="C14" s="516">
        <v>0</v>
      </c>
    </row>
    <row r="15" spans="1:4" s="73" customFormat="1">
      <c r="A15" s="645" t="s">
        <v>9</v>
      </c>
      <c r="B15" s="142">
        <f>SUM(B9:B14)</f>
        <v>4326039382</v>
      </c>
      <c r="C15" s="142">
        <f>SUM(C9:C14)</f>
        <v>1630341541</v>
      </c>
      <c r="D15" s="11"/>
    </row>
    <row r="16" spans="1:4" s="73" customFormat="1">
      <c r="A16" s="177"/>
      <c r="B16" s="85"/>
      <c r="C16" s="85"/>
      <c r="D16" s="11"/>
    </row>
    <row r="17" spans="1:6" s="73" customFormat="1">
      <c r="A17" s="177" t="s">
        <v>483</v>
      </c>
      <c r="B17" s="85"/>
      <c r="C17" s="85"/>
      <c r="D17" s="11"/>
    </row>
    <row r="18" spans="1:6" s="73" customFormat="1">
      <c r="A18" s="178" t="s">
        <v>484</v>
      </c>
      <c r="B18" s="141">
        <v>0</v>
      </c>
      <c r="C18" s="141">
        <v>448367940</v>
      </c>
      <c r="D18" s="11"/>
    </row>
    <row r="19" spans="1:6" s="73" customFormat="1">
      <c r="A19" s="178" t="s">
        <v>485</v>
      </c>
      <c r="B19" s="646">
        <v>42312000</v>
      </c>
      <c r="C19" s="646">
        <v>42693300</v>
      </c>
      <c r="D19" s="11"/>
    </row>
    <row r="20" spans="1:6" s="73" customFormat="1">
      <c r="A20" s="177" t="s">
        <v>9</v>
      </c>
      <c r="B20" s="142">
        <f>SUM(B18:B19)</f>
        <v>42312000</v>
      </c>
      <c r="C20" s="142">
        <f>SUM(C18:C19)</f>
        <v>491061240</v>
      </c>
      <c r="D20" s="11"/>
    </row>
    <row r="21" spans="1:6" s="73" customFormat="1">
      <c r="A21" s="177"/>
      <c r="B21" s="85"/>
      <c r="C21" s="85"/>
      <c r="D21" s="11"/>
    </row>
    <row r="22" spans="1:6" s="73" customFormat="1">
      <c r="A22" s="177"/>
      <c r="B22" s="85"/>
      <c r="C22" s="85"/>
      <c r="D22" s="11"/>
    </row>
    <row r="23" spans="1:6" s="73" customFormat="1">
      <c r="A23" s="177" t="s">
        <v>666</v>
      </c>
      <c r="B23" s="83"/>
      <c r="C23" s="83"/>
    </row>
    <row r="24" spans="1:6" s="73" customFormat="1">
      <c r="A24" s="178" t="s">
        <v>764</v>
      </c>
      <c r="B24" s="646">
        <v>1248996265</v>
      </c>
      <c r="C24" s="646">
        <v>1170484811</v>
      </c>
    </row>
    <row r="25" spans="1:6" s="73" customFormat="1">
      <c r="A25" s="177" t="s">
        <v>9</v>
      </c>
      <c r="B25" s="751">
        <f>SUM(B24)</f>
        <v>1248996265</v>
      </c>
      <c r="C25" s="751">
        <f>SUM(C24)</f>
        <v>1170484811</v>
      </c>
    </row>
    <row r="26" spans="1:6" s="73" customFormat="1" ht="15.75" thickBot="1">
      <c r="A26" s="177" t="s">
        <v>486</v>
      </c>
      <c r="B26" s="647">
        <f>+B15+B20+B25</f>
        <v>5617347647</v>
      </c>
      <c r="C26" s="647">
        <f>+C15+C20+C25</f>
        <v>3291887592</v>
      </c>
      <c r="F26" s="649"/>
    </row>
    <row r="27" spans="1:6" s="73" customFormat="1" ht="15.75" thickTop="1">
      <c r="A27" s="178"/>
      <c r="B27" s="83"/>
      <c r="C27" s="180"/>
    </row>
    <row r="28" spans="1:6" s="73" customFormat="1">
      <c r="A28" s="282" t="s">
        <v>833</v>
      </c>
      <c r="B28" s="82"/>
      <c r="C28" s="179"/>
    </row>
    <row r="29" spans="1:6">
      <c r="A29" s="258"/>
      <c r="B29" s="297"/>
      <c r="C29" s="258"/>
    </row>
    <row r="30" spans="1:6">
      <c r="A30" s="871" t="s">
        <v>831</v>
      </c>
      <c r="B30" s="299"/>
      <c r="C30" s="300"/>
    </row>
    <row r="31" spans="1:6" ht="13.5" customHeight="1">
      <c r="A31" s="3" t="s">
        <v>476</v>
      </c>
      <c r="B31" s="816">
        <v>44561</v>
      </c>
      <c r="C31" s="816">
        <v>44196</v>
      </c>
    </row>
    <row r="32" spans="1:6" ht="14.25" customHeight="1">
      <c r="A32" s="298" t="s">
        <v>832</v>
      </c>
      <c r="B32" s="646">
        <v>1894758026</v>
      </c>
      <c r="C32" s="646">
        <v>4885020675</v>
      </c>
    </row>
    <row r="33" spans="1:3" ht="15.75" thickBot="1">
      <c r="A33" s="177" t="s">
        <v>486</v>
      </c>
      <c r="B33" s="647">
        <f>+B22+B27+B32</f>
        <v>1894758026</v>
      </c>
      <c r="C33" s="647">
        <f>+C22+C27+C32</f>
        <v>4885020675</v>
      </c>
    </row>
    <row r="34" spans="1:3" ht="15.75" thickTop="1">
      <c r="A34" s="258"/>
      <c r="B34" s="267"/>
      <c r="C34" s="300"/>
    </row>
    <row r="35" spans="1:3">
      <c r="A35" s="301"/>
      <c r="B35" s="267"/>
      <c r="C35" s="300"/>
    </row>
    <row r="36" spans="1:3" s="4" customFormat="1">
      <c r="A36" s="302"/>
      <c r="B36" s="262"/>
      <c r="C36" s="263"/>
    </row>
    <row r="37" spans="1:3" s="4" customFormat="1">
      <c r="A37" s="302"/>
      <c r="B37" s="262"/>
      <c r="C37" s="263"/>
    </row>
  </sheetData>
  <mergeCells count="1">
    <mergeCell ref="A4:B4"/>
  </mergeCells>
  <hyperlinks>
    <hyperlink ref="B1" location="BG!A1" display="BG" xr:uid="{0E4F561E-1855-4B51-847C-399E8E7FA1FA}"/>
  </hyperlinks>
  <printOptions horizontalCentered="1"/>
  <pageMargins left="0.70866141732283472" right="0.70866141732283472" top="0.74803149606299213" bottom="0.74803149606299213" header="0.31496062992125984" footer="0.31496062992125984"/>
  <pageSetup paperSize="5" scale="80" orientation="portrait" horizontalDpi="0" verticalDpi="0" r:id="rId1"/>
  <ignoredErrors>
    <ignoredError sqref="C15"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L16"/>
  <sheetViews>
    <sheetView showGridLines="0" workbookViewId="0">
      <selection activeCell="C1" sqref="C1"/>
    </sheetView>
  </sheetViews>
  <sheetFormatPr baseColWidth="10" defaultRowHeight="15"/>
  <cols>
    <col min="1" max="1" width="32.5703125" customWidth="1"/>
    <col min="2" max="2" width="15.140625" customWidth="1"/>
    <col min="3" max="3" width="15.7109375" customWidth="1"/>
    <col min="4" max="4" width="0.140625" hidden="1" customWidth="1"/>
    <col min="5" max="5" width="10.710937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ht="18" customHeight="1">
      <c r="A1" s="1209" t="str">
        <f>Indice!C1</f>
        <v>NICOLAS GONZALEZ ODDONE S.A.E.C.A</v>
      </c>
      <c r="B1" s="1209"/>
      <c r="C1" s="918" t="s">
        <v>79</v>
      </c>
      <c r="D1" s="18"/>
    </row>
    <row r="3" spans="1:12" ht="18" customHeight="1">
      <c r="A3" s="1207" t="s">
        <v>190</v>
      </c>
      <c r="B3" s="1207"/>
      <c r="C3" s="1207"/>
      <c r="D3" s="1207"/>
      <c r="E3" s="50"/>
      <c r="F3" s="50"/>
      <c r="G3" s="50"/>
      <c r="H3" s="50"/>
      <c r="I3" s="50"/>
      <c r="J3" s="50"/>
      <c r="K3" s="50"/>
      <c r="L3" s="50"/>
    </row>
    <row r="4" spans="1:12">
      <c r="A4" s="1249" t="s">
        <v>171</v>
      </c>
      <c r="B4" s="1249"/>
      <c r="E4" s="8"/>
      <c r="F4" s="8"/>
      <c r="G4" s="8"/>
      <c r="H4" s="8"/>
      <c r="I4" s="8"/>
      <c r="J4" s="8"/>
      <c r="K4" s="8"/>
      <c r="L4" s="8"/>
    </row>
    <row r="5" spans="1:12" s="355" customFormat="1" ht="7.5" customHeight="1">
      <c r="A5" s="906"/>
      <c r="B5" s="906"/>
      <c r="E5" s="520"/>
      <c r="F5" s="520"/>
      <c r="G5" s="520"/>
      <c r="H5" s="520"/>
      <c r="I5" s="520"/>
      <c r="J5" s="520"/>
      <c r="K5" s="520"/>
      <c r="L5" s="520"/>
    </row>
    <row r="6" spans="1:12" s="59" customFormat="1">
      <c r="A6" s="159" t="s">
        <v>337</v>
      </c>
      <c r="B6" s="813">
        <v>44561</v>
      </c>
      <c r="C6" s="813">
        <v>44196</v>
      </c>
      <c r="E6" s="8"/>
      <c r="F6" s="8"/>
      <c r="G6" s="8"/>
      <c r="H6" s="8"/>
      <c r="I6" s="8"/>
      <c r="J6" s="8"/>
      <c r="K6" s="8"/>
      <c r="L6" s="8"/>
    </row>
    <row r="7" spans="1:12" s="355" customFormat="1">
      <c r="A7" s="383"/>
      <c r="B7" s="927"/>
      <c r="C7" s="927"/>
      <c r="E7" s="520"/>
      <c r="F7" s="520"/>
      <c r="G7" s="520"/>
      <c r="H7" s="520"/>
      <c r="I7" s="520"/>
      <c r="J7" s="520"/>
      <c r="K7" s="520"/>
      <c r="L7" s="520"/>
    </row>
    <row r="8" spans="1:12" s="59" customFormat="1">
      <c r="A8" s="332" t="s">
        <v>595</v>
      </c>
      <c r="B8" s="131">
        <f>+B9+B10+B11+B12</f>
        <v>785552102000</v>
      </c>
      <c r="C8" s="131">
        <f>+C9+C10+C11+C12</f>
        <v>643227002000</v>
      </c>
      <c r="E8" s="8"/>
      <c r="F8" s="8"/>
      <c r="G8" s="8"/>
      <c r="H8" s="8"/>
      <c r="I8" s="8"/>
      <c r="J8" s="8"/>
      <c r="K8" s="8"/>
      <c r="L8" s="8"/>
    </row>
    <row r="9" spans="1:12" s="59" customFormat="1">
      <c r="A9" s="332" t="s">
        <v>596</v>
      </c>
      <c r="B9" s="131">
        <v>800000000000</v>
      </c>
      <c r="C9" s="131">
        <v>800000000000</v>
      </c>
      <c r="E9" s="852"/>
      <c r="F9" s="8"/>
      <c r="G9" s="8"/>
      <c r="H9" s="8"/>
      <c r="I9" s="8"/>
      <c r="J9" s="8"/>
      <c r="K9" s="8"/>
      <c r="L9" s="8"/>
    </row>
    <row r="10" spans="1:12" s="59" customFormat="1">
      <c r="A10" s="332" t="s">
        <v>597</v>
      </c>
      <c r="B10" s="131">
        <v>-22633000000</v>
      </c>
      <c r="C10" s="131">
        <v>-164958100000</v>
      </c>
      <c r="E10" s="852"/>
      <c r="F10" s="8"/>
      <c r="G10" s="8"/>
      <c r="H10" s="8"/>
      <c r="I10" s="8"/>
      <c r="J10" s="8"/>
      <c r="K10" s="8"/>
      <c r="L10" s="8"/>
    </row>
    <row r="11" spans="1:12" s="355" customFormat="1">
      <c r="A11" s="332" t="s">
        <v>599</v>
      </c>
      <c r="B11" s="131">
        <v>-144200000</v>
      </c>
      <c r="C11" s="131">
        <v>-144200000</v>
      </c>
      <c r="E11" s="852"/>
      <c r="F11" s="360"/>
      <c r="G11" s="360"/>
      <c r="H11" s="360"/>
      <c r="I11" s="360"/>
      <c r="J11" s="360"/>
      <c r="K11" s="360"/>
      <c r="L11" s="360"/>
    </row>
    <row r="12" spans="1:12" s="355" customFormat="1">
      <c r="A12" s="332" t="s">
        <v>600</v>
      </c>
      <c r="B12" s="131">
        <v>8329302000</v>
      </c>
      <c r="C12" s="131">
        <v>8329302000</v>
      </c>
      <c r="E12" s="852"/>
      <c r="F12" s="360"/>
      <c r="G12" s="360"/>
      <c r="H12" s="360"/>
      <c r="I12" s="360"/>
      <c r="J12" s="360"/>
      <c r="K12" s="360"/>
      <c r="L12" s="360"/>
    </row>
    <row r="13" spans="1:12" s="355" customFormat="1">
      <c r="A13" s="332" t="s">
        <v>598</v>
      </c>
      <c r="B13" s="244">
        <v>6348977</v>
      </c>
      <c r="C13" s="131">
        <v>6348977</v>
      </c>
      <c r="E13" s="852"/>
      <c r="F13" s="360"/>
      <c r="G13" s="360"/>
      <c r="H13" s="360"/>
      <c r="I13" s="360"/>
      <c r="J13" s="360"/>
      <c r="K13" s="360"/>
      <c r="L13" s="360"/>
    </row>
    <row r="14" spans="1:12" s="59" customFormat="1">
      <c r="A14" s="170" t="s">
        <v>292</v>
      </c>
      <c r="B14" s="168">
        <v>100000</v>
      </c>
      <c r="C14" s="168">
        <v>100000</v>
      </c>
      <c r="E14" s="8"/>
      <c r="F14" s="8"/>
      <c r="G14" s="8"/>
      <c r="H14" s="8"/>
      <c r="I14" s="8"/>
      <c r="J14" s="8"/>
      <c r="K14" s="8"/>
      <c r="L14" s="8"/>
    </row>
    <row r="15" spans="1:12" ht="15.75" thickBot="1">
      <c r="A15" s="383" t="s">
        <v>1</v>
      </c>
      <c r="B15" s="384">
        <f>SUM(B9:B12)</f>
        <v>785552102000</v>
      </c>
      <c r="C15" s="384">
        <f>SUM(C9:C12)</f>
        <v>643227002000</v>
      </c>
    </row>
    <row r="16" spans="1:12" ht="15.75" thickTop="1">
      <c r="A16" s="332"/>
      <c r="B16" s="332"/>
      <c r="C16" s="332"/>
    </row>
  </sheetData>
  <mergeCells count="3">
    <mergeCell ref="A3:D3"/>
    <mergeCell ref="A1:B1"/>
    <mergeCell ref="A4:B4"/>
  </mergeCells>
  <hyperlinks>
    <hyperlink ref="C1" location="BG!A1" display="BG" xr:uid="{00000000-0004-0000-1A00-000000000000}"/>
  </hyperlinks>
  <pageMargins left="0.70866141732283472" right="0.70866141732283472" top="0.74803149606299213" bottom="0.74803149606299213" header="0.31496062992125984" footer="0.31496062992125984"/>
  <pageSetup paperSize="9" scale="80" orientation="portrait" horizontalDpi="0" verticalDpi="0" r:id="rId1"/>
  <ignoredErrors>
    <ignoredError sqref="B15:C15"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O41"/>
  <sheetViews>
    <sheetView showGridLines="0" workbookViewId="0">
      <selection activeCell="B1" sqref="B1"/>
    </sheetView>
  </sheetViews>
  <sheetFormatPr baseColWidth="10" defaultRowHeight="15"/>
  <cols>
    <col min="1" max="1" width="50.7109375" style="12" customWidth="1"/>
    <col min="2" max="2" width="16.28515625" style="12" customWidth="1"/>
    <col min="3" max="3" width="14.7109375" style="12" customWidth="1"/>
    <col min="4" max="4" width="11.42578125" style="12"/>
    <col min="5" max="5" width="12.5703125" style="12" customWidth="1"/>
    <col min="6" max="6" width="0.42578125" style="12" hidden="1" customWidth="1"/>
    <col min="7" max="7" width="1.85546875" style="12" hidden="1" customWidth="1"/>
    <col min="8" max="9" width="11.42578125" style="12" hidden="1" customWidth="1"/>
    <col min="10" max="10" width="13.7109375" style="12" bestFit="1" customWidth="1"/>
    <col min="11" max="15" width="11.42578125" style="12"/>
  </cols>
  <sheetData>
    <row r="1" spans="1:15" ht="18.75" customHeight="1">
      <c r="A1" s="277" t="str">
        <f>Indice!C1</f>
        <v>NICOLAS GONZALEZ ODDONE S.A.E.C.A</v>
      </c>
      <c r="B1" s="920" t="s">
        <v>79</v>
      </c>
      <c r="C1" s="920"/>
      <c r="D1" s="288"/>
      <c r="E1" s="111"/>
      <c r="F1" s="288"/>
    </row>
    <row r="2" spans="1:15">
      <c r="A2" s="111"/>
      <c r="B2" s="111"/>
      <c r="C2" s="111"/>
      <c r="D2" s="111"/>
      <c r="E2" s="111"/>
      <c r="F2" s="111"/>
    </row>
    <row r="3" spans="1:15" ht="17.25" customHeight="1">
      <c r="A3" s="1207" t="s">
        <v>191</v>
      </c>
      <c r="B3" s="1207"/>
      <c r="C3" s="1207"/>
      <c r="D3" s="1207"/>
      <c r="E3" s="1207"/>
      <c r="F3" s="1207"/>
      <c r="G3" s="22"/>
      <c r="H3" s="22"/>
      <c r="I3" s="22"/>
      <c r="J3" s="4"/>
      <c r="K3" s="4"/>
      <c r="L3" s="22"/>
      <c r="M3" s="22"/>
    </row>
    <row r="4" spans="1:15">
      <c r="A4" s="1262" t="s">
        <v>171</v>
      </c>
      <c r="B4" s="1262"/>
      <c r="C4" s="336"/>
      <c r="D4" s="336"/>
      <c r="E4" s="336"/>
      <c r="F4" s="336"/>
      <c r="G4" s="376"/>
      <c r="H4" s="376"/>
      <c r="I4" s="376"/>
      <c r="J4" s="375"/>
      <c r="K4" s="4"/>
    </row>
    <row r="5" spans="1:15">
      <c r="A5" s="336"/>
      <c r="B5" s="817">
        <v>44561</v>
      </c>
      <c r="C5" s="817">
        <v>44196</v>
      </c>
      <c r="D5" s="336"/>
      <c r="E5" s="336"/>
      <c r="F5" s="336"/>
      <c r="G5" s="376"/>
      <c r="H5" s="376"/>
      <c r="I5" s="376"/>
      <c r="J5" s="376"/>
    </row>
    <row r="6" spans="1:15" s="355" customFormat="1">
      <c r="A6" s="336"/>
      <c r="B6" s="351"/>
      <c r="C6" s="344"/>
      <c r="D6" s="336"/>
      <c r="E6" s="336"/>
      <c r="F6" s="336"/>
      <c r="G6" s="376"/>
      <c r="H6" s="376"/>
      <c r="I6" s="376"/>
      <c r="J6" s="376"/>
      <c r="K6" s="373"/>
      <c r="L6" s="373"/>
      <c r="M6" s="373"/>
      <c r="N6" s="373"/>
      <c r="O6" s="373"/>
    </row>
    <row r="7" spans="1:15" s="355" customFormat="1">
      <c r="A7" s="340" t="s">
        <v>667</v>
      </c>
      <c r="B7" s="345">
        <f>57008661721+472930672+107394557+33978554091</f>
        <v>91567541041</v>
      </c>
      <c r="C7" s="345">
        <f>57008661721+33978554091+472930672+107394557</f>
        <v>91567541041</v>
      </c>
      <c r="D7" s="336"/>
      <c r="E7" s="336"/>
      <c r="F7" s="336"/>
      <c r="G7" s="376"/>
      <c r="H7" s="376"/>
      <c r="I7" s="376"/>
      <c r="J7" s="376"/>
      <c r="K7" s="373"/>
      <c r="L7" s="373"/>
      <c r="M7" s="373"/>
      <c r="N7" s="373"/>
      <c r="O7" s="373"/>
    </row>
    <row r="8" spans="1:15" s="355" customFormat="1">
      <c r="A8" s="340" t="s">
        <v>618</v>
      </c>
      <c r="B8" s="530">
        <v>87405000939</v>
      </c>
      <c r="C8" s="530">
        <v>87405000939</v>
      </c>
      <c r="D8" s="336"/>
      <c r="E8" s="336"/>
      <c r="F8" s="336"/>
      <c r="G8" s="376"/>
      <c r="H8" s="376"/>
      <c r="I8" s="376"/>
      <c r="J8" s="270"/>
      <c r="K8" s="373"/>
      <c r="L8" s="373"/>
      <c r="M8" s="373"/>
      <c r="N8" s="373"/>
      <c r="O8" s="373"/>
    </row>
    <row r="9" spans="1:15">
      <c r="A9" s="340" t="s">
        <v>1</v>
      </c>
      <c r="B9" s="342">
        <f>SUM(B7:B8)</f>
        <v>178972541980</v>
      </c>
      <c r="C9" s="342">
        <f>SUM(C7:C8)</f>
        <v>178972541980</v>
      </c>
      <c r="D9" s="336"/>
      <c r="E9" s="336"/>
      <c r="F9" s="336"/>
      <c r="G9" s="376"/>
      <c r="H9" s="376"/>
      <c r="I9" s="376"/>
      <c r="J9" s="376"/>
    </row>
    <row r="10" spans="1:15" s="59" customFormat="1">
      <c r="A10" s="340"/>
      <c r="B10" s="335"/>
      <c r="C10" s="335"/>
      <c r="D10" s="336"/>
      <c r="E10" s="336"/>
      <c r="F10" s="336"/>
      <c r="G10" s="376"/>
      <c r="H10" s="376"/>
      <c r="I10" s="376"/>
      <c r="J10" s="376"/>
      <c r="K10" s="12"/>
      <c r="L10" s="12"/>
      <c r="M10" s="12"/>
      <c r="N10" s="12"/>
      <c r="O10" s="12"/>
    </row>
    <row r="11" spans="1:15" s="59" customFormat="1" ht="21" customHeight="1">
      <c r="A11" s="340"/>
      <c r="B11" s="335"/>
      <c r="C11" s="335"/>
      <c r="D11" s="336"/>
      <c r="E11" s="336"/>
      <c r="F11" s="336"/>
      <c r="G11" s="376"/>
      <c r="H11" s="376"/>
      <c r="I11" s="376"/>
      <c r="J11" s="376"/>
      <c r="K11" s="12"/>
      <c r="L11" s="12"/>
      <c r="M11" s="12"/>
      <c r="N11" s="12"/>
      <c r="O11" s="12"/>
    </row>
    <row r="12" spans="1:15" s="59" customFormat="1" ht="48.75" customHeight="1">
      <c r="A12" s="340"/>
      <c r="B12" s="335"/>
      <c r="C12" s="335"/>
      <c r="D12" s="336"/>
      <c r="E12" s="336"/>
      <c r="F12" s="336"/>
      <c r="G12" s="376"/>
      <c r="H12" s="376"/>
      <c r="I12" s="376"/>
      <c r="J12" s="376"/>
      <c r="K12" s="12"/>
      <c r="L12" s="12"/>
      <c r="M12" s="12"/>
      <c r="N12" s="12"/>
      <c r="O12" s="12"/>
    </row>
    <row r="13" spans="1:15" s="355" customFormat="1" ht="20.25" customHeight="1">
      <c r="A13" s="340" t="s">
        <v>593</v>
      </c>
      <c r="B13" s="342">
        <v>54822159515</v>
      </c>
      <c r="C13" s="342">
        <v>49691949474</v>
      </c>
      <c r="D13" s="336"/>
      <c r="E13" s="336"/>
      <c r="F13" s="336"/>
      <c r="G13" s="376"/>
      <c r="H13" s="376"/>
      <c r="I13" s="376"/>
      <c r="J13" s="376"/>
      <c r="K13" s="373"/>
      <c r="L13" s="373"/>
      <c r="M13" s="373"/>
      <c r="N13" s="373"/>
      <c r="O13" s="373"/>
    </row>
    <row r="14" spans="1:15" ht="12.75" customHeight="1">
      <c r="A14" s="340" t="s">
        <v>594</v>
      </c>
      <c r="B14" s="893">
        <v>506745718</v>
      </c>
      <c r="C14" s="187">
        <v>506745718</v>
      </c>
      <c r="D14" s="336"/>
      <c r="E14" s="336"/>
      <c r="F14" s="336"/>
      <c r="G14" s="376"/>
      <c r="H14" s="376"/>
      <c r="I14" s="376"/>
      <c r="J14" s="376"/>
    </row>
    <row r="15" spans="1:15" s="59" customFormat="1">
      <c r="A15" s="340" t="s">
        <v>1</v>
      </c>
      <c r="B15" s="163">
        <f>SUM(B13:B14)</f>
        <v>55328905233</v>
      </c>
      <c r="C15" s="163">
        <f>SUM(C13:C14)</f>
        <v>50198695192</v>
      </c>
      <c r="D15" s="336"/>
      <c r="E15" s="336"/>
      <c r="F15" s="336"/>
      <c r="G15" s="376"/>
      <c r="H15" s="376"/>
      <c r="I15" s="376"/>
      <c r="J15" s="376"/>
      <c r="K15" s="12"/>
      <c r="L15" s="12"/>
      <c r="M15" s="12"/>
      <c r="N15" s="12"/>
      <c r="O15" s="12"/>
    </row>
    <row r="16" spans="1:15" s="59" customFormat="1" ht="9" customHeight="1">
      <c r="A16" s="340"/>
      <c r="B16" s="336"/>
      <c r="C16" s="336"/>
      <c r="D16" s="336"/>
      <c r="E16" s="336"/>
      <c r="F16" s="336"/>
      <c r="G16" s="376"/>
      <c r="H16" s="376"/>
      <c r="I16" s="376"/>
      <c r="J16" s="376"/>
      <c r="K16" s="12"/>
      <c r="L16" s="12"/>
      <c r="M16" s="12"/>
      <c r="N16" s="12"/>
      <c r="O16" s="12"/>
    </row>
    <row r="17" spans="1:15" s="59" customFormat="1" ht="30.75" hidden="1" customHeight="1">
      <c r="A17" s="340"/>
      <c r="B17" s="336"/>
      <c r="C17" s="336"/>
      <c r="D17" s="336"/>
      <c r="E17" s="336"/>
      <c r="F17" s="336"/>
      <c r="G17" s="376"/>
      <c r="H17" s="376"/>
      <c r="I17" s="376"/>
      <c r="J17" s="376"/>
      <c r="K17" s="12"/>
      <c r="L17" s="12"/>
      <c r="M17" s="12"/>
      <c r="N17" s="12"/>
      <c r="O17" s="12"/>
    </row>
    <row r="18" spans="1:15" hidden="1">
      <c r="A18" s="340" t="s">
        <v>85</v>
      </c>
      <c r="B18" s="336"/>
      <c r="C18" s="336"/>
      <c r="D18" s="336"/>
      <c r="E18" s="336"/>
      <c r="F18" s="336"/>
      <c r="G18" s="376"/>
      <c r="H18" s="376"/>
      <c r="I18" s="376"/>
      <c r="J18" s="376"/>
    </row>
    <row r="19" spans="1:15" s="59" customFormat="1" hidden="1">
      <c r="A19" s="340"/>
      <c r="B19" s="336"/>
      <c r="C19" s="336"/>
      <c r="D19" s="336"/>
      <c r="E19" s="336"/>
      <c r="F19" s="336"/>
      <c r="G19" s="376"/>
      <c r="H19" s="376"/>
      <c r="I19" s="376"/>
      <c r="J19" s="376"/>
      <c r="K19" s="12"/>
      <c r="L19" s="12"/>
      <c r="M19" s="12"/>
      <c r="N19" s="12"/>
      <c r="O19" s="12"/>
    </row>
    <row r="20" spans="1:15" s="59" customFormat="1" hidden="1">
      <c r="A20" s="340"/>
      <c r="B20" s="336"/>
      <c r="C20" s="336"/>
      <c r="D20" s="336"/>
      <c r="E20" s="336"/>
      <c r="F20" s="336"/>
      <c r="G20" s="376"/>
      <c r="H20" s="376"/>
      <c r="I20" s="376"/>
      <c r="J20" s="376"/>
      <c r="K20" s="12"/>
      <c r="L20" s="12"/>
      <c r="M20" s="12"/>
      <c r="N20" s="12"/>
      <c r="O20" s="12"/>
    </row>
    <row r="21" spans="1:15" s="59" customFormat="1" hidden="1">
      <c r="A21" s="340"/>
      <c r="B21" s="336"/>
      <c r="C21" s="336"/>
      <c r="D21" s="336"/>
      <c r="E21" s="336"/>
      <c r="F21" s="336"/>
      <c r="G21" s="376"/>
      <c r="H21" s="376"/>
      <c r="I21" s="376"/>
      <c r="J21" s="376"/>
      <c r="K21" s="12"/>
      <c r="L21" s="12"/>
      <c r="M21" s="12"/>
      <c r="N21" s="12"/>
      <c r="O21" s="12"/>
    </row>
    <row r="22" spans="1:15" hidden="1">
      <c r="A22" s="340" t="s">
        <v>86</v>
      </c>
      <c r="B22" s="336">
        <f>+SUM($B$23:B28)</f>
        <v>0</v>
      </c>
      <c r="C22" s="336">
        <f>+SUM($C$23:C28)</f>
        <v>0</v>
      </c>
      <c r="D22" s="336"/>
      <c r="E22" s="336"/>
      <c r="F22" s="336"/>
      <c r="G22" s="376"/>
      <c r="H22" s="376"/>
      <c r="I22" s="376"/>
      <c r="J22" s="376"/>
    </row>
    <row r="23" spans="1:15" hidden="1">
      <c r="A23" s="336" t="s">
        <v>293</v>
      </c>
      <c r="B23" s="336"/>
      <c r="C23" s="336"/>
      <c r="D23" s="336"/>
      <c r="E23" s="336"/>
      <c r="F23" s="336"/>
      <c r="G23" s="376"/>
      <c r="H23" s="376"/>
      <c r="I23" s="376"/>
      <c r="J23" s="376"/>
    </row>
    <row r="24" spans="1:15" hidden="1">
      <c r="A24" s="336" t="s">
        <v>294</v>
      </c>
      <c r="B24" s="336"/>
      <c r="C24" s="336"/>
      <c r="D24" s="336"/>
      <c r="E24" s="336"/>
      <c r="F24" s="336"/>
      <c r="G24" s="376"/>
      <c r="H24" s="376"/>
      <c r="I24" s="376"/>
      <c r="J24" s="376"/>
    </row>
    <row r="25" spans="1:15" hidden="1">
      <c r="A25" s="336"/>
      <c r="B25" s="336"/>
      <c r="C25" s="336"/>
      <c r="D25" s="336"/>
      <c r="E25" s="336"/>
      <c r="F25" s="336"/>
      <c r="G25" s="376"/>
      <c r="H25" s="376"/>
      <c r="I25" s="376"/>
      <c r="J25" s="376"/>
    </row>
    <row r="26" spans="1:15">
      <c r="A26" s="376"/>
      <c r="B26" s="376"/>
      <c r="C26" s="376"/>
      <c r="D26" s="376"/>
      <c r="E26" s="376"/>
      <c r="F26" s="376"/>
      <c r="G26" s="376"/>
      <c r="H26" s="376"/>
      <c r="I26" s="376"/>
      <c r="J26" s="376"/>
    </row>
    <row r="27" spans="1:15">
      <c r="A27" s="376"/>
      <c r="B27" s="376"/>
      <c r="C27" s="376"/>
      <c r="D27" s="376"/>
      <c r="E27" s="376"/>
      <c r="F27" s="376"/>
      <c r="G27" s="376"/>
      <c r="H27" s="376"/>
      <c r="I27" s="376"/>
      <c r="J27" s="376"/>
    </row>
    <row r="28" spans="1:15">
      <c r="A28" s="376"/>
      <c r="B28" s="376"/>
      <c r="C28" s="376"/>
      <c r="D28" s="376"/>
      <c r="E28" s="376"/>
      <c r="F28" s="376"/>
      <c r="G28" s="376"/>
      <c r="H28" s="376"/>
      <c r="I28" s="376"/>
      <c r="J28" s="376"/>
    </row>
    <row r="29" spans="1:15">
      <c r="A29" s="376"/>
      <c r="B29" s="376"/>
      <c r="C29" s="376"/>
      <c r="D29" s="376"/>
      <c r="E29" s="376"/>
      <c r="F29" s="376"/>
      <c r="G29" s="376"/>
      <c r="H29" s="376"/>
      <c r="I29" s="376"/>
      <c r="J29" s="376"/>
    </row>
    <row r="30" spans="1:15">
      <c r="A30" s="196" t="s">
        <v>602</v>
      </c>
      <c r="B30" s="149">
        <v>6027373750</v>
      </c>
      <c r="C30" s="353">
        <v>80120680209</v>
      </c>
      <c r="D30" s="376"/>
      <c r="E30" s="376"/>
      <c r="F30" s="376"/>
      <c r="G30" s="376"/>
      <c r="H30" s="376"/>
      <c r="I30" s="376"/>
      <c r="J30" s="376"/>
    </row>
    <row r="31" spans="1:15" s="355" customFormat="1" ht="17.25" customHeight="1">
      <c r="A31" s="340" t="s">
        <v>1</v>
      </c>
      <c r="B31" s="163">
        <f>SUM(B30)</f>
        <v>6027373750</v>
      </c>
      <c r="C31" s="270">
        <f>SUM(C30)</f>
        <v>80120680209</v>
      </c>
      <c r="D31" s="376"/>
      <c r="E31" s="376"/>
      <c r="F31" s="376"/>
      <c r="G31" s="376"/>
      <c r="H31" s="376"/>
      <c r="I31" s="376"/>
      <c r="J31" s="376"/>
      <c r="K31" s="373"/>
      <c r="L31" s="373"/>
      <c r="M31" s="373"/>
      <c r="N31" s="373"/>
      <c r="O31" s="373"/>
    </row>
    <row r="32" spans="1:15" s="355" customFormat="1">
      <c r="A32" s="336"/>
      <c r="B32" s="336"/>
      <c r="C32" s="376"/>
      <c r="D32" s="376"/>
      <c r="E32" s="376"/>
      <c r="F32" s="376"/>
      <c r="G32" s="376"/>
      <c r="H32" s="376"/>
      <c r="I32" s="376"/>
      <c r="J32" s="376"/>
      <c r="K32" s="373"/>
      <c r="L32" s="373"/>
      <c r="M32" s="373"/>
      <c r="N32" s="373"/>
      <c r="O32" s="373"/>
    </row>
    <row r="33" spans="1:15" s="355" customFormat="1">
      <c r="A33" s="376"/>
      <c r="B33" s="376"/>
      <c r="C33" s="376"/>
      <c r="D33" s="376"/>
      <c r="E33" s="376"/>
      <c r="F33" s="376"/>
      <c r="G33" s="376"/>
      <c r="H33" s="376"/>
      <c r="I33" s="376"/>
      <c r="J33" s="376"/>
      <c r="K33" s="373"/>
      <c r="L33" s="373"/>
      <c r="M33" s="373"/>
      <c r="N33" s="373"/>
      <c r="O33" s="373"/>
    </row>
    <row r="34" spans="1:15" s="355" customFormat="1">
      <c r="A34" s="376"/>
      <c r="B34" s="376"/>
      <c r="C34" s="376"/>
      <c r="D34" s="376"/>
      <c r="E34" s="376"/>
      <c r="F34" s="376"/>
      <c r="G34" s="376"/>
      <c r="H34" s="376"/>
      <c r="I34" s="376"/>
      <c r="J34" s="376"/>
      <c r="K34" s="373"/>
      <c r="L34" s="373"/>
      <c r="M34" s="373"/>
      <c r="N34" s="373"/>
      <c r="O34" s="373"/>
    </row>
    <row r="35" spans="1:15" s="355" customFormat="1">
      <c r="A35" s="376"/>
      <c r="B35" s="376"/>
      <c r="C35" s="376"/>
      <c r="D35" s="376"/>
      <c r="E35" s="376"/>
      <c r="F35" s="376"/>
      <c r="G35" s="376"/>
      <c r="H35" s="376"/>
      <c r="I35" s="376"/>
      <c r="J35" s="376"/>
      <c r="K35" s="373"/>
      <c r="L35" s="373"/>
      <c r="M35" s="373"/>
      <c r="N35" s="373"/>
      <c r="O35" s="373"/>
    </row>
    <row r="36" spans="1:15" s="355" customFormat="1">
      <c r="A36" s="376" t="s">
        <v>668</v>
      </c>
      <c r="B36" s="376"/>
      <c r="C36" s="376"/>
      <c r="D36" s="376"/>
      <c r="E36" s="376"/>
      <c r="F36" s="376"/>
      <c r="G36" s="376"/>
      <c r="H36" s="376"/>
      <c r="I36" s="376"/>
      <c r="J36" s="376"/>
      <c r="K36" s="373"/>
      <c r="L36" s="373"/>
      <c r="M36" s="373"/>
      <c r="N36" s="373"/>
      <c r="O36" s="373"/>
    </row>
    <row r="37" spans="1:15">
      <c r="A37" s="111" t="s">
        <v>603</v>
      </c>
      <c r="B37" s="149">
        <v>-47385000</v>
      </c>
      <c r="C37" s="353">
        <v>-47385000</v>
      </c>
    </row>
    <row r="38" spans="1:15" ht="15.75" thickBot="1">
      <c r="A38" s="144" t="s">
        <v>604</v>
      </c>
      <c r="B38" s="350">
        <f>B9+B15+B31+B37</f>
        <v>240281435963</v>
      </c>
      <c r="C38" s="382">
        <f>+C9+C15+C31+C37</f>
        <v>309244532381</v>
      </c>
    </row>
    <row r="39" spans="1:15" ht="15.75" thickTop="1">
      <c r="B39" s="74"/>
      <c r="C39" s="74"/>
    </row>
    <row r="40" spans="1:15">
      <c r="B40" s="74"/>
    </row>
    <row r="41" spans="1:15">
      <c r="B41" s="74"/>
    </row>
  </sheetData>
  <mergeCells count="2">
    <mergeCell ref="A3:F3"/>
    <mergeCell ref="A4:B4"/>
  </mergeCells>
  <hyperlinks>
    <hyperlink ref="B1" location="BG!A1" display="BG" xr:uid="{AF58B519-2E09-49A9-A13D-2009AAAA7DE6}"/>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Y10"/>
  <sheetViews>
    <sheetView showGridLines="0" workbookViewId="0">
      <selection activeCell="C8" sqref="C8"/>
    </sheetView>
  </sheetViews>
  <sheetFormatPr baseColWidth="10" defaultRowHeight="15"/>
  <cols>
    <col min="1" max="1" width="34.42578125" style="4" customWidth="1"/>
    <col min="2" max="3" width="19" style="4" customWidth="1"/>
    <col min="4" max="5" width="0.140625" style="4" customWidth="1"/>
    <col min="6" max="6" width="11.42578125" style="4" hidden="1" customWidth="1"/>
    <col min="7" max="25" width="11.42578125" style="4"/>
  </cols>
  <sheetData>
    <row r="1" spans="1:15" s="355" customFormat="1" ht="18.75" customHeight="1">
      <c r="A1" s="277" t="str">
        <f>Indice!C1</f>
        <v>NICOLAS GONZALEZ ODDONE S.A.E.C.A</v>
      </c>
      <c r="B1" s="277"/>
      <c r="C1" s="920" t="s">
        <v>79</v>
      </c>
      <c r="D1" s="288"/>
      <c r="E1" s="111"/>
      <c r="F1" s="288"/>
      <c r="G1" s="373"/>
      <c r="H1" s="373"/>
      <c r="I1" s="373"/>
      <c r="J1" s="373"/>
      <c r="K1" s="373"/>
      <c r="L1" s="373"/>
      <c r="M1" s="373"/>
      <c r="N1" s="373"/>
      <c r="O1" s="373"/>
    </row>
    <row r="2" spans="1:15" s="355" customFormat="1" ht="18.75" customHeight="1">
      <c r="A2" s="657"/>
      <c r="B2" s="657"/>
      <c r="C2" s="921"/>
      <c r="D2" s="288"/>
      <c r="E2" s="111"/>
      <c r="F2" s="288"/>
      <c r="G2" s="373"/>
      <c r="H2" s="373"/>
      <c r="I2" s="373"/>
      <c r="J2" s="373"/>
      <c r="K2" s="373"/>
      <c r="L2" s="373"/>
      <c r="M2" s="373"/>
      <c r="N2" s="373"/>
      <c r="O2" s="373"/>
    </row>
    <row r="3" spans="1:15" ht="20.25" customHeight="1">
      <c r="A3" s="282" t="s">
        <v>875</v>
      </c>
      <c r="B3" s="282"/>
      <c r="C3" s="282"/>
      <c r="D3" s="60"/>
      <c r="E3" s="50"/>
      <c r="F3" s="51"/>
    </row>
    <row r="4" spans="1:15">
      <c r="A4" s="1263" t="s">
        <v>171</v>
      </c>
      <c r="B4" s="1263"/>
    </row>
    <row r="5" spans="1:15" ht="23.25">
      <c r="A5" s="334" t="s">
        <v>613</v>
      </c>
      <c r="B5" s="1261"/>
      <c r="C5" s="1261"/>
    </row>
    <row r="6" spans="1:15" ht="13.5" customHeight="1">
      <c r="B6" s="803">
        <v>44561</v>
      </c>
      <c r="C6" s="803">
        <v>44196</v>
      </c>
    </row>
    <row r="7" spans="1:15">
      <c r="A7" s="117" t="s">
        <v>47</v>
      </c>
    </row>
    <row r="9" spans="1:15">
      <c r="B9" s="775"/>
      <c r="C9" s="775"/>
    </row>
    <row r="10" spans="1:15">
      <c r="B10" s="776" t="s">
        <v>367</v>
      </c>
      <c r="C10" s="776" t="s">
        <v>367</v>
      </c>
    </row>
  </sheetData>
  <mergeCells count="2">
    <mergeCell ref="B5:C5"/>
    <mergeCell ref="A4:B4"/>
  </mergeCells>
  <hyperlinks>
    <hyperlink ref="C1" location="BG!A1" display="BG" xr:uid="{2A64B0B4-0744-4C24-BDC4-6EF4B0379CE0}"/>
  </hyperlinks>
  <pageMargins left="1.9685039370078741" right="1.7716535433070868" top="1.9685039370078741" bottom="0.74803149606299213" header="0.31496062992125984" footer="0.31496062992125984"/>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K85"/>
  <sheetViews>
    <sheetView showGridLines="0" topLeftCell="A27" zoomScaleNormal="100" workbookViewId="0"/>
  </sheetViews>
  <sheetFormatPr baseColWidth="10" defaultColWidth="11.42578125" defaultRowHeight="12"/>
  <cols>
    <col min="1" max="1" width="2" style="522" customWidth="1"/>
    <col min="2" max="2" width="1.140625" style="522" hidden="1" customWidth="1"/>
    <col min="3" max="3" width="51.85546875" style="522" customWidth="1"/>
    <col min="4" max="4" width="8" style="519" customWidth="1"/>
    <col min="5" max="5" width="17" style="130" customWidth="1"/>
    <col min="6" max="6" width="17.42578125" style="130" customWidth="1"/>
    <col min="7" max="7" width="17.42578125" style="522" customWidth="1"/>
    <col min="8" max="8" width="16.7109375" style="522" hidden="1" customWidth="1"/>
    <col min="9" max="9" width="14.28515625" style="522" hidden="1" customWidth="1"/>
    <col min="10" max="10" width="16.7109375" style="522" bestFit="1" customWidth="1"/>
    <col min="11" max="11" width="14.28515625" style="522" bestFit="1" customWidth="1"/>
    <col min="12" max="16384" width="11.42578125" style="522"/>
  </cols>
  <sheetData>
    <row r="1" spans="1:11" ht="21" customHeight="1">
      <c r="C1" s="915" t="str">
        <f>Indice!C1</f>
        <v>NICOLAS GONZALEZ ODDONE S.A.E.C.A</v>
      </c>
      <c r="D1" s="316" t="s">
        <v>234</v>
      </c>
    </row>
    <row r="2" spans="1:11">
      <c r="F2" s="740"/>
    </row>
    <row r="3" spans="1:11" ht="12.75">
      <c r="C3" s="534" t="s">
        <v>1046</v>
      </c>
      <c r="D3" s="256"/>
      <c r="E3" s="731"/>
      <c r="F3" s="731"/>
      <c r="G3" s="356"/>
    </row>
    <row r="4" spans="1:11" ht="9.75" customHeight="1"/>
    <row r="5" spans="1:11" ht="14.25" customHeight="1">
      <c r="A5" s="320"/>
      <c r="B5" s="320"/>
      <c r="C5" s="320"/>
      <c r="D5" s="321" t="s">
        <v>126</v>
      </c>
      <c r="E5" s="510">
        <v>44561</v>
      </c>
      <c r="F5" s="510">
        <v>44196</v>
      </c>
    </row>
    <row r="6" spans="1:11">
      <c r="C6" s="1204" t="s">
        <v>133</v>
      </c>
      <c r="D6" s="1204"/>
      <c r="E6" s="1204"/>
      <c r="F6" s="1204"/>
      <c r="G6" s="1204"/>
      <c r="H6" s="1204"/>
      <c r="I6" s="1204"/>
      <c r="J6" s="1121"/>
      <c r="K6" s="1121"/>
    </row>
    <row r="7" spans="1:11">
      <c r="C7" s="76"/>
      <c r="D7" s="76"/>
      <c r="E7" s="721"/>
      <c r="F7" s="721"/>
      <c r="G7" s="76"/>
      <c r="H7" s="76"/>
      <c r="I7" s="76"/>
      <c r="J7" s="1121"/>
      <c r="K7" s="1121"/>
    </row>
    <row r="8" spans="1:11" ht="11.25" customHeight="1">
      <c r="A8" s="1206" t="s">
        <v>127</v>
      </c>
      <c r="B8" s="1206"/>
      <c r="C8" s="1206"/>
      <c r="D8" s="535"/>
      <c r="J8" s="1121"/>
      <c r="K8" s="1121"/>
    </row>
    <row r="9" spans="1:11">
      <c r="A9" s="536" t="s">
        <v>329</v>
      </c>
      <c r="B9" s="537"/>
      <c r="C9" s="537"/>
      <c r="D9" s="314"/>
      <c r="F9" s="691"/>
      <c r="J9" s="1121"/>
      <c r="K9" s="1121"/>
    </row>
    <row r="10" spans="1:11">
      <c r="B10" s="1210" t="s">
        <v>128</v>
      </c>
      <c r="C10" s="1210"/>
      <c r="D10" s="317">
        <v>3</v>
      </c>
      <c r="E10" s="515">
        <f>'Nota 3'!C20</f>
        <v>64126541536</v>
      </c>
      <c r="F10" s="709">
        <f>'Nota 3'!D20</f>
        <v>64916787921</v>
      </c>
      <c r="J10" s="1121"/>
      <c r="K10" s="1121"/>
    </row>
    <row r="11" spans="1:11">
      <c r="B11" s="1210" t="s">
        <v>758</v>
      </c>
      <c r="C11" s="1210"/>
      <c r="D11" s="317">
        <v>4</v>
      </c>
      <c r="E11" s="515">
        <f>'Nota 4'!B20</f>
        <v>44865166465</v>
      </c>
      <c r="F11" s="709">
        <f>'Nota 4'!C20</f>
        <v>172377481600</v>
      </c>
      <c r="J11" s="1121"/>
      <c r="K11" s="1121"/>
    </row>
    <row r="12" spans="1:11">
      <c r="B12" s="1210" t="s">
        <v>759</v>
      </c>
      <c r="C12" s="1210"/>
      <c r="D12" s="318">
        <v>5</v>
      </c>
      <c r="E12" s="1067">
        <f>'Nota 5'!C19</f>
        <v>284952441791</v>
      </c>
      <c r="F12" s="692">
        <f>'Nota 5'!D19</f>
        <v>284449211487</v>
      </c>
      <c r="J12" s="1121"/>
      <c r="K12" s="1075"/>
    </row>
    <row r="13" spans="1:11">
      <c r="B13" s="1210" t="s">
        <v>650</v>
      </c>
      <c r="C13" s="1210"/>
      <c r="D13" s="318">
        <v>6</v>
      </c>
      <c r="E13" s="1035">
        <f>'Nota 6'!B54</f>
        <v>20034713835</v>
      </c>
      <c r="F13" s="709">
        <f>'Nota 6'!C54</f>
        <v>11394632809</v>
      </c>
      <c r="G13" s="116"/>
      <c r="J13" s="1121"/>
      <c r="K13" s="1121"/>
    </row>
    <row r="14" spans="1:11">
      <c r="B14" s="522" t="s">
        <v>325</v>
      </c>
      <c r="C14" s="522" t="s">
        <v>325</v>
      </c>
      <c r="D14" s="318">
        <v>7</v>
      </c>
      <c r="E14" s="759">
        <f>'Nota 7'!B27</f>
        <v>574994315757</v>
      </c>
      <c r="F14" s="709">
        <f>+'Nota 7'!C27</f>
        <v>364536038453</v>
      </c>
      <c r="G14" s="273"/>
      <c r="J14" s="1075"/>
      <c r="K14" s="1121"/>
    </row>
    <row r="15" spans="1:11" hidden="1">
      <c r="B15" s="1210" t="s">
        <v>653</v>
      </c>
      <c r="C15" s="1210"/>
      <c r="D15" s="318">
        <v>6</v>
      </c>
      <c r="E15" s="1036">
        <f>'Nota 6'!B88</f>
        <v>0</v>
      </c>
      <c r="F15" s="705">
        <f>'Nota 6'!C88</f>
        <v>0</v>
      </c>
      <c r="H15" s="116"/>
      <c r="J15" s="1121"/>
      <c r="K15" s="1121"/>
    </row>
    <row r="16" spans="1:11">
      <c r="B16" s="395" t="s">
        <v>312</v>
      </c>
      <c r="D16" s="1068"/>
      <c r="E16" s="727">
        <f>SUM(E10:E15)</f>
        <v>988973179384</v>
      </c>
      <c r="F16" s="727">
        <f>SUM(F10:F15)</f>
        <v>897674152270</v>
      </c>
      <c r="G16" s="273"/>
      <c r="H16" s="273"/>
      <c r="J16" s="1122"/>
      <c r="K16" s="1121"/>
    </row>
    <row r="17" spans="1:11">
      <c r="B17" s="395"/>
      <c r="D17" s="1068"/>
      <c r="E17" s="727"/>
      <c r="F17" s="727"/>
      <c r="J17" s="1121"/>
      <c r="K17" s="1121"/>
    </row>
    <row r="18" spans="1:11">
      <c r="A18" s="536" t="s">
        <v>328</v>
      </c>
      <c r="B18" s="537"/>
      <c r="C18" s="537"/>
      <c r="D18" s="1068"/>
      <c r="E18" s="1069"/>
      <c r="F18" s="691"/>
      <c r="J18" s="1121"/>
      <c r="K18" s="1121"/>
    </row>
    <row r="19" spans="1:11" hidden="1">
      <c r="B19" s="1210" t="s">
        <v>652</v>
      </c>
      <c r="C19" s="1210"/>
      <c r="D19" s="318">
        <v>6</v>
      </c>
      <c r="E19" s="1067">
        <v>0</v>
      </c>
      <c r="F19" s="912">
        <v>0</v>
      </c>
      <c r="J19" s="1121"/>
      <c r="K19" s="1121"/>
    </row>
    <row r="20" spans="1:11">
      <c r="C20" s="151" t="s">
        <v>759</v>
      </c>
      <c r="D20" s="318">
        <v>5</v>
      </c>
      <c r="E20" s="759">
        <f>'Nota 5'!C49</f>
        <v>21668303511</v>
      </c>
      <c r="F20" s="515">
        <f>'Nota 5'!D49</f>
        <v>752588703</v>
      </c>
      <c r="J20" s="1121"/>
      <c r="K20" s="1121"/>
    </row>
    <row r="21" spans="1:11">
      <c r="B21" s="1210" t="s">
        <v>760</v>
      </c>
      <c r="C21" s="1210"/>
      <c r="D21" s="318">
        <v>8</v>
      </c>
      <c r="E21" s="759">
        <f>'Nota 8'!B10</f>
        <v>64680028660</v>
      </c>
      <c r="F21" s="691">
        <f>'Nota 8'!C10</f>
        <v>44713924776</v>
      </c>
      <c r="J21" s="1121"/>
      <c r="K21" s="1121"/>
    </row>
    <row r="22" spans="1:11">
      <c r="B22" s="1214" t="s">
        <v>661</v>
      </c>
      <c r="C22" s="1214"/>
      <c r="D22" s="318">
        <v>9</v>
      </c>
      <c r="E22" s="759">
        <f>'Nota 9'!L50</f>
        <v>342143561708</v>
      </c>
      <c r="F22" s="691">
        <f>'Nota 9'!M50</f>
        <v>349540560532</v>
      </c>
      <c r="H22" s="273"/>
      <c r="I22" s="116"/>
      <c r="J22" s="1121"/>
      <c r="K22" s="1121"/>
    </row>
    <row r="23" spans="1:11">
      <c r="B23" s="1210" t="s">
        <v>325</v>
      </c>
      <c r="C23" s="1210"/>
      <c r="D23" s="317">
        <v>7</v>
      </c>
      <c r="E23" s="1035">
        <f>'Nota 7'!B36</f>
        <v>2879290625</v>
      </c>
      <c r="F23" s="691">
        <f>'Nota 7'!C35</f>
        <v>1727462596</v>
      </c>
      <c r="I23" s="116"/>
      <c r="J23" s="1121"/>
      <c r="K23" s="1121"/>
    </row>
    <row r="24" spans="1:11">
      <c r="B24" s="1210" t="s">
        <v>830</v>
      </c>
      <c r="C24" s="1210"/>
      <c r="D24" s="317">
        <v>6</v>
      </c>
      <c r="E24" s="1035">
        <f>'Nota 6'!F14</f>
        <v>1890351611</v>
      </c>
      <c r="F24" s="1032">
        <f>'Nota 6'!G14</f>
        <v>4849836142</v>
      </c>
      <c r="J24" s="1121"/>
      <c r="K24" s="1121"/>
    </row>
    <row r="25" spans="1:11">
      <c r="B25" s="1210" t="s">
        <v>330</v>
      </c>
      <c r="C25" s="1210"/>
      <c r="D25" s="317">
        <v>11</v>
      </c>
      <c r="E25" s="759">
        <f>'Nota 11'!B31</f>
        <v>5597767493</v>
      </c>
      <c r="F25" s="691">
        <f>'Nota 11'!C31</f>
        <v>5453082128</v>
      </c>
      <c r="J25" s="197"/>
      <c r="K25" s="1121"/>
    </row>
    <row r="26" spans="1:11" ht="10.5" hidden="1" customHeight="1">
      <c r="B26" s="1210" t="s">
        <v>331</v>
      </c>
      <c r="C26" s="1210"/>
      <c r="D26" s="317">
        <v>12</v>
      </c>
      <c r="E26" s="723">
        <f>'[1]Nota 12'!B11</f>
        <v>0</v>
      </c>
      <c r="F26" s="691">
        <f>'[1]Nota 12'!C11</f>
        <v>0</v>
      </c>
      <c r="J26" s="197"/>
      <c r="K26" s="1121"/>
    </row>
    <row r="27" spans="1:11">
      <c r="B27" s="522" t="s">
        <v>332</v>
      </c>
      <c r="C27" s="522" t="s">
        <v>992</v>
      </c>
      <c r="D27" s="317">
        <v>10</v>
      </c>
      <c r="E27" s="1036">
        <f>'Nota 10'!B70</f>
        <v>50617776419.677696</v>
      </c>
      <c r="F27" s="705">
        <f>'Nota 10'!C70</f>
        <v>45436745044.067459</v>
      </c>
      <c r="J27" s="1121"/>
      <c r="K27" s="1121"/>
    </row>
    <row r="28" spans="1:11">
      <c r="B28" s="1211" t="s">
        <v>184</v>
      </c>
      <c r="C28" s="1211"/>
      <c r="D28" s="314"/>
      <c r="E28" s="727">
        <f>SUM(E19:E27)</f>
        <v>489477080027.67767</v>
      </c>
      <c r="F28" s="727">
        <f>SUM(F19:F27)</f>
        <v>452474199921.06744</v>
      </c>
      <c r="J28" s="1075"/>
      <c r="K28" s="1121"/>
    </row>
    <row r="29" spans="1:11">
      <c r="B29" s="526"/>
      <c r="C29" s="526"/>
      <c r="D29" s="314"/>
      <c r="E29" s="727"/>
      <c r="F29" s="727"/>
      <c r="H29" s="116"/>
      <c r="I29" s="116"/>
      <c r="J29" s="1075"/>
      <c r="K29" s="1121"/>
    </row>
    <row r="30" spans="1:11">
      <c r="A30" s="1209" t="s">
        <v>313</v>
      </c>
      <c r="B30" s="1209"/>
      <c r="C30" s="1209"/>
      <c r="D30" s="314"/>
      <c r="E30" s="735">
        <f>+E16+E28</f>
        <v>1478450259411.6777</v>
      </c>
      <c r="F30" s="688">
        <f>+F16+F28</f>
        <v>1350148352191.0674</v>
      </c>
      <c r="J30" s="1121"/>
      <c r="K30" s="1121"/>
    </row>
    <row r="31" spans="1:11" ht="14.25">
      <c r="A31" s="1207" t="s">
        <v>135</v>
      </c>
      <c r="B31" s="1207"/>
      <c r="C31" s="1207"/>
      <c r="D31" s="313"/>
      <c r="E31" s="706"/>
      <c r="F31" s="730"/>
      <c r="J31" s="1121"/>
      <c r="K31" s="1121"/>
    </row>
    <row r="32" spans="1:11" ht="14.25">
      <c r="A32" s="538"/>
      <c r="B32" s="538"/>
      <c r="C32" s="538"/>
      <c r="D32" s="313"/>
      <c r="E32" s="706"/>
      <c r="F32" s="730"/>
      <c r="J32" s="1121"/>
      <c r="K32" s="197"/>
    </row>
    <row r="33" spans="1:11">
      <c r="A33" s="536" t="s">
        <v>327</v>
      </c>
      <c r="B33" s="537"/>
      <c r="C33" s="537"/>
      <c r="D33" s="314"/>
      <c r="E33" s="722">
        <v>-1</v>
      </c>
      <c r="F33" s="691"/>
      <c r="J33" s="1121"/>
      <c r="K33" s="197"/>
    </row>
    <row r="34" spans="1:11">
      <c r="B34" s="1210" t="s">
        <v>761</v>
      </c>
      <c r="C34" s="1210"/>
      <c r="D34" s="317">
        <v>13</v>
      </c>
      <c r="E34" s="694">
        <f>'Nota 13'!B41</f>
        <v>56848948995</v>
      </c>
      <c r="F34" s="691">
        <f>+'Nota 13'!C41</f>
        <v>30125022040</v>
      </c>
      <c r="J34" s="1121"/>
      <c r="K34" s="197"/>
    </row>
    <row r="35" spans="1:11">
      <c r="B35" s="1212" t="s">
        <v>762</v>
      </c>
      <c r="C35" s="1212"/>
      <c r="D35" s="317">
        <v>14</v>
      </c>
      <c r="E35" s="692">
        <f>'Nota 14'!E28</f>
        <v>225531522939</v>
      </c>
      <c r="F35" s="691">
        <f>'Nota 14'!K28</f>
        <v>223685364647</v>
      </c>
      <c r="J35" s="1121"/>
      <c r="K35" s="1121"/>
    </row>
    <row r="36" spans="1:11">
      <c r="B36" s="1210" t="s">
        <v>44</v>
      </c>
      <c r="C36" s="1210"/>
      <c r="D36" s="317">
        <v>16</v>
      </c>
      <c r="E36" s="515">
        <f>'Nota 16'!B21</f>
        <v>3211281044</v>
      </c>
      <c r="F36" s="691">
        <f>'Nota 16'!C21</f>
        <v>2839970060</v>
      </c>
      <c r="J36" s="1121"/>
      <c r="K36" s="1121"/>
    </row>
    <row r="37" spans="1:11">
      <c r="B37" s="1210" t="s">
        <v>326</v>
      </c>
      <c r="C37" s="1210"/>
      <c r="D37" s="317">
        <v>17</v>
      </c>
      <c r="E37" s="709">
        <f>'Nota 17'!B15</f>
        <v>341912019</v>
      </c>
      <c r="F37" s="691">
        <f>'Nota 17'!C15</f>
        <v>3302748105</v>
      </c>
      <c r="J37" s="1121"/>
      <c r="K37" s="1121"/>
    </row>
    <row r="38" spans="1:11">
      <c r="B38" s="1210" t="s">
        <v>763</v>
      </c>
      <c r="C38" s="1210"/>
      <c r="D38" s="317">
        <v>18</v>
      </c>
      <c r="E38" s="709">
        <f>'Nota 18'!B36+'Nota 18'!B50</f>
        <v>47218168990</v>
      </c>
      <c r="F38" s="691">
        <f>'Nota 18'!C51</f>
        <v>26942603877</v>
      </c>
      <c r="I38" s="116"/>
      <c r="J38" s="1121"/>
      <c r="K38" s="1121"/>
    </row>
    <row r="39" spans="1:11">
      <c r="B39" s="1210" t="s">
        <v>137</v>
      </c>
      <c r="C39" s="1210"/>
      <c r="D39" s="317">
        <v>19</v>
      </c>
      <c r="E39" s="712">
        <f>'Nota 19'!B26</f>
        <v>5617347647</v>
      </c>
      <c r="F39" s="689">
        <f>+'Nota 19'!C26</f>
        <v>3291887592</v>
      </c>
      <c r="J39" s="1121"/>
      <c r="K39" s="1121"/>
    </row>
    <row r="40" spans="1:11" ht="13.7" customHeight="1">
      <c r="B40" s="395" t="s">
        <v>136</v>
      </c>
      <c r="D40" s="314"/>
      <c r="E40" s="727">
        <f>SUM(E34:E39)</f>
        <v>338769181634</v>
      </c>
      <c r="F40" s="727">
        <f>SUM(F34:F39)-1</f>
        <v>290187596320</v>
      </c>
      <c r="G40" s="273"/>
      <c r="J40" s="1122"/>
      <c r="K40" s="1121"/>
    </row>
    <row r="41" spans="1:11" ht="13.7" customHeight="1">
      <c r="B41" s="395"/>
      <c r="D41" s="314"/>
      <c r="E41" s="727"/>
      <c r="F41" s="727"/>
      <c r="J41" s="1121"/>
      <c r="K41" s="1121"/>
    </row>
    <row r="42" spans="1:11">
      <c r="A42" s="536" t="s">
        <v>138</v>
      </c>
      <c r="B42" s="537"/>
      <c r="C42" s="537"/>
      <c r="D42" s="314"/>
      <c r="E42" s="863"/>
      <c r="F42" s="863"/>
      <c r="J42" s="1121"/>
      <c r="K42" s="1121"/>
    </row>
    <row r="43" spans="1:11" hidden="1">
      <c r="B43" s="1210" t="s">
        <v>139</v>
      </c>
      <c r="C43" s="1210"/>
      <c r="D43" s="317"/>
      <c r="E43" s="241">
        <v>0</v>
      </c>
      <c r="F43" s="243">
        <v>0</v>
      </c>
      <c r="J43" s="1121"/>
      <c r="K43" s="1121"/>
    </row>
    <row r="44" spans="1:11">
      <c r="B44" s="1210" t="s">
        <v>212</v>
      </c>
      <c r="C44" s="1210"/>
      <c r="D44" s="317">
        <v>19</v>
      </c>
      <c r="E44" s="724">
        <f>'Nota 19'!B32</f>
        <v>1894758026</v>
      </c>
      <c r="F44" s="736">
        <f>'Nota 19'!C33</f>
        <v>4885020675</v>
      </c>
      <c r="J44" s="1121"/>
      <c r="K44" s="1121"/>
    </row>
    <row r="45" spans="1:11">
      <c r="B45" s="395" t="s">
        <v>189</v>
      </c>
      <c r="D45" s="314"/>
      <c r="E45" s="245">
        <f>E44</f>
        <v>1894758026</v>
      </c>
      <c r="F45" s="245">
        <f>SUM(F43:F44)</f>
        <v>4885020675</v>
      </c>
      <c r="J45" s="1121"/>
      <c r="K45" s="1121"/>
    </row>
    <row r="46" spans="1:11">
      <c r="C46" s="273"/>
      <c r="D46" s="319"/>
      <c r="E46" s="699"/>
      <c r="F46" s="691"/>
      <c r="J46" s="1121"/>
      <c r="K46" s="1121"/>
    </row>
    <row r="47" spans="1:11">
      <c r="A47" s="1207" t="s">
        <v>314</v>
      </c>
      <c r="B47" s="1207"/>
      <c r="C47" s="1207"/>
      <c r="D47" s="313"/>
      <c r="E47" s="735">
        <f>+E40+E45</f>
        <v>340663939660</v>
      </c>
      <c r="F47" s="735">
        <f>+F40+F45</f>
        <v>295072616995</v>
      </c>
      <c r="J47" s="1121"/>
      <c r="K47" s="1121"/>
    </row>
    <row r="48" spans="1:11">
      <c r="A48" s="1207" t="s">
        <v>315</v>
      </c>
      <c r="B48" s="1207"/>
      <c r="C48" s="1207"/>
      <c r="D48" s="313"/>
      <c r="J48" s="1075"/>
      <c r="K48" s="1121"/>
    </row>
    <row r="49" spans="1:11">
      <c r="B49" s="1210" t="s">
        <v>140</v>
      </c>
      <c r="C49" s="1210"/>
      <c r="D49" s="317">
        <v>20</v>
      </c>
      <c r="E49" s="709">
        <f>'Nota 20'!B15</f>
        <v>785552102000</v>
      </c>
      <c r="F49" s="709">
        <f>'[1]Nota 20'!C6</f>
        <v>643227002000</v>
      </c>
      <c r="J49" s="1121"/>
      <c r="K49" s="1121"/>
    </row>
    <row r="50" spans="1:11">
      <c r="B50" s="1210" t="s">
        <v>31</v>
      </c>
      <c r="C50" s="1210"/>
      <c r="D50" s="316">
        <v>21</v>
      </c>
      <c r="E50" s="709">
        <f>' Nota 21'!B9</f>
        <v>178972541980</v>
      </c>
      <c r="F50" s="709">
        <f>'[1] Nota 21'!C9</f>
        <v>178972541980</v>
      </c>
      <c r="J50" s="197"/>
      <c r="K50" s="1121"/>
    </row>
    <row r="51" spans="1:11">
      <c r="B51" s="1210" t="s">
        <v>58</v>
      </c>
      <c r="C51" s="1210"/>
      <c r="D51" s="316">
        <v>21</v>
      </c>
      <c r="E51" s="709">
        <f>' Nota 21'!B15</f>
        <v>55328905233</v>
      </c>
      <c r="F51" s="709">
        <f>' Nota 21'!C15</f>
        <v>50198695192</v>
      </c>
      <c r="J51" s="197"/>
      <c r="K51" s="1121"/>
    </row>
    <row r="52" spans="1:11">
      <c r="B52" s="1210" t="s">
        <v>742</v>
      </c>
      <c r="C52" s="1210"/>
      <c r="D52" s="316">
        <v>21</v>
      </c>
      <c r="E52" s="709">
        <f>+' Nota 21'!B30+' Nota 21'!B37</f>
        <v>5979988750</v>
      </c>
      <c r="F52" s="709">
        <f>+' Nota 21'!C30+' Nota 21'!C37</f>
        <v>80073295209</v>
      </c>
      <c r="J52" s="197"/>
      <c r="K52" s="1121"/>
    </row>
    <row r="53" spans="1:11" hidden="1">
      <c r="B53" s="1210" t="s">
        <v>142</v>
      </c>
      <c r="C53" s="1210"/>
      <c r="D53" s="316">
        <v>21</v>
      </c>
      <c r="E53" s="1033">
        <v>0</v>
      </c>
      <c r="F53" s="1033">
        <v>0</v>
      </c>
      <c r="J53" s="1121"/>
      <c r="K53" s="1121"/>
    </row>
    <row r="54" spans="1:11" hidden="1">
      <c r="B54" s="1210" t="s">
        <v>47</v>
      </c>
      <c r="C54" s="1210"/>
      <c r="D54" s="316">
        <v>22</v>
      </c>
      <c r="E54" s="1033">
        <v>0</v>
      </c>
      <c r="F54" s="1033">
        <v>0</v>
      </c>
      <c r="J54" s="1121"/>
      <c r="K54" s="1121"/>
    </row>
    <row r="55" spans="1:11" hidden="1">
      <c r="B55" s="1210" t="s">
        <v>32</v>
      </c>
      <c r="C55" s="1210"/>
      <c r="D55" s="316">
        <v>23</v>
      </c>
      <c r="E55" s="241">
        <f>+'Nota 23'!B6</f>
        <v>0</v>
      </c>
      <c r="F55" s="241">
        <f>+'Nota 23'!C6</f>
        <v>0</v>
      </c>
      <c r="J55" s="1121"/>
      <c r="K55" s="1121"/>
    </row>
    <row r="56" spans="1:11">
      <c r="B56" s="1210" t="s">
        <v>605</v>
      </c>
      <c r="C56" s="1210"/>
      <c r="D56" s="316">
        <v>23</v>
      </c>
      <c r="E56" s="752">
        <f>+'Nota 23'!B13</f>
        <v>111952781789</v>
      </c>
      <c r="F56" s="752">
        <f>+'Nota 23'!C13</f>
        <v>102604200814</v>
      </c>
      <c r="J56" s="1121"/>
      <c r="K56" s="1121"/>
    </row>
    <row r="57" spans="1:11">
      <c r="B57" s="1213" t="s">
        <v>42</v>
      </c>
      <c r="C57" s="1213"/>
      <c r="D57" s="314"/>
      <c r="E57" s="697">
        <f>SUM(E49:E56)</f>
        <v>1137786319752</v>
      </c>
      <c r="F57" s="697">
        <f>SUM(F49:F56)</f>
        <v>1055075735195</v>
      </c>
      <c r="J57" s="1123"/>
      <c r="K57" s="1121"/>
    </row>
    <row r="58" spans="1:11" hidden="1">
      <c r="B58" s="1210" t="s">
        <v>48</v>
      </c>
      <c r="C58" s="1210"/>
      <c r="D58" s="317">
        <v>24</v>
      </c>
      <c r="E58" s="709">
        <v>0</v>
      </c>
      <c r="F58" s="709">
        <f>'[1]Nota 24'!C7</f>
        <v>0</v>
      </c>
      <c r="J58" s="1121"/>
      <c r="K58" s="1121"/>
    </row>
    <row r="59" spans="1:11">
      <c r="A59" s="1207" t="s">
        <v>316</v>
      </c>
      <c r="B59" s="1207"/>
      <c r="C59" s="1207"/>
      <c r="D59" s="313"/>
      <c r="E59" s="735">
        <f>E57</f>
        <v>1137786319752</v>
      </c>
      <c r="F59" s="735">
        <f>F57+1</f>
        <v>1055075735196</v>
      </c>
      <c r="H59" s="792"/>
      <c r="J59" s="197"/>
      <c r="K59" s="1121"/>
    </row>
    <row r="60" spans="1:11">
      <c r="A60" s="1207" t="s">
        <v>317</v>
      </c>
      <c r="B60" s="1207"/>
      <c r="C60" s="1207"/>
      <c r="D60" s="103"/>
      <c r="E60" s="735">
        <f>+E47+E59</f>
        <v>1478450259412</v>
      </c>
      <c r="F60" s="735">
        <f>F47+F59</f>
        <v>1350148352191</v>
      </c>
      <c r="H60" s="116"/>
      <c r="J60" s="197"/>
      <c r="K60" s="1121"/>
    </row>
    <row r="61" spans="1:11">
      <c r="A61" s="395"/>
      <c r="D61" s="45"/>
      <c r="E61" s="708"/>
      <c r="F61" s="699"/>
      <c r="J61" s="197"/>
      <c r="K61" s="1121"/>
    </row>
    <row r="62" spans="1:11">
      <c r="A62" s="540" t="s">
        <v>257</v>
      </c>
      <c r="B62" s="541"/>
      <c r="C62" s="541"/>
      <c r="D62" s="542"/>
      <c r="E62" s="733"/>
      <c r="F62" s="690"/>
      <c r="J62" s="197"/>
      <c r="K62" s="1121"/>
    </row>
    <row r="63" spans="1:11">
      <c r="A63" s="395"/>
      <c r="D63" s="45"/>
      <c r="F63" s="726"/>
      <c r="J63" s="1075"/>
      <c r="K63" s="1121"/>
    </row>
    <row r="64" spans="1:11">
      <c r="A64" s="395"/>
      <c r="D64" s="45"/>
      <c r="E64" s="772"/>
      <c r="F64" s="699"/>
      <c r="J64" s="1121"/>
      <c r="K64" s="1121"/>
    </row>
    <row r="65" spans="1:11">
      <c r="A65" s="395"/>
      <c r="D65" s="45"/>
      <c r="E65" s="699"/>
      <c r="F65" s="726"/>
      <c r="J65" s="1123"/>
      <c r="K65" s="1121"/>
    </row>
    <row r="66" spans="1:11">
      <c r="D66" s="45"/>
      <c r="E66" s="699"/>
      <c r="J66" s="1121"/>
      <c r="K66" s="1121"/>
    </row>
    <row r="67" spans="1:11">
      <c r="A67" s="91"/>
      <c r="B67" s="91"/>
      <c r="C67" s="91"/>
      <c r="D67" s="92"/>
      <c r="E67" s="1208"/>
      <c r="F67" s="1208"/>
      <c r="J67" s="1121"/>
      <c r="K67" s="1121"/>
    </row>
    <row r="68" spans="1:11">
      <c r="A68" s="93"/>
      <c r="B68" s="93"/>
      <c r="C68" s="94"/>
      <c r="D68" s="95"/>
      <c r="E68" s="1205"/>
      <c r="F68" s="1205"/>
      <c r="J68" s="1121"/>
      <c r="K68" s="1121"/>
    </row>
    <row r="69" spans="1:11">
      <c r="A69" s="539"/>
      <c r="B69" s="539"/>
      <c r="C69" s="395"/>
      <c r="D69" s="90"/>
      <c r="E69" s="693"/>
      <c r="F69" s="722"/>
      <c r="J69" s="1121"/>
      <c r="K69" s="1121"/>
    </row>
    <row r="70" spans="1:11">
      <c r="A70" s="539"/>
      <c r="B70" s="539"/>
      <c r="C70" s="395"/>
      <c r="D70" s="90"/>
      <c r="E70" s="693"/>
      <c r="F70" s="722"/>
      <c r="J70" s="1121"/>
      <c r="K70" s="1121"/>
    </row>
    <row r="71" spans="1:11">
      <c r="A71" s="539"/>
      <c r="B71" s="539"/>
      <c r="C71" s="395"/>
      <c r="D71" s="90"/>
      <c r="E71" s="693"/>
      <c r="F71" s="722"/>
      <c r="J71" s="1121"/>
      <c r="K71" s="1121"/>
    </row>
    <row r="72" spans="1:11">
      <c r="D72" s="45"/>
      <c r="E72" s="1208"/>
      <c r="F72" s="1208"/>
      <c r="J72" s="1121"/>
      <c r="K72" s="1121"/>
    </row>
    <row r="73" spans="1:11">
      <c r="A73" s="395"/>
      <c r="B73" s="395"/>
      <c r="C73" s="395"/>
      <c r="D73" s="90"/>
      <c r="E73" s="1205"/>
      <c r="F73" s="1205"/>
      <c r="J73" s="1121"/>
      <c r="K73" s="1121"/>
    </row>
    <row r="74" spans="1:11" s="395" customFormat="1">
      <c r="A74" s="1206"/>
      <c r="B74" s="1206"/>
      <c r="C74" s="1206"/>
      <c r="D74" s="90"/>
      <c r="E74" s="693"/>
      <c r="F74" s="693"/>
      <c r="J74" s="261"/>
      <c r="K74" s="261"/>
    </row>
    <row r="75" spans="1:11">
      <c r="B75" s="87"/>
      <c r="C75" s="523"/>
      <c r="D75" s="45"/>
      <c r="J75" s="1121"/>
      <c r="K75" s="1121"/>
    </row>
    <row r="76" spans="1:11">
      <c r="B76" s="97"/>
      <c r="C76" s="395"/>
      <c r="D76" s="90"/>
      <c r="E76" s="693"/>
      <c r="J76" s="1121"/>
      <c r="K76" s="1121"/>
    </row>
    <row r="77" spans="1:11">
      <c r="C77" s="98"/>
      <c r="D77" s="99"/>
      <c r="E77" s="738"/>
      <c r="J77" s="1121"/>
      <c r="K77" s="1121"/>
    </row>
    <row r="78" spans="1:11">
      <c r="C78" s="98"/>
      <c r="D78" s="99"/>
      <c r="E78" s="738"/>
      <c r="J78" s="1121"/>
      <c r="K78" s="1121"/>
    </row>
    <row r="79" spans="1:11">
      <c r="C79" s="98"/>
      <c r="D79" s="99"/>
      <c r="E79" s="738"/>
      <c r="J79" s="1121"/>
      <c r="K79" s="1121"/>
    </row>
    <row r="80" spans="1:11">
      <c r="C80" s="98"/>
      <c r="D80" s="99"/>
      <c r="E80" s="738"/>
    </row>
    <row r="81" spans="2:5">
      <c r="C81" s="98"/>
      <c r="D81" s="99"/>
      <c r="E81" s="738"/>
    </row>
    <row r="82" spans="2:5">
      <c r="D82" s="45"/>
    </row>
    <row r="83" spans="2:5">
      <c r="B83" s="87"/>
      <c r="D83" s="45"/>
    </row>
    <row r="84" spans="2:5">
      <c r="B84" s="97"/>
      <c r="C84" s="395"/>
      <c r="D84" s="90"/>
      <c r="E84" s="693"/>
    </row>
    <row r="85" spans="2:5">
      <c r="C85" s="395"/>
      <c r="D85" s="100"/>
      <c r="E85" s="693"/>
    </row>
  </sheetData>
  <mergeCells count="44">
    <mergeCell ref="B15:C15"/>
    <mergeCell ref="B43:C43"/>
    <mergeCell ref="B10:C10"/>
    <mergeCell ref="B11:C11"/>
    <mergeCell ref="B12:C12"/>
    <mergeCell ref="B13:C13"/>
    <mergeCell ref="B26:C26"/>
    <mergeCell ref="B34:C34"/>
    <mergeCell ref="B36:C36"/>
    <mergeCell ref="B37:C37"/>
    <mergeCell ref="B38:C38"/>
    <mergeCell ref="B23:C23"/>
    <mergeCell ref="B25:C25"/>
    <mergeCell ref="B19:C19"/>
    <mergeCell ref="B21:C21"/>
    <mergeCell ref="B22:C22"/>
    <mergeCell ref="B58:C58"/>
    <mergeCell ref="B52:C52"/>
    <mergeCell ref="B53:C53"/>
    <mergeCell ref="B54:C54"/>
    <mergeCell ref="B51:C51"/>
    <mergeCell ref="B55:C55"/>
    <mergeCell ref="B57:C57"/>
    <mergeCell ref="B24:C24"/>
    <mergeCell ref="B56:C56"/>
    <mergeCell ref="B28:C28"/>
    <mergeCell ref="B35:C35"/>
    <mergeCell ref="B50:C50"/>
    <mergeCell ref="C6:I6"/>
    <mergeCell ref="E73:F73"/>
    <mergeCell ref="A74:C74"/>
    <mergeCell ref="A8:C8"/>
    <mergeCell ref="A31:C31"/>
    <mergeCell ref="A48:C48"/>
    <mergeCell ref="A47:C47"/>
    <mergeCell ref="A59:C59"/>
    <mergeCell ref="E72:F72"/>
    <mergeCell ref="A30:C30"/>
    <mergeCell ref="A60:C60"/>
    <mergeCell ref="B39:C39"/>
    <mergeCell ref="B44:C44"/>
    <mergeCell ref="B49:C49"/>
    <mergeCell ref="E68:F68"/>
    <mergeCell ref="E67:F67"/>
  </mergeCells>
  <hyperlinks>
    <hyperlink ref="D10" location="'Nota 3'!A1" display="'Nota 3'!A1" xr:uid="{00000000-0004-0000-0200-000000000000}"/>
    <hyperlink ref="D11" location="'Nota 4'!A1" display="'Nota 4'!A1" xr:uid="{00000000-0004-0000-0200-000001000000}"/>
    <hyperlink ref="D12" location="'Nota 5'!A1" display="'Nota 5'!A1" xr:uid="{00000000-0004-0000-0200-000002000000}"/>
    <hyperlink ref="D13" location="'Nota 6'!A1" display="'Nota 6'!A1" xr:uid="{00000000-0004-0000-0200-000003000000}"/>
    <hyperlink ref="D14" location="'Nota 7'!A1" display="'Nota 7'!A1" xr:uid="{00000000-0004-0000-0200-000004000000}"/>
    <hyperlink ref="D21" location="'Nota 8'!A1" display="'Nota 8'!A1" xr:uid="{00000000-0004-0000-0200-000006000000}"/>
    <hyperlink ref="D25" location="'Nota 11'!A1" display="'Nota 11'!A1" xr:uid="{00000000-0004-0000-0200-000007000000}"/>
    <hyperlink ref="D26" location="'Nota 12'!A1" display="'Nota 12'!A1" xr:uid="{00000000-0004-0000-0200-000008000000}"/>
    <hyperlink ref="D34" location="'Nota 13'!A1" display="'Nota 13'!A1" xr:uid="{00000000-0004-0000-0200-000009000000}"/>
    <hyperlink ref="D35" location="'Nota 14'!A1" display="'Nota 14'!A1" xr:uid="{00000000-0004-0000-0200-00000A000000}"/>
    <hyperlink ref="D36" location="'Nota 16'!A1" display="'Nota 16'!A1" xr:uid="{00000000-0004-0000-0200-00000B000000}"/>
    <hyperlink ref="D37" location="'Nota 17'!A1" display="'Nota 17'!A1" xr:uid="{00000000-0004-0000-0200-00000C000000}"/>
    <hyperlink ref="D38" location="'Nota 18'!A1" display="'Nota 18'!A1" xr:uid="{00000000-0004-0000-0200-00000D000000}"/>
    <hyperlink ref="D39" location="'Nota 19'!A1" display="'Nota 19'!A1" xr:uid="{00000000-0004-0000-0200-00000E000000}"/>
    <hyperlink ref="D49" location="'Nota 20'!A1" display="'Nota 20'!A1" xr:uid="{00000000-0004-0000-0200-00000F000000}"/>
    <hyperlink ref="D1" location="Indice!A1" display="Indice" xr:uid="{00000000-0004-0000-0200-000017000000}"/>
    <hyperlink ref="D23" location="'Nota 7'!A1" display="'Nota 7'!A1" xr:uid="{00000000-0004-0000-0200-000018000000}"/>
    <hyperlink ref="D22" location="'Nota 9'!A1" display="'Nota 9'!A1" xr:uid="{00000000-0004-0000-0200-000019000000}"/>
    <hyperlink ref="D15" location="'Nota 6'!A1" display="'Nota 6'!A1" xr:uid="{00000000-0004-0000-0200-00001B000000}"/>
    <hyperlink ref="D27" location="'Nota 10'!A1" display="'Nota 10'!A1" xr:uid="{00000000-0004-0000-0200-00001C000000}"/>
    <hyperlink ref="D50" location="' Nota 21'!A1" display="' Nota 21'!A1" xr:uid="{00000000-0004-0000-0200-000011000000}"/>
    <hyperlink ref="D24" location="'Nota 6'!A1" display="'Nota 6'!A1" xr:uid="{D45027C4-54CE-46E3-9FDD-4E507965F55B}"/>
    <hyperlink ref="D44" location="'Nota 19'!A1" display="'Nota 19'!A1" xr:uid="{A248BD30-955D-4AB7-B633-95E81C8C5D89}"/>
    <hyperlink ref="D51:D52" location="' Nota 21'!A1" display="' Nota 21'!A1" xr:uid="{2562C699-CE65-4572-91C9-3E01E105D1F1}"/>
    <hyperlink ref="D20" location="'Nota 5'!A1" display="'Nota 5'!A1" xr:uid="{00000000-0004-0000-0200-00001D000000}"/>
    <hyperlink ref="D19" location="'Nota 6'!A1" display="'Nota 6'!A1" xr:uid="{00000000-0004-0000-0200-000005000000}"/>
    <hyperlink ref="D58" location="'Nota 24'!A1" display="'Nota 24'!A1" xr:uid="{00000000-0004-0000-0200-000016000000}"/>
    <hyperlink ref="D53" location="' Nota 21'!A1" display="' Nota 21'!A1" xr:uid="{D87B9993-8B44-4CB8-A33C-D51B9551397C}"/>
    <hyperlink ref="D54" location="'Nota 22'!A1" display="'Nota 22'!A1" xr:uid="{A9006E93-669F-4B92-8AE6-6523D963EF11}"/>
    <hyperlink ref="D55" location="'Nota 23'!A1" display="'Nota 23'!A1" xr:uid="{88A4EDF7-1CE1-42D3-BB79-9D57CC385578}"/>
    <hyperlink ref="D56" location="'Nota 23'!A1" display="'Nota 23'!A1" xr:uid="{A0D85E24-9021-438F-8F2C-8C6E6470A054}"/>
  </hyperlinks>
  <printOptions horizontalCentered="1"/>
  <pageMargins left="0.70866141732283472" right="0.70866141732283472" top="0.74803149606299213" bottom="0.74803149606299213" header="0.31496062992125984" footer="0.31496062992125984"/>
  <pageSetup paperSize="9" scale="70"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44F07-FC5E-43EF-BFED-6A14C134D98D}">
  <sheetPr codeName="Hoja28"/>
  <dimension ref="A1:AF16"/>
  <sheetViews>
    <sheetView showGridLines="0" workbookViewId="0">
      <selection activeCell="C1" sqref="C1"/>
    </sheetView>
  </sheetViews>
  <sheetFormatPr baseColWidth="10" defaultRowHeight="15"/>
  <cols>
    <col min="1" max="1" width="34.42578125" style="259" customWidth="1"/>
    <col min="2" max="3" width="19" style="259" customWidth="1"/>
    <col min="4" max="5" width="0.140625" style="259" customWidth="1"/>
    <col min="6" max="6" width="11.42578125" style="259" hidden="1" customWidth="1"/>
    <col min="7" max="25" width="11.42578125" style="259"/>
    <col min="26" max="16384" width="11.42578125" style="355"/>
  </cols>
  <sheetData>
    <row r="1" spans="1:32" ht="18.75" customHeight="1">
      <c r="A1" s="277" t="str">
        <f>Indice!C1</f>
        <v>NICOLAS GONZALEZ ODDONE S.A.E.C.A</v>
      </c>
      <c r="B1" s="277"/>
      <c r="C1" s="920" t="s">
        <v>79</v>
      </c>
      <c r="D1" s="288"/>
      <c r="E1" s="111"/>
      <c r="F1" s="288"/>
      <c r="G1" s="373"/>
      <c r="H1" s="373"/>
      <c r="I1" s="373"/>
      <c r="J1" s="373"/>
      <c r="K1" s="373"/>
      <c r="L1" s="373"/>
      <c r="M1" s="373"/>
      <c r="N1" s="373"/>
      <c r="O1" s="373"/>
      <c r="P1" s="355"/>
      <c r="Q1" s="355"/>
      <c r="R1" s="355"/>
      <c r="S1" s="355"/>
      <c r="T1" s="355"/>
      <c r="U1" s="355"/>
      <c r="V1" s="355"/>
      <c r="W1" s="355"/>
      <c r="X1" s="355"/>
      <c r="Y1" s="355"/>
    </row>
    <row r="2" spans="1:32" ht="18.75" customHeight="1">
      <c r="A2" s="657"/>
      <c r="B2" s="657"/>
      <c r="C2" s="921"/>
      <c r="D2" s="288"/>
      <c r="E2" s="111"/>
      <c r="F2" s="288"/>
      <c r="G2" s="373"/>
      <c r="H2" s="373"/>
      <c r="I2" s="373"/>
      <c r="J2" s="373"/>
      <c r="K2" s="373"/>
      <c r="L2" s="373"/>
      <c r="M2" s="373"/>
      <c r="N2" s="373"/>
      <c r="O2" s="373"/>
      <c r="P2" s="355"/>
      <c r="Q2" s="355"/>
      <c r="R2" s="355"/>
      <c r="S2" s="355"/>
      <c r="T2" s="355"/>
      <c r="U2" s="355"/>
      <c r="V2" s="355"/>
      <c r="W2" s="355"/>
      <c r="X2" s="355"/>
      <c r="Y2" s="355"/>
    </row>
    <row r="3" spans="1:32" ht="18" customHeight="1">
      <c r="A3" s="282" t="s">
        <v>192</v>
      </c>
      <c r="B3" s="296"/>
      <c r="C3" s="296"/>
      <c r="D3" s="296"/>
      <c r="E3" s="296"/>
      <c r="F3" s="296"/>
      <c r="Z3" s="259"/>
      <c r="AA3" s="259"/>
      <c r="AB3" s="259"/>
      <c r="AC3" s="259"/>
      <c r="AD3" s="259"/>
      <c r="AE3" s="259"/>
      <c r="AF3" s="259"/>
    </row>
    <row r="4" spans="1:32">
      <c r="A4" s="1263"/>
      <c r="B4" s="1263"/>
      <c r="Z4" s="259"/>
      <c r="AA4" s="259"/>
      <c r="AB4" s="259"/>
      <c r="AC4" s="259"/>
      <c r="AD4" s="259"/>
      <c r="AE4" s="259"/>
      <c r="AF4" s="259"/>
    </row>
    <row r="5" spans="1:32" hidden="1">
      <c r="A5" s="517" t="s">
        <v>741</v>
      </c>
      <c r="B5" s="813">
        <v>44377</v>
      </c>
      <c r="C5" s="813">
        <v>44196</v>
      </c>
      <c r="Z5" s="259"/>
      <c r="AA5" s="259"/>
      <c r="AB5" s="259"/>
      <c r="AC5" s="259"/>
      <c r="AD5" s="259"/>
      <c r="AE5" s="259"/>
      <c r="AF5" s="259"/>
    </row>
    <row r="6" spans="1:32" hidden="1">
      <c r="A6" s="519" t="s">
        <v>939</v>
      </c>
      <c r="B6" s="124">
        <v>0</v>
      </c>
      <c r="C6" s="124">
        <v>0</v>
      </c>
      <c r="Z6" s="259"/>
      <c r="AA6" s="259"/>
      <c r="AB6" s="259"/>
      <c r="AC6" s="259"/>
      <c r="AD6" s="259"/>
      <c r="AE6" s="259"/>
      <c r="AF6" s="259"/>
    </row>
    <row r="7" spans="1:32" ht="15.75" hidden="1" thickBot="1">
      <c r="A7" s="117" t="s">
        <v>175</v>
      </c>
      <c r="B7" s="456">
        <f>SUM($B6:B$6)</f>
        <v>0</v>
      </c>
      <c r="C7" s="456">
        <f>SUM($C6:C$6)</f>
        <v>0</v>
      </c>
      <c r="Z7" s="259"/>
      <c r="AA7" s="259"/>
      <c r="AB7" s="259"/>
      <c r="AC7" s="259"/>
      <c r="AD7" s="259"/>
      <c r="AE7" s="259"/>
      <c r="AF7" s="259"/>
    </row>
    <row r="8" spans="1:32" ht="15.75" hidden="1" thickTop="1">
      <c r="A8" s="1015"/>
      <c r="B8" s="1015"/>
      <c r="Z8" s="259"/>
      <c r="AA8" s="259"/>
      <c r="AB8" s="259"/>
      <c r="AC8" s="259"/>
      <c r="AD8" s="259"/>
      <c r="AE8" s="259"/>
      <c r="AF8" s="259"/>
    </row>
    <row r="9" spans="1:32" hidden="1">
      <c r="A9" s="1015"/>
      <c r="B9" s="1015"/>
      <c r="Z9" s="259"/>
      <c r="AA9" s="259"/>
      <c r="AB9" s="259"/>
      <c r="AC9" s="259"/>
      <c r="AD9" s="259"/>
      <c r="AE9" s="259"/>
      <c r="AF9" s="259"/>
    </row>
    <row r="10" spans="1:32" hidden="1">
      <c r="B10" s="1261"/>
      <c r="C10" s="1261"/>
      <c r="Z10" s="259"/>
      <c r="AA10" s="259"/>
      <c r="AB10" s="259"/>
      <c r="AC10" s="259"/>
      <c r="AD10" s="259"/>
      <c r="AE10" s="259"/>
      <c r="AF10" s="259"/>
    </row>
    <row r="11" spans="1:32">
      <c r="A11" s="517" t="s">
        <v>741</v>
      </c>
      <c r="B11" s="813">
        <v>44561</v>
      </c>
      <c r="C11" s="813">
        <v>44196</v>
      </c>
      <c r="Z11" s="259"/>
      <c r="AA11" s="259"/>
      <c r="AB11" s="259"/>
      <c r="AC11" s="259"/>
      <c r="AD11" s="259"/>
      <c r="AE11" s="259"/>
      <c r="AF11" s="259"/>
    </row>
    <row r="12" spans="1:32" hidden="1">
      <c r="A12" s="519" t="s">
        <v>87</v>
      </c>
      <c r="B12" s="124">
        <v>0</v>
      </c>
      <c r="C12" s="124">
        <v>0</v>
      </c>
      <c r="D12" s="249"/>
      <c r="Z12" s="259"/>
      <c r="AA12" s="259"/>
      <c r="AB12" s="259"/>
      <c r="AC12" s="259"/>
      <c r="AD12" s="259"/>
      <c r="AE12" s="259"/>
      <c r="AF12" s="259"/>
    </row>
    <row r="13" spans="1:32">
      <c r="A13" s="519" t="s">
        <v>601</v>
      </c>
      <c r="B13" s="124">
        <v>111952781789</v>
      </c>
      <c r="C13" s="124">
        <v>102604200814</v>
      </c>
      <c r="D13" s="249"/>
      <c r="Z13" s="259"/>
      <c r="AA13" s="259"/>
      <c r="AB13" s="259"/>
      <c r="AC13" s="259"/>
      <c r="AD13" s="259"/>
      <c r="AE13" s="259"/>
      <c r="AF13" s="259"/>
    </row>
    <row r="14" spans="1:32" ht="18.75" customHeight="1" thickBot="1">
      <c r="A14" s="117" t="s">
        <v>175</v>
      </c>
      <c r="B14" s="456">
        <f>SUM($B$13:B13)</f>
        <v>111952781789</v>
      </c>
      <c r="C14" s="456">
        <f>SUM($C$13:C13)</f>
        <v>102604200814</v>
      </c>
      <c r="D14" s="249"/>
      <c r="Z14" s="259"/>
      <c r="AA14" s="259"/>
      <c r="AB14" s="259"/>
      <c r="AC14" s="259"/>
      <c r="AD14" s="259"/>
      <c r="AE14" s="259"/>
      <c r="AF14" s="259"/>
    </row>
    <row r="15" spans="1:32" ht="15.75" thickTop="1">
      <c r="B15" s="249"/>
      <c r="C15" s="249"/>
      <c r="D15" s="249"/>
      <c r="Z15" s="259"/>
      <c r="AA15" s="259"/>
      <c r="AB15" s="259"/>
      <c r="AC15" s="259"/>
      <c r="AD15" s="259"/>
      <c r="AE15" s="259"/>
      <c r="AF15" s="259"/>
    </row>
    <row r="16" spans="1:32">
      <c r="B16" s="249"/>
      <c r="C16" s="249"/>
      <c r="D16" s="249"/>
      <c r="Z16" s="259"/>
      <c r="AA16" s="259"/>
      <c r="AB16" s="259"/>
      <c r="AC16" s="259"/>
      <c r="AD16" s="259"/>
      <c r="AE16" s="259"/>
      <c r="AF16" s="259"/>
    </row>
  </sheetData>
  <mergeCells count="2">
    <mergeCell ref="A4:B4"/>
    <mergeCell ref="B10:C10"/>
  </mergeCells>
  <hyperlinks>
    <hyperlink ref="C1" location="BG!A1" display="BG" xr:uid="{B3568C9D-F8EC-48E3-8632-2F2E42AE60FC}"/>
  </hyperlinks>
  <pageMargins left="1.9685039370078741" right="1.7716535433070868" top="1.9685039370078741" bottom="0.74803149606299213" header="0.31496062992125984" footer="0.31496062992125984"/>
  <pageSetup scale="7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81A6-4972-4BD6-A409-E4BC20972C94}">
  <sheetPr codeName="Hoja29"/>
  <dimension ref="A1:AH10"/>
  <sheetViews>
    <sheetView showGridLines="0" workbookViewId="0">
      <selection activeCell="A13" sqref="A13"/>
    </sheetView>
  </sheetViews>
  <sheetFormatPr baseColWidth="10" defaultRowHeight="15"/>
  <cols>
    <col min="1" max="1" width="34.42578125" style="259" customWidth="1"/>
    <col min="2" max="3" width="19" style="259" customWidth="1"/>
    <col min="4" max="5" width="0.140625" style="259" customWidth="1"/>
    <col min="6" max="6" width="11.42578125" style="259" hidden="1" customWidth="1"/>
    <col min="7" max="25" width="11.42578125" style="259"/>
    <col min="26" max="16384" width="11.42578125" style="355"/>
  </cols>
  <sheetData>
    <row r="1" spans="1:34" ht="18.75" customHeight="1">
      <c r="A1" s="277" t="str">
        <f>Indice!C1</f>
        <v>NICOLAS GONZALEZ ODDONE S.A.E.C.A</v>
      </c>
      <c r="B1" s="277"/>
      <c r="C1" s="920" t="s">
        <v>79</v>
      </c>
      <c r="D1" s="288"/>
      <c r="E1" s="111"/>
      <c r="F1" s="288"/>
      <c r="G1" s="373"/>
      <c r="H1" s="373"/>
      <c r="I1" s="373"/>
      <c r="J1" s="373"/>
      <c r="K1" s="373"/>
      <c r="L1" s="373"/>
      <c r="M1" s="373"/>
      <c r="N1" s="373"/>
      <c r="O1" s="373"/>
      <c r="P1" s="355"/>
      <c r="Q1" s="355"/>
      <c r="R1" s="355"/>
      <c r="S1" s="355"/>
      <c r="T1" s="355"/>
      <c r="U1" s="355"/>
      <c r="V1" s="355"/>
      <c r="W1" s="355"/>
      <c r="X1" s="355"/>
      <c r="Y1" s="355"/>
    </row>
    <row r="2" spans="1:34" ht="18.75" customHeight="1">
      <c r="A2" s="657"/>
      <c r="B2" s="657"/>
      <c r="C2" s="921"/>
      <c r="D2" s="288"/>
      <c r="E2" s="111"/>
      <c r="F2" s="288"/>
      <c r="G2" s="373"/>
      <c r="H2" s="373"/>
      <c r="I2" s="373"/>
      <c r="J2" s="373"/>
      <c r="K2" s="373"/>
      <c r="L2" s="373"/>
      <c r="M2" s="373"/>
      <c r="N2" s="373"/>
      <c r="O2" s="373"/>
      <c r="P2" s="355"/>
      <c r="Q2" s="355"/>
      <c r="R2" s="355"/>
      <c r="S2" s="355"/>
      <c r="T2" s="355"/>
      <c r="U2" s="355"/>
      <c r="V2" s="355"/>
      <c r="W2" s="355"/>
      <c r="X2" s="355"/>
      <c r="Y2" s="355"/>
    </row>
    <row r="3" spans="1:34" ht="18" customHeight="1">
      <c r="A3" s="282" t="s">
        <v>193</v>
      </c>
      <c r="B3" s="282"/>
      <c r="C3" s="282"/>
      <c r="D3" s="282"/>
      <c r="E3" s="50"/>
      <c r="F3" s="51"/>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row>
    <row r="4" spans="1:34">
      <c r="A4" s="1249" t="s">
        <v>171</v>
      </c>
      <c r="B4" s="1249"/>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row>
    <row r="5" spans="1:34" ht="23.25">
      <c r="A5" s="334" t="s">
        <v>613</v>
      </c>
      <c r="B5" s="1261"/>
      <c r="C5" s="1261"/>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row>
    <row r="6" spans="1:34" ht="12.75" customHeight="1">
      <c r="A6" s="266"/>
      <c r="B6" s="813">
        <v>44561</v>
      </c>
      <c r="C6" s="813">
        <v>44196</v>
      </c>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row>
    <row r="7" spans="1:34">
      <c r="A7" s="519" t="s">
        <v>59</v>
      </c>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row>
    <row r="8" spans="1:34">
      <c r="B8" s="775"/>
      <c r="C8" s="775"/>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row>
    <row r="9" spans="1:34">
      <c r="B9" s="777" t="s">
        <v>367</v>
      </c>
      <c r="C9" s="777" t="s">
        <v>367</v>
      </c>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row>
    <row r="10" spans="1:34">
      <c r="B10" s="1261"/>
      <c r="C10" s="1261"/>
      <c r="Z10" s="259"/>
      <c r="AA10" s="259"/>
      <c r="AB10" s="259"/>
      <c r="AC10" s="259"/>
      <c r="AD10" s="259"/>
      <c r="AE10" s="259"/>
      <c r="AF10" s="259"/>
    </row>
  </sheetData>
  <mergeCells count="3">
    <mergeCell ref="A4:B4"/>
    <mergeCell ref="B10:C10"/>
    <mergeCell ref="B5:C5"/>
  </mergeCells>
  <hyperlinks>
    <hyperlink ref="C1" location="BG!A1" display="BG" xr:uid="{2EADCD5C-ACEB-4C16-825D-7421969BA163}"/>
  </hyperlinks>
  <pageMargins left="1.9685039370078741" right="1.7716535433070868" top="1.9685039370078741" bottom="0.74803149606299213" header="0.31496062992125984" footer="0.31496062992125984"/>
  <pageSetup scale="75"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0"/>
  <dimension ref="A1:AG28"/>
  <sheetViews>
    <sheetView showGridLines="0" workbookViewId="0">
      <selection activeCell="C1" sqref="C1"/>
    </sheetView>
  </sheetViews>
  <sheetFormatPr baseColWidth="10" defaultColWidth="11.42578125" defaultRowHeight="12"/>
  <cols>
    <col min="1" max="1" width="31.7109375" style="111" customWidth="1"/>
    <col min="2" max="2" width="19.140625" style="111" customWidth="1"/>
    <col min="3" max="3" width="17.7109375" style="111" customWidth="1"/>
    <col min="4" max="4" width="0.140625" style="111" hidden="1" customWidth="1"/>
    <col min="5" max="5" width="11.42578125" style="111" hidden="1" customWidth="1"/>
    <col min="6" max="6" width="0.28515625" style="111" customWidth="1"/>
    <col min="7" max="7" width="14.28515625" style="111" bestFit="1" customWidth="1"/>
    <col min="8" max="8" width="14.28515625" style="112" bestFit="1" customWidth="1"/>
    <col min="9" max="33" width="11.42578125" style="111"/>
    <col min="34" max="16384" width="11.42578125" style="101"/>
  </cols>
  <sheetData>
    <row r="1" spans="1:33" s="355" customFormat="1" ht="18.75" customHeight="1">
      <c r="A1" s="277" t="str">
        <f>Indice!C1</f>
        <v>NICOLAS GONZALEZ ODDONE S.A.E.C.A</v>
      </c>
      <c r="B1" s="277"/>
      <c r="C1" s="920" t="s">
        <v>84</v>
      </c>
      <c r="D1" s="288"/>
      <c r="E1" s="111"/>
      <c r="F1" s="288"/>
      <c r="G1" s="373"/>
      <c r="H1" s="74"/>
      <c r="I1" s="373"/>
      <c r="J1" s="373"/>
      <c r="K1" s="373"/>
      <c r="L1" s="373"/>
      <c r="M1" s="373"/>
      <c r="N1" s="373"/>
      <c r="O1" s="373"/>
    </row>
    <row r="2" spans="1:33" s="355" customFormat="1" ht="18.75" customHeight="1">
      <c r="A2" s="657"/>
      <c r="B2" s="657"/>
      <c r="C2" s="921"/>
      <c r="D2" s="288"/>
      <c r="E2" s="111"/>
      <c r="F2" s="288"/>
      <c r="G2" s="373"/>
      <c r="H2" s="74"/>
      <c r="I2" s="373"/>
      <c r="J2" s="373"/>
      <c r="K2" s="373"/>
      <c r="L2" s="373"/>
      <c r="M2" s="373"/>
      <c r="N2" s="373"/>
      <c r="O2" s="373"/>
    </row>
    <row r="3" spans="1:33" ht="15.75" customHeight="1">
      <c r="A3" s="282" t="s">
        <v>194</v>
      </c>
      <c r="B3" s="282"/>
      <c r="C3" s="282"/>
      <c r="D3" s="282"/>
      <c r="E3" s="282"/>
      <c r="F3" s="282"/>
      <c r="G3" s="2"/>
      <c r="H3" s="239"/>
      <c r="I3" s="2"/>
      <c r="J3" s="2"/>
      <c r="K3" s="2"/>
      <c r="L3" s="2"/>
      <c r="M3" s="2"/>
      <c r="N3" s="2"/>
      <c r="O3" s="2"/>
      <c r="P3" s="2"/>
      <c r="Q3" s="2"/>
      <c r="R3" s="2"/>
      <c r="S3" s="2"/>
      <c r="T3" s="2"/>
      <c r="U3" s="2"/>
      <c r="V3" s="2"/>
      <c r="W3" s="2"/>
      <c r="X3" s="2"/>
      <c r="Y3" s="2"/>
      <c r="Z3" s="2"/>
      <c r="AA3" s="2"/>
      <c r="AB3" s="2"/>
      <c r="AC3" s="2"/>
      <c r="AD3" s="2"/>
      <c r="AE3" s="2"/>
      <c r="AF3" s="2"/>
      <c r="AG3" s="101"/>
    </row>
    <row r="4" spans="1:33">
      <c r="A4" s="1249" t="s">
        <v>171</v>
      </c>
      <c r="B4" s="1249"/>
    </row>
    <row r="5" spans="1:33" customFormat="1" ht="15">
      <c r="H5" s="649"/>
    </row>
    <row r="6" spans="1:33">
      <c r="A6" s="101" t="s">
        <v>1052</v>
      </c>
      <c r="B6" s="80"/>
    </row>
    <row r="7" spans="1:33">
      <c r="B7" s="1248"/>
      <c r="C7" s="1248"/>
    </row>
    <row r="8" spans="1:33" ht="12.75">
      <c r="A8" s="196" t="s">
        <v>337</v>
      </c>
      <c r="B8" s="813">
        <v>44561</v>
      </c>
      <c r="C8" s="813">
        <v>44196</v>
      </c>
      <c r="D8" s="2"/>
      <c r="E8" s="2"/>
      <c r="F8" s="2"/>
      <c r="G8" s="2"/>
      <c r="H8" s="239"/>
      <c r="I8" s="2"/>
      <c r="J8" s="2"/>
      <c r="K8" s="2"/>
      <c r="L8" s="2"/>
      <c r="M8" s="2"/>
      <c r="N8" s="2"/>
      <c r="O8" s="2"/>
      <c r="P8" s="2"/>
      <c r="Q8" s="2"/>
      <c r="R8" s="2"/>
      <c r="S8" s="2"/>
      <c r="T8" s="2"/>
      <c r="U8" s="2"/>
      <c r="V8" s="2"/>
      <c r="W8" s="2"/>
      <c r="X8" s="2"/>
      <c r="Y8" s="2"/>
      <c r="Z8" s="2"/>
      <c r="AA8" s="2"/>
      <c r="AB8" s="2"/>
      <c r="AC8" s="2"/>
      <c r="AD8" s="2"/>
      <c r="AE8" s="2"/>
      <c r="AF8" s="2"/>
      <c r="AG8" s="101"/>
    </row>
    <row r="9" spans="1:33">
      <c r="A9" s="200" t="s">
        <v>498</v>
      </c>
      <c r="B9" s="204"/>
      <c r="C9" s="204"/>
      <c r="D9" s="2"/>
      <c r="E9" s="2"/>
      <c r="F9" s="2"/>
      <c r="G9" s="2"/>
      <c r="H9" s="239"/>
      <c r="I9" s="2"/>
      <c r="J9" s="2"/>
      <c r="K9" s="2"/>
      <c r="L9" s="2"/>
      <c r="M9" s="2"/>
      <c r="N9" s="2"/>
      <c r="O9" s="2"/>
      <c r="P9" s="2"/>
      <c r="Q9" s="2"/>
      <c r="R9" s="2"/>
      <c r="S9" s="2"/>
      <c r="T9" s="2"/>
      <c r="U9" s="2"/>
      <c r="V9" s="2"/>
      <c r="W9" s="2"/>
      <c r="X9" s="2"/>
      <c r="Y9" s="2"/>
      <c r="Z9" s="2"/>
      <c r="AA9" s="2"/>
      <c r="AB9" s="2"/>
      <c r="AC9" s="2"/>
      <c r="AD9" s="2"/>
      <c r="AE9" s="2"/>
      <c r="AF9" s="2"/>
      <c r="AG9" s="101"/>
    </row>
    <row r="10" spans="1:33">
      <c r="A10" s="519" t="s">
        <v>948</v>
      </c>
      <c r="B10" s="197">
        <f>26882512133+708743843117</f>
        <v>735626355250</v>
      </c>
      <c r="C10" s="116">
        <v>637751709257</v>
      </c>
      <c r="D10" s="2"/>
      <c r="E10" s="2"/>
      <c r="F10" s="2"/>
      <c r="G10" s="239"/>
      <c r="H10" s="239"/>
      <c r="I10" s="2"/>
      <c r="J10" s="2"/>
      <c r="K10" s="2"/>
      <c r="L10" s="2"/>
      <c r="M10" s="2"/>
      <c r="N10" s="2"/>
      <c r="O10" s="2"/>
      <c r="P10" s="2"/>
      <c r="Q10" s="2"/>
      <c r="R10" s="2"/>
      <c r="S10" s="2"/>
      <c r="T10" s="2"/>
      <c r="U10" s="2"/>
      <c r="V10" s="2"/>
      <c r="W10" s="2"/>
      <c r="X10" s="2"/>
      <c r="Y10" s="2"/>
      <c r="Z10" s="2"/>
      <c r="AA10" s="2"/>
      <c r="AB10" s="2"/>
      <c r="AC10" s="2"/>
      <c r="AD10" s="2"/>
      <c r="AE10" s="2"/>
      <c r="AF10" s="2"/>
      <c r="AG10" s="101"/>
    </row>
    <row r="11" spans="1:33">
      <c r="A11" s="519" t="s">
        <v>501</v>
      </c>
      <c r="B11" s="197">
        <v>5638368352</v>
      </c>
      <c r="C11" s="116">
        <v>5111169414</v>
      </c>
      <c r="D11" s="2"/>
      <c r="E11" s="2"/>
      <c r="F11" s="2"/>
      <c r="G11" s="2"/>
      <c r="H11" s="239"/>
      <c r="I11" s="2"/>
      <c r="J11" s="2"/>
      <c r="K11" s="2"/>
      <c r="L11" s="2"/>
      <c r="M11" s="2"/>
      <c r="N11" s="2"/>
      <c r="O11" s="2"/>
      <c r="P11" s="2"/>
      <c r="Q11" s="2"/>
      <c r="R11" s="2"/>
      <c r="S11" s="2"/>
      <c r="T11" s="2"/>
      <c r="U11" s="2"/>
      <c r="V11" s="2"/>
      <c r="W11" s="2"/>
      <c r="X11" s="2"/>
      <c r="Y11" s="2"/>
      <c r="Z11" s="2"/>
      <c r="AA11" s="2"/>
      <c r="AB11" s="2"/>
      <c r="AC11" s="2"/>
      <c r="AD11" s="2"/>
      <c r="AE11" s="2"/>
      <c r="AF11" s="2"/>
      <c r="AG11" s="101"/>
    </row>
    <row r="12" spans="1:33">
      <c r="A12" s="519" t="s">
        <v>502</v>
      </c>
      <c r="B12" s="684">
        <v>6661945817</v>
      </c>
      <c r="C12" s="636">
        <v>2624661203</v>
      </c>
      <c r="D12" s="2"/>
      <c r="E12" s="2"/>
      <c r="F12" s="2"/>
      <c r="G12" s="2"/>
      <c r="H12" s="239"/>
      <c r="I12" s="2"/>
      <c r="J12" s="2"/>
      <c r="K12" s="2"/>
      <c r="L12" s="2"/>
      <c r="M12" s="2"/>
      <c r="N12" s="2"/>
      <c r="O12" s="2"/>
      <c r="P12" s="2"/>
      <c r="Q12" s="2"/>
      <c r="R12" s="2"/>
      <c r="S12" s="2"/>
      <c r="T12" s="2"/>
      <c r="U12" s="2"/>
      <c r="V12" s="2"/>
      <c r="W12" s="2"/>
      <c r="X12" s="2"/>
      <c r="Y12" s="2"/>
      <c r="Z12" s="2"/>
      <c r="AA12" s="2"/>
      <c r="AB12" s="2"/>
      <c r="AC12" s="2"/>
      <c r="AD12" s="2"/>
      <c r="AE12" s="2"/>
      <c r="AF12" s="2"/>
      <c r="AG12" s="101"/>
    </row>
    <row r="13" spans="1:33" ht="12.75" thickBot="1">
      <c r="A13" s="100" t="s">
        <v>500</v>
      </c>
      <c r="B13" s="790">
        <f>SUM(B10:B12)</f>
        <v>747926669419</v>
      </c>
      <c r="C13" s="790">
        <f>SUM(C10:C12)</f>
        <v>645487539874</v>
      </c>
      <c r="D13" s="2"/>
      <c r="E13" s="2"/>
      <c r="F13" s="2"/>
      <c r="G13" s="239"/>
      <c r="H13" s="239"/>
      <c r="I13" s="2"/>
      <c r="J13" s="2"/>
      <c r="K13" s="2"/>
      <c r="L13" s="2"/>
      <c r="M13" s="2"/>
      <c r="N13" s="2"/>
      <c r="O13" s="2"/>
      <c r="P13" s="2"/>
      <c r="Q13" s="2"/>
      <c r="R13" s="2"/>
      <c r="S13" s="2"/>
      <c r="T13" s="2"/>
      <c r="U13" s="2"/>
      <c r="V13" s="2"/>
      <c r="W13" s="2"/>
      <c r="X13" s="2"/>
      <c r="Y13" s="2"/>
      <c r="Z13" s="2"/>
      <c r="AA13" s="2"/>
      <c r="AB13" s="2"/>
      <c r="AC13" s="2"/>
      <c r="AD13" s="2"/>
      <c r="AE13" s="2"/>
      <c r="AF13" s="2"/>
      <c r="AG13" s="101"/>
    </row>
    <row r="14" spans="1:33" ht="12.75" thickTop="1">
      <c r="A14" s="100"/>
      <c r="B14" s="198"/>
      <c r="C14" s="198"/>
      <c r="D14" s="2"/>
      <c r="E14" s="2"/>
      <c r="F14" s="2"/>
      <c r="G14" s="2"/>
      <c r="H14" s="239"/>
      <c r="I14" s="2"/>
      <c r="J14" s="2"/>
      <c r="K14" s="2"/>
      <c r="L14" s="2"/>
      <c r="M14" s="2"/>
      <c r="N14" s="2"/>
      <c r="O14" s="2"/>
      <c r="P14" s="2"/>
      <c r="Q14" s="2"/>
      <c r="R14" s="2"/>
      <c r="S14" s="2"/>
      <c r="T14" s="2"/>
      <c r="U14" s="2"/>
      <c r="V14" s="2"/>
      <c r="W14" s="2"/>
      <c r="X14" s="2"/>
      <c r="Y14" s="2"/>
      <c r="Z14" s="2"/>
      <c r="AA14" s="2"/>
      <c r="AB14" s="2"/>
      <c r="AC14" s="2"/>
      <c r="AD14" s="2"/>
      <c r="AE14" s="2"/>
      <c r="AF14" s="2"/>
      <c r="AG14" s="101"/>
    </row>
    <row r="15" spans="1:33">
      <c r="A15" s="2"/>
      <c r="B15" s="197"/>
      <c r="C15" s="197"/>
      <c r="D15" s="2"/>
      <c r="E15" s="2"/>
      <c r="F15" s="2"/>
      <c r="G15" s="2"/>
      <c r="H15" s="239"/>
      <c r="I15" s="2"/>
      <c r="J15" s="2"/>
      <c r="K15" s="2"/>
      <c r="L15" s="2"/>
      <c r="M15" s="2"/>
      <c r="N15" s="2"/>
      <c r="O15" s="2"/>
      <c r="P15" s="2"/>
      <c r="Q15" s="2"/>
      <c r="R15" s="2"/>
      <c r="S15" s="2"/>
      <c r="T15" s="2"/>
      <c r="U15" s="2"/>
      <c r="V15" s="2"/>
      <c r="W15" s="2"/>
      <c r="X15" s="2"/>
      <c r="Y15" s="2"/>
      <c r="Z15" s="2"/>
      <c r="AA15" s="2"/>
      <c r="AB15" s="2"/>
      <c r="AC15" s="2"/>
      <c r="AD15" s="2"/>
      <c r="AE15" s="2"/>
      <c r="AF15" s="2"/>
      <c r="AG15" s="101"/>
    </row>
    <row r="16" spans="1:33">
      <c r="A16" s="199" t="s">
        <v>499</v>
      </c>
      <c r="B16" s="197"/>
      <c r="C16" s="197"/>
      <c r="D16" s="2"/>
      <c r="E16" s="2"/>
      <c r="F16" s="2"/>
      <c r="G16" s="2"/>
      <c r="H16" s="239"/>
      <c r="I16" s="2"/>
      <c r="J16" s="2"/>
      <c r="K16" s="2"/>
      <c r="L16" s="2"/>
      <c r="M16" s="2"/>
      <c r="N16" s="2"/>
      <c r="O16" s="2"/>
      <c r="P16" s="2"/>
      <c r="Q16" s="2"/>
      <c r="R16" s="2"/>
      <c r="S16" s="2"/>
      <c r="T16" s="2"/>
      <c r="U16" s="2"/>
      <c r="V16" s="2"/>
      <c r="W16" s="2"/>
      <c r="X16" s="2"/>
      <c r="Y16" s="2"/>
      <c r="Z16" s="2"/>
      <c r="AA16" s="2"/>
      <c r="AB16" s="2"/>
      <c r="AC16" s="2"/>
      <c r="AD16" s="2"/>
      <c r="AE16" s="2"/>
      <c r="AF16" s="2"/>
      <c r="AG16" s="101"/>
    </row>
    <row r="17" spans="1:33">
      <c r="A17" s="2" t="s">
        <v>503</v>
      </c>
      <c r="B17" s="202">
        <v>13872859417</v>
      </c>
      <c r="C17" s="116">
        <v>4251796964</v>
      </c>
      <c r="D17" s="2"/>
      <c r="E17" s="2"/>
      <c r="F17" s="2"/>
      <c r="G17" s="2"/>
      <c r="H17" s="239"/>
      <c r="I17" s="2"/>
      <c r="J17" s="2"/>
      <c r="K17" s="2"/>
      <c r="L17" s="2"/>
      <c r="M17" s="2"/>
      <c r="N17" s="2"/>
      <c r="O17" s="2"/>
      <c r="P17" s="2"/>
      <c r="Q17" s="2"/>
      <c r="R17" s="2"/>
      <c r="S17" s="2"/>
      <c r="T17" s="2"/>
      <c r="U17" s="2"/>
      <c r="V17" s="2"/>
      <c r="W17" s="2"/>
      <c r="X17" s="2"/>
      <c r="Y17" s="2"/>
      <c r="Z17" s="2"/>
      <c r="AA17" s="2"/>
      <c r="AB17" s="2"/>
      <c r="AC17" s="2"/>
      <c r="AD17" s="2"/>
      <c r="AE17" s="2"/>
      <c r="AF17" s="2"/>
      <c r="AG17" s="101"/>
    </row>
    <row r="18" spans="1:33" s="824" customFormat="1">
      <c r="A18" s="519" t="s">
        <v>728</v>
      </c>
      <c r="B18" s="202">
        <v>8005967331</v>
      </c>
      <c r="C18" s="116">
        <v>1438951318</v>
      </c>
      <c r="D18" s="519"/>
      <c r="E18" s="519"/>
      <c r="F18" s="519"/>
      <c r="G18" s="519"/>
      <c r="H18" s="23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row>
    <row r="19" spans="1:33" s="522" customFormat="1" hidden="1">
      <c r="A19" s="519" t="s">
        <v>827</v>
      </c>
      <c r="B19" s="202">
        <v>0</v>
      </c>
      <c r="C19" s="116">
        <v>32000000</v>
      </c>
      <c r="D19" s="519"/>
      <c r="E19" s="519"/>
      <c r="F19" s="519"/>
      <c r="G19" s="519"/>
      <c r="H19" s="23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row>
    <row r="20" spans="1:33" ht="12.75" thickBot="1">
      <c r="A20" s="117" t="s">
        <v>504</v>
      </c>
      <c r="B20" s="201">
        <f>SUM(B17:B19)</f>
        <v>21878826748</v>
      </c>
      <c r="C20" s="201">
        <f>SUM(C17:C19)</f>
        <v>5722748282</v>
      </c>
      <c r="D20" s="2"/>
      <c r="E20" s="2"/>
      <c r="F20" s="2"/>
      <c r="G20" s="2"/>
      <c r="H20" s="239"/>
      <c r="I20" s="2"/>
      <c r="J20" s="2"/>
      <c r="K20" s="2"/>
      <c r="L20" s="2"/>
      <c r="M20" s="2"/>
      <c r="N20" s="2"/>
      <c r="O20" s="2"/>
      <c r="P20" s="2"/>
      <c r="Q20" s="2"/>
      <c r="R20" s="2"/>
      <c r="S20" s="2"/>
      <c r="T20" s="2"/>
      <c r="U20" s="2"/>
      <c r="V20" s="2"/>
      <c r="W20" s="2"/>
      <c r="X20" s="2"/>
      <c r="Y20" s="2"/>
      <c r="Z20" s="2"/>
      <c r="AA20" s="2"/>
      <c r="AB20" s="2"/>
      <c r="AC20" s="2"/>
      <c r="AD20" s="2"/>
      <c r="AE20" s="2"/>
      <c r="AF20" s="2"/>
      <c r="AG20" s="101"/>
    </row>
    <row r="21" spans="1:33" ht="12.75" thickTop="1">
      <c r="A21" s="2"/>
      <c r="B21" s="2"/>
      <c r="C21" s="2"/>
      <c r="D21" s="2"/>
      <c r="E21" s="2"/>
      <c r="F21" s="2"/>
      <c r="G21" s="2"/>
      <c r="H21" s="239"/>
      <c r="I21" s="2"/>
      <c r="J21" s="2"/>
      <c r="K21" s="2"/>
      <c r="L21" s="2"/>
      <c r="M21" s="2"/>
      <c r="N21" s="2"/>
      <c r="O21" s="2"/>
      <c r="P21" s="2"/>
      <c r="Q21" s="2"/>
      <c r="R21" s="2"/>
      <c r="S21" s="2"/>
      <c r="T21" s="2"/>
      <c r="U21" s="2"/>
      <c r="V21" s="2"/>
      <c r="W21" s="2"/>
      <c r="X21" s="2"/>
      <c r="Y21" s="2"/>
      <c r="Z21" s="2"/>
      <c r="AA21" s="2"/>
      <c r="AB21" s="2"/>
      <c r="AC21" s="2"/>
      <c r="AD21" s="2"/>
      <c r="AE21" s="2"/>
      <c r="AF21" s="2"/>
      <c r="AG21" s="101"/>
    </row>
    <row r="28" spans="1:33">
      <c r="C28" s="112"/>
    </row>
  </sheetData>
  <mergeCells count="2">
    <mergeCell ref="B7:C7"/>
    <mergeCell ref="A4:B4"/>
  </mergeCells>
  <hyperlinks>
    <hyperlink ref="C1" location="ER!A1" display="ER" xr:uid="{FA9D8EB9-19E9-44ED-AAC4-7344F6BD2DF9}"/>
  </hyperlinks>
  <pageMargins left="1.9685039370078741" right="1.7716535433070868" top="1.9685039370078741" bottom="0.74803149606299213" header="0.31496062992125984" footer="0.31496062992125984"/>
  <pageSetup scale="75" orientation="portrait"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1"/>
  <dimension ref="A1:AE52"/>
  <sheetViews>
    <sheetView showGridLines="0" workbookViewId="0">
      <selection activeCell="B1" sqref="B1"/>
    </sheetView>
  </sheetViews>
  <sheetFormatPr baseColWidth="10" defaultColWidth="11.42578125" defaultRowHeight="12"/>
  <cols>
    <col min="1" max="1" width="40.5703125" style="111" customWidth="1"/>
    <col min="2" max="2" width="18.140625" style="118" customWidth="1"/>
    <col min="3" max="3" width="17.140625" style="118" customWidth="1"/>
    <col min="4" max="4" width="0.28515625" style="111" customWidth="1"/>
    <col min="5" max="6" width="11.42578125" style="111" hidden="1" customWidth="1"/>
    <col min="7" max="7" width="16.28515625" style="111" customWidth="1"/>
    <col min="8" max="8" width="15.28515625" style="111" customWidth="1"/>
    <col min="9" max="9" width="17.42578125" style="111" customWidth="1"/>
    <col min="10" max="31" width="11.42578125" style="111"/>
    <col min="32" max="16384" width="11.42578125" style="235"/>
  </cols>
  <sheetData>
    <row r="1" spans="1:31" ht="15.75" customHeight="1">
      <c r="A1" s="277" t="str">
        <f>Indice!C1</f>
        <v>NICOLAS GONZALEZ ODDONE S.A.E.C.A</v>
      </c>
      <c r="B1" s="920" t="s">
        <v>84</v>
      </c>
      <c r="C1" s="288"/>
      <c r="E1" s="115"/>
    </row>
    <row r="3" spans="1:31" ht="17.25" customHeight="1">
      <c r="A3" s="286" t="s">
        <v>195</v>
      </c>
      <c r="B3" s="286"/>
      <c r="C3" s="286"/>
      <c r="D3" s="286"/>
      <c r="E3" s="234"/>
      <c r="F3" s="234"/>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row>
    <row r="4" spans="1:31">
      <c r="A4" s="238" t="s">
        <v>144</v>
      </c>
      <c r="B4" s="238"/>
    </row>
    <row r="5" spans="1:31">
      <c r="B5" s="237"/>
      <c r="C5" s="237"/>
    </row>
    <row r="6" spans="1:31" ht="13.5" customHeight="1">
      <c r="A6" s="517" t="s">
        <v>89</v>
      </c>
      <c r="B6" s="813">
        <v>44561</v>
      </c>
      <c r="C6" s="813">
        <v>44196</v>
      </c>
      <c r="D6" s="250"/>
      <c r="E6" s="250"/>
      <c r="F6" s="250"/>
      <c r="G6" s="250"/>
      <c r="H6" s="250"/>
      <c r="I6" s="251"/>
      <c r="J6" s="250"/>
      <c r="K6" s="250"/>
      <c r="L6" s="250"/>
      <c r="M6" s="250"/>
      <c r="N6" s="250"/>
      <c r="O6" s="250"/>
      <c r="P6" s="250"/>
      <c r="Q6" s="250"/>
      <c r="R6" s="250"/>
      <c r="S6" s="250"/>
      <c r="T6" s="250"/>
      <c r="U6" s="250"/>
      <c r="V6" s="250"/>
      <c r="W6" s="250"/>
      <c r="X6" s="250"/>
      <c r="Y6" s="250"/>
      <c r="Z6" s="250"/>
      <c r="AA6" s="250"/>
      <c r="AB6" s="250"/>
      <c r="AC6" s="250"/>
      <c r="AD6" s="250"/>
      <c r="AE6" s="250"/>
    </row>
    <row r="7" spans="1:31" ht="15">
      <c r="A7" s="117" t="s">
        <v>687</v>
      </c>
      <c r="B7" s="518"/>
      <c r="C7" s="518"/>
      <c r="D7" s="250"/>
      <c r="E7" s="250"/>
      <c r="F7" s="250"/>
      <c r="G7" s="250"/>
      <c r="H7" s="250"/>
      <c r="I7" s="253"/>
      <c r="J7" s="250"/>
      <c r="K7" s="250"/>
      <c r="L7" s="250"/>
      <c r="M7" s="250"/>
      <c r="N7" s="250"/>
      <c r="O7" s="250"/>
      <c r="P7" s="250"/>
      <c r="Q7" s="250"/>
      <c r="R7" s="250"/>
      <c r="S7" s="250"/>
      <c r="T7" s="250"/>
      <c r="U7" s="250"/>
      <c r="V7" s="250"/>
      <c r="W7" s="250"/>
      <c r="X7" s="250"/>
      <c r="Y7" s="250"/>
      <c r="Z7" s="250"/>
      <c r="AA7" s="250"/>
      <c r="AB7" s="250"/>
      <c r="AC7" s="250"/>
      <c r="AD7" s="250"/>
      <c r="AE7" s="250"/>
    </row>
    <row r="8" spans="1:31" ht="15">
      <c r="A8" s="519" t="s">
        <v>147</v>
      </c>
      <c r="B8" s="197">
        <v>168535470731</v>
      </c>
      <c r="C8" s="116">
        <v>323834508963</v>
      </c>
      <c r="D8" s="250"/>
      <c r="E8" s="250"/>
      <c r="F8" s="250"/>
      <c r="G8" s="197"/>
      <c r="H8" s="197"/>
      <c r="I8" s="253"/>
      <c r="J8" s="250"/>
      <c r="K8" s="250"/>
      <c r="L8" s="250"/>
      <c r="M8" s="250"/>
      <c r="N8" s="250"/>
      <c r="O8" s="250"/>
      <c r="P8" s="250"/>
      <c r="Q8" s="250"/>
      <c r="R8" s="250"/>
      <c r="S8" s="250"/>
      <c r="T8" s="250"/>
      <c r="U8" s="250"/>
      <c r="V8" s="250"/>
      <c r="W8" s="250"/>
      <c r="X8" s="250"/>
      <c r="Y8" s="250"/>
      <c r="Z8" s="250"/>
      <c r="AA8" s="250"/>
      <c r="AB8" s="250"/>
      <c r="AC8" s="250"/>
      <c r="AD8" s="250"/>
      <c r="AE8" s="250"/>
    </row>
    <row r="9" spans="1:31" ht="15">
      <c r="A9" s="203" t="s">
        <v>148</v>
      </c>
      <c r="B9" s="197">
        <v>930739160766</v>
      </c>
      <c r="C9" s="116">
        <v>479919457663</v>
      </c>
      <c r="D9" s="250"/>
      <c r="E9" s="250"/>
      <c r="F9" s="250"/>
      <c r="G9" s="197"/>
      <c r="H9" s="197"/>
      <c r="I9" s="253"/>
      <c r="J9" s="250"/>
      <c r="K9" s="250"/>
      <c r="L9" s="250"/>
      <c r="M9" s="250"/>
      <c r="N9" s="250"/>
      <c r="O9" s="250"/>
      <c r="P9" s="250"/>
      <c r="Q9" s="250"/>
      <c r="R9" s="250"/>
      <c r="S9" s="250"/>
      <c r="T9" s="250"/>
      <c r="U9" s="250"/>
      <c r="V9" s="250"/>
      <c r="W9" s="250"/>
      <c r="X9" s="250"/>
      <c r="Y9" s="250"/>
      <c r="Z9" s="250"/>
      <c r="AA9" s="250"/>
      <c r="AB9" s="250"/>
      <c r="AC9" s="250"/>
      <c r="AD9" s="250"/>
      <c r="AE9" s="250"/>
    </row>
    <row r="10" spans="1:31" ht="15" hidden="1">
      <c r="A10" s="203" t="s">
        <v>686</v>
      </c>
      <c r="B10" s="521">
        <v>0</v>
      </c>
      <c r="C10" s="1135"/>
      <c r="D10" s="250"/>
      <c r="E10" s="250"/>
      <c r="F10" s="250"/>
      <c r="G10" s="197"/>
      <c r="H10" s="197"/>
      <c r="I10" s="252"/>
      <c r="J10" s="250"/>
      <c r="K10" s="250"/>
      <c r="L10" s="250"/>
      <c r="M10" s="250"/>
      <c r="N10" s="250"/>
      <c r="O10" s="250"/>
      <c r="P10" s="250"/>
      <c r="Q10" s="250"/>
      <c r="R10" s="250"/>
      <c r="S10" s="250"/>
      <c r="T10" s="250"/>
      <c r="U10" s="250"/>
      <c r="V10" s="250"/>
      <c r="W10" s="250"/>
      <c r="X10" s="250"/>
      <c r="Y10" s="250"/>
      <c r="Z10" s="250"/>
      <c r="AA10" s="250"/>
      <c r="AB10" s="250"/>
      <c r="AC10" s="250"/>
      <c r="AD10" s="250"/>
      <c r="AE10" s="250"/>
    </row>
    <row r="11" spans="1:31" ht="15">
      <c r="A11" s="203" t="s">
        <v>149</v>
      </c>
      <c r="B11" s="197">
        <v>-552474900162</v>
      </c>
      <c r="C11" s="116">
        <v>-345210564209</v>
      </c>
      <c r="D11" s="250"/>
      <c r="E11" s="250"/>
      <c r="F11" s="250"/>
      <c r="G11" s="197"/>
      <c r="H11" s="197"/>
      <c r="I11" s="251"/>
      <c r="J11" s="250"/>
      <c r="K11" s="250"/>
      <c r="L11" s="250"/>
      <c r="M11" s="250"/>
      <c r="N11" s="250"/>
      <c r="O11" s="250"/>
      <c r="P11" s="250"/>
      <c r="Q11" s="250"/>
      <c r="R11" s="250"/>
      <c r="S11" s="250"/>
      <c r="T11" s="250"/>
      <c r="U11" s="250"/>
      <c r="V11" s="250"/>
      <c r="W11" s="250"/>
      <c r="X11" s="250"/>
      <c r="Y11" s="250"/>
      <c r="Z11" s="250"/>
      <c r="AA11" s="250"/>
      <c r="AB11" s="250"/>
      <c r="AC11" s="250"/>
      <c r="AD11" s="250"/>
      <c r="AE11" s="250"/>
    </row>
    <row r="12" spans="1:31" s="513" customFormat="1" ht="15">
      <c r="A12" s="117" t="s">
        <v>688</v>
      </c>
      <c r="B12" s="683"/>
      <c r="C12" s="683"/>
      <c r="D12" s="357"/>
      <c r="E12" s="357"/>
      <c r="F12" s="357"/>
      <c r="G12" s="197"/>
      <c r="H12" s="197"/>
      <c r="I12" s="259"/>
      <c r="J12" s="357"/>
      <c r="K12" s="357"/>
      <c r="L12" s="357"/>
      <c r="M12" s="357"/>
      <c r="N12" s="357"/>
      <c r="O12" s="357"/>
      <c r="P12" s="357"/>
      <c r="Q12" s="357"/>
      <c r="R12" s="357"/>
      <c r="S12" s="357"/>
      <c r="T12" s="357"/>
      <c r="U12" s="357"/>
      <c r="V12" s="357"/>
      <c r="W12" s="357"/>
      <c r="X12" s="357"/>
      <c r="Y12" s="357"/>
      <c r="Z12" s="357"/>
      <c r="AA12" s="357"/>
      <c r="AB12" s="357"/>
      <c r="AC12" s="357"/>
      <c r="AD12" s="357"/>
      <c r="AE12" s="357"/>
    </row>
    <row r="13" spans="1:31" ht="15">
      <c r="A13" s="519" t="s">
        <v>147</v>
      </c>
      <c r="B13" s="197">
        <v>16143163260</v>
      </c>
      <c r="C13" s="116">
        <v>22025480989</v>
      </c>
      <c r="D13" s="250"/>
      <c r="E13" s="250"/>
      <c r="F13" s="250"/>
      <c r="G13" s="197"/>
      <c r="H13" s="197"/>
      <c r="I13" s="253"/>
      <c r="J13" s="250"/>
      <c r="K13" s="250"/>
      <c r="L13" s="250"/>
      <c r="M13" s="250"/>
      <c r="N13" s="250"/>
      <c r="O13" s="250"/>
      <c r="P13" s="250"/>
      <c r="Q13" s="250"/>
      <c r="R13" s="250"/>
      <c r="S13" s="250"/>
      <c r="T13" s="250"/>
      <c r="U13" s="250"/>
      <c r="V13" s="250"/>
      <c r="W13" s="250"/>
      <c r="X13" s="250"/>
      <c r="Y13" s="250"/>
      <c r="Z13" s="250"/>
      <c r="AA13" s="250"/>
      <c r="AB13" s="250"/>
      <c r="AC13" s="250"/>
      <c r="AD13" s="250"/>
      <c r="AE13" s="250"/>
    </row>
    <row r="14" spans="1:31" s="1121" customFormat="1" ht="15">
      <c r="A14" s="1128" t="s">
        <v>148</v>
      </c>
      <c r="B14" s="197">
        <v>28205931740</v>
      </c>
      <c r="C14" s="116">
        <v>4750204133</v>
      </c>
      <c r="H14" s="197"/>
      <c r="I14" s="1129"/>
    </row>
    <row r="15" spans="1:31" ht="15" hidden="1">
      <c r="A15" s="203" t="s">
        <v>686</v>
      </c>
      <c r="B15" s="521">
        <v>0</v>
      </c>
      <c r="C15" s="1135"/>
      <c r="D15" s="250"/>
      <c r="E15" s="250"/>
      <c r="F15" s="250"/>
      <c r="G15" s="250"/>
      <c r="H15" s="239"/>
      <c r="I15" s="251"/>
      <c r="J15" s="250"/>
      <c r="K15" s="250"/>
      <c r="L15" s="250"/>
      <c r="M15" s="250"/>
      <c r="N15" s="250"/>
      <c r="O15" s="250"/>
      <c r="P15" s="250"/>
      <c r="Q15" s="250"/>
      <c r="R15" s="250"/>
      <c r="S15" s="250"/>
      <c r="T15" s="250"/>
      <c r="U15" s="250"/>
      <c r="V15" s="250"/>
      <c r="W15" s="250"/>
      <c r="X15" s="250"/>
      <c r="Y15" s="250"/>
      <c r="Z15" s="250"/>
      <c r="AA15" s="250"/>
      <c r="AB15" s="250"/>
      <c r="AC15" s="250"/>
      <c r="AD15" s="250"/>
      <c r="AE15" s="250"/>
    </row>
    <row r="16" spans="1:31">
      <c r="A16" s="203" t="s">
        <v>149</v>
      </c>
      <c r="B16" s="197">
        <v>-22470268252</v>
      </c>
      <c r="C16" s="116">
        <v>-21052936840</v>
      </c>
      <c r="D16" s="250"/>
      <c r="E16" s="250"/>
      <c r="F16" s="250"/>
      <c r="G16" s="250"/>
      <c r="H16" s="239"/>
      <c r="J16" s="250"/>
      <c r="K16" s="250"/>
      <c r="L16" s="250"/>
      <c r="M16" s="250"/>
      <c r="N16" s="250"/>
      <c r="O16" s="250"/>
      <c r="P16" s="250"/>
      <c r="Q16" s="250"/>
      <c r="R16" s="250"/>
      <c r="S16" s="250"/>
      <c r="T16" s="250"/>
      <c r="U16" s="250"/>
      <c r="V16" s="250"/>
      <c r="W16" s="250"/>
      <c r="X16" s="250"/>
      <c r="Y16" s="250"/>
      <c r="Z16" s="250"/>
      <c r="AA16" s="250"/>
      <c r="AB16" s="250"/>
      <c r="AC16" s="250"/>
      <c r="AD16" s="250"/>
      <c r="AE16" s="250"/>
    </row>
    <row r="17" spans="1:31">
      <c r="A17" s="401" t="s">
        <v>689</v>
      </c>
      <c r="B17" s="197">
        <v>0</v>
      </c>
      <c r="C17" s="684">
        <v>0</v>
      </c>
      <c r="D17" s="250"/>
      <c r="E17" s="250"/>
      <c r="F17" s="250"/>
      <c r="G17" s="250"/>
      <c r="H17" s="239"/>
      <c r="J17" s="250"/>
      <c r="K17" s="250"/>
      <c r="L17" s="250"/>
      <c r="M17" s="250"/>
      <c r="N17" s="250"/>
      <c r="O17" s="250"/>
      <c r="P17" s="250"/>
      <c r="Q17" s="250"/>
      <c r="R17" s="250"/>
      <c r="S17" s="250"/>
      <c r="T17" s="250"/>
      <c r="U17" s="250"/>
      <c r="V17" s="250"/>
      <c r="W17" s="250"/>
      <c r="X17" s="250"/>
      <c r="Y17" s="250"/>
      <c r="Z17" s="250"/>
      <c r="AA17" s="250"/>
      <c r="AB17" s="250"/>
      <c r="AC17" s="250"/>
      <c r="AD17" s="250"/>
      <c r="AE17" s="250"/>
    </row>
    <row r="18" spans="1:31" ht="12.75" thickBot="1">
      <c r="A18" s="117" t="s">
        <v>738</v>
      </c>
      <c r="B18" s="685">
        <f>SUM(B8:B17)</f>
        <v>568678558083</v>
      </c>
      <c r="C18" s="686">
        <f>SUM(C8:C17)</f>
        <v>464266150699</v>
      </c>
      <c r="D18" s="250"/>
      <c r="E18" s="250"/>
      <c r="F18" s="250"/>
      <c r="G18" s="250"/>
      <c r="H18" s="239"/>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row>
    <row r="19" spans="1:31" ht="12.75" thickTop="1">
      <c r="B19" s="753"/>
      <c r="G19" s="112"/>
      <c r="H19" s="112"/>
    </row>
    <row r="20" spans="1:31">
      <c r="B20" s="753"/>
      <c r="C20" s="753"/>
      <c r="G20" s="112"/>
    </row>
    <row r="21" spans="1:31">
      <c r="A21" s="160"/>
      <c r="B21" s="309"/>
      <c r="C21" s="309"/>
      <c r="D21" s="160"/>
      <c r="E21" s="160"/>
      <c r="F21" s="160"/>
      <c r="G21" s="160"/>
      <c r="H21" s="160"/>
      <c r="I21" s="160"/>
      <c r="J21" s="160"/>
      <c r="K21" s="160"/>
    </row>
    <row r="22" spans="1:31" ht="15">
      <c r="A22" s="850"/>
      <c r="B22" s="851">
        <f>-539680273890-3712472548-3406984897-21878826748</f>
        <v>-568678558083</v>
      </c>
      <c r="C22" s="851"/>
      <c r="D22" s="160"/>
      <c r="E22" s="160"/>
      <c r="F22" s="160"/>
      <c r="G22" s="160"/>
      <c r="H22" s="160"/>
      <c r="I22" s="160"/>
      <c r="J22" s="160"/>
      <c r="K22" s="160"/>
    </row>
    <row r="23" spans="1:31" ht="15">
      <c r="A23" s="1264"/>
      <c r="B23" s="1264"/>
      <c r="C23" s="1264"/>
      <c r="D23" s="852"/>
      <c r="E23" s="852"/>
      <c r="F23" s="852"/>
      <c r="G23" s="853"/>
      <c r="H23" s="852"/>
      <c r="I23" s="852"/>
      <c r="J23" s="852"/>
      <c r="K23" s="160"/>
    </row>
    <row r="24" spans="1:31" ht="15">
      <c r="A24" s="852"/>
      <c r="B24" s="853"/>
      <c r="C24" s="853"/>
      <c r="D24" s="852"/>
      <c r="E24" s="852"/>
      <c r="F24" s="852"/>
      <c r="G24" s="853"/>
      <c r="H24" s="852"/>
      <c r="I24" s="852"/>
      <c r="J24" s="852"/>
      <c r="K24" s="160"/>
    </row>
    <row r="25" spans="1:31" ht="15">
      <c r="A25" s="852"/>
      <c r="B25" s="853"/>
      <c r="C25" s="853"/>
      <c r="D25" s="852"/>
      <c r="E25" s="854"/>
      <c r="F25" s="855"/>
      <c r="G25" s="855"/>
      <c r="H25" s="852"/>
      <c r="I25" s="852"/>
      <c r="J25" s="852"/>
      <c r="K25" s="160"/>
    </row>
    <row r="26" spans="1:31" ht="15">
      <c r="A26" s="852"/>
      <c r="B26" s="853"/>
      <c r="C26" s="853"/>
      <c r="D26" s="852"/>
      <c r="E26" s="852"/>
      <c r="F26" s="853"/>
      <c r="G26" s="853"/>
      <c r="H26" s="852"/>
      <c r="I26" s="852"/>
      <c r="J26" s="852"/>
      <c r="K26" s="160"/>
    </row>
    <row r="27" spans="1:31" ht="15">
      <c r="A27" s="852"/>
      <c r="B27" s="853"/>
      <c r="C27" s="853"/>
      <c r="D27" s="853"/>
      <c r="E27" s="852"/>
      <c r="F27" s="853"/>
      <c r="G27" s="853"/>
      <c r="H27" s="852"/>
      <c r="I27" s="852"/>
      <c r="J27" s="852"/>
      <c r="K27" s="160"/>
    </row>
    <row r="28" spans="1:31" ht="15">
      <c r="A28" s="856"/>
      <c r="B28" s="853"/>
      <c r="C28" s="853"/>
      <c r="D28" s="852"/>
      <c r="E28" s="852"/>
      <c r="F28" s="857"/>
      <c r="G28" s="857"/>
      <c r="H28" s="852"/>
      <c r="I28" s="852"/>
      <c r="J28" s="852"/>
      <c r="K28" s="160"/>
    </row>
    <row r="29" spans="1:31" ht="15">
      <c r="A29" s="856"/>
      <c r="B29" s="853"/>
      <c r="C29" s="853"/>
      <c r="D29" s="852"/>
      <c r="E29" s="852"/>
      <c r="F29" s="852"/>
      <c r="G29" s="853"/>
      <c r="H29" s="852"/>
      <c r="I29" s="852"/>
      <c r="J29" s="852"/>
      <c r="K29" s="160"/>
    </row>
    <row r="30" spans="1:31" ht="15">
      <c r="A30" s="856"/>
      <c r="B30" s="853"/>
      <c r="C30" s="853"/>
      <c r="D30" s="852"/>
      <c r="E30" s="852"/>
      <c r="F30" s="852"/>
      <c r="G30" s="853"/>
      <c r="H30" s="852"/>
      <c r="I30" s="852"/>
      <c r="J30" s="852"/>
      <c r="K30" s="160"/>
    </row>
    <row r="31" spans="1:31" ht="15">
      <c r="A31" s="856"/>
      <c r="B31" s="853"/>
      <c r="C31" s="853"/>
      <c r="D31" s="852"/>
      <c r="E31" s="852"/>
      <c r="F31" s="852"/>
      <c r="G31" s="853"/>
      <c r="H31" s="852"/>
      <c r="I31" s="852"/>
      <c r="J31" s="852"/>
      <c r="K31" s="160"/>
    </row>
    <row r="32" spans="1:31" ht="15">
      <c r="A32" s="852"/>
      <c r="B32" s="853"/>
      <c r="C32" s="853"/>
      <c r="D32" s="852"/>
      <c r="E32" s="852"/>
      <c r="F32" s="852"/>
      <c r="G32" s="853"/>
      <c r="H32" s="852"/>
      <c r="I32" s="852"/>
      <c r="J32" s="852"/>
      <c r="K32" s="160"/>
    </row>
    <row r="33" spans="1:31" ht="15">
      <c r="A33" s="852"/>
      <c r="B33" s="853"/>
      <c r="C33" s="853"/>
      <c r="D33" s="852"/>
      <c r="E33" s="852"/>
      <c r="F33" s="852"/>
      <c r="G33" s="853"/>
      <c r="H33" s="852"/>
      <c r="I33" s="852"/>
      <c r="J33" s="852"/>
      <c r="K33" s="160"/>
    </row>
    <row r="34" spans="1:31" ht="15">
      <c r="A34" s="852"/>
      <c r="B34" s="853"/>
      <c r="C34" s="853"/>
      <c r="D34" s="852"/>
      <c r="E34" s="857"/>
      <c r="F34" s="852"/>
      <c r="G34" s="857"/>
      <c r="H34" s="852"/>
      <c r="I34" s="852"/>
      <c r="J34" s="852"/>
      <c r="K34" s="160"/>
    </row>
    <row r="35" spans="1:31" ht="15">
      <c r="A35" s="852"/>
      <c r="B35" s="853"/>
      <c r="C35" s="853"/>
      <c r="D35" s="852"/>
      <c r="E35" s="852"/>
      <c r="F35" s="852"/>
      <c r="G35" s="852"/>
      <c r="H35" s="852"/>
      <c r="I35" s="852"/>
      <c r="J35" s="852"/>
      <c r="K35" s="160"/>
    </row>
    <row r="36" spans="1:31" ht="15">
      <c r="A36" s="852"/>
      <c r="B36" s="853"/>
      <c r="C36" s="853"/>
      <c r="D36" s="852"/>
      <c r="E36" s="853"/>
      <c r="F36" s="852"/>
      <c r="G36" s="853"/>
      <c r="H36" s="852"/>
      <c r="I36" s="852"/>
      <c r="J36" s="852"/>
      <c r="K36" s="160"/>
    </row>
    <row r="37" spans="1:31" ht="15">
      <c r="A37" s="852"/>
      <c r="B37" s="853"/>
      <c r="C37" s="853"/>
      <c r="D37" s="852"/>
      <c r="E37" s="852"/>
      <c r="F37" s="852"/>
      <c r="G37" s="853"/>
      <c r="H37" s="852"/>
      <c r="I37" s="852"/>
      <c r="J37" s="852"/>
      <c r="K37" s="160"/>
    </row>
    <row r="38" spans="1:31" ht="15">
      <c r="A38" s="852"/>
      <c r="B38" s="853"/>
      <c r="C38" s="853"/>
      <c r="D38" s="852"/>
      <c r="E38" s="858"/>
      <c r="F38" s="858"/>
      <c r="G38" s="855"/>
      <c r="H38" s="852"/>
      <c r="I38" s="852"/>
      <c r="J38" s="852"/>
      <c r="K38" s="160"/>
    </row>
    <row r="39" spans="1:31" ht="15">
      <c r="A39" s="852"/>
      <c r="B39" s="852"/>
      <c r="C39" s="852"/>
      <c r="D39" s="859"/>
      <c r="E39" s="852"/>
      <c r="F39" s="860"/>
      <c r="G39" s="853"/>
      <c r="H39" s="852"/>
      <c r="I39" s="853"/>
      <c r="J39" s="852"/>
      <c r="K39" s="160"/>
    </row>
    <row r="40" spans="1:31" ht="15">
      <c r="A40" s="852"/>
      <c r="B40" s="857"/>
      <c r="C40" s="857"/>
      <c r="D40" s="859"/>
      <c r="E40" s="852"/>
      <c r="F40" s="853"/>
      <c r="G40" s="853"/>
      <c r="H40" s="852"/>
      <c r="I40" s="853"/>
      <c r="J40" s="852"/>
      <c r="K40" s="160"/>
    </row>
    <row r="41" spans="1:31" ht="15">
      <c r="A41" s="852"/>
      <c r="B41" s="852"/>
      <c r="C41" s="852"/>
      <c r="D41" s="859"/>
      <c r="E41" s="852"/>
      <c r="F41" s="853"/>
      <c r="G41" s="853"/>
      <c r="H41" s="852"/>
      <c r="I41" s="853"/>
      <c r="J41" s="852"/>
      <c r="K41" s="160"/>
    </row>
    <row r="42" spans="1:31" ht="15">
      <c r="A42" s="852"/>
      <c r="B42" s="852"/>
      <c r="C42" s="852"/>
      <c r="D42" s="852"/>
      <c r="E42" s="850"/>
      <c r="F42" s="857"/>
      <c r="G42" s="857"/>
      <c r="H42" s="852"/>
      <c r="I42" s="857"/>
      <c r="J42" s="852"/>
      <c r="K42" s="160"/>
    </row>
    <row r="43" spans="1:31" s="514" customFormat="1" ht="15">
      <c r="A43" s="861"/>
      <c r="B43" s="853"/>
      <c r="C43" s="852"/>
      <c r="D43" s="852"/>
      <c r="E43" s="852"/>
      <c r="F43" s="852"/>
      <c r="G43" s="853"/>
      <c r="H43" s="852"/>
      <c r="I43" s="852"/>
      <c r="J43" s="852"/>
      <c r="K43" s="160"/>
      <c r="L43" s="111"/>
      <c r="M43" s="111"/>
      <c r="N43" s="111"/>
      <c r="O43" s="111"/>
      <c r="P43" s="111"/>
      <c r="Q43" s="111"/>
      <c r="R43" s="111"/>
      <c r="S43" s="111"/>
      <c r="T43" s="111"/>
      <c r="U43" s="111"/>
      <c r="V43" s="111"/>
      <c r="W43" s="111"/>
      <c r="X43" s="111"/>
      <c r="Y43" s="111"/>
      <c r="Z43" s="111"/>
      <c r="AA43" s="111"/>
      <c r="AB43" s="111"/>
      <c r="AC43" s="111"/>
      <c r="AD43" s="111"/>
      <c r="AE43" s="111"/>
    </row>
    <row r="44" spans="1:31" s="514" customFormat="1" ht="15">
      <c r="A44" s="852"/>
      <c r="B44" s="852"/>
      <c r="C44" s="852"/>
      <c r="D44" s="852"/>
      <c r="E44" s="852"/>
      <c r="F44" s="853"/>
      <c r="G44" s="853"/>
      <c r="H44" s="852"/>
      <c r="I44" s="853"/>
      <c r="J44" s="852"/>
      <c r="K44" s="160"/>
      <c r="L44" s="111"/>
      <c r="M44" s="111"/>
      <c r="N44" s="111"/>
      <c r="O44" s="111"/>
      <c r="P44" s="111"/>
      <c r="Q44" s="111"/>
      <c r="R44" s="111"/>
      <c r="S44" s="111"/>
      <c r="T44" s="111"/>
      <c r="U44" s="111"/>
      <c r="V44" s="111"/>
      <c r="W44" s="111"/>
      <c r="X44" s="111"/>
      <c r="Y44" s="111"/>
      <c r="Z44" s="111"/>
      <c r="AA44" s="111"/>
      <c r="AB44" s="111"/>
      <c r="AC44" s="111"/>
      <c r="AD44" s="111"/>
      <c r="AE44" s="111"/>
    </row>
    <row r="45" spans="1:31" ht="15">
      <c r="A45" s="861"/>
      <c r="B45" s="853"/>
      <c r="C45" s="852"/>
      <c r="D45" s="852"/>
      <c r="E45" s="852"/>
      <c r="F45" s="853"/>
      <c r="G45" s="853"/>
      <c r="H45" s="852"/>
      <c r="I45" s="853"/>
      <c r="J45" s="852"/>
      <c r="K45" s="160"/>
    </row>
    <row r="46" spans="1:31" ht="15">
      <c r="A46" s="852"/>
      <c r="B46" s="852"/>
      <c r="C46" s="852"/>
      <c r="D46" s="852"/>
      <c r="E46" s="852"/>
      <c r="F46" s="853"/>
      <c r="G46" s="853"/>
      <c r="H46" s="852"/>
      <c r="I46" s="853"/>
      <c r="J46" s="852"/>
      <c r="K46" s="160"/>
    </row>
    <row r="47" spans="1:31" ht="15">
      <c r="A47" s="852"/>
      <c r="B47" s="852"/>
      <c r="C47" s="852"/>
      <c r="D47" s="852"/>
      <c r="E47" s="850"/>
      <c r="F47" s="857"/>
      <c r="G47" s="857"/>
      <c r="H47" s="852"/>
      <c r="I47" s="857"/>
      <c r="J47" s="852"/>
      <c r="K47" s="160"/>
    </row>
    <row r="48" spans="1:31" ht="15">
      <c r="A48" s="852"/>
      <c r="B48" s="852"/>
      <c r="C48" s="852"/>
      <c r="D48" s="852"/>
      <c r="E48" s="852"/>
      <c r="F48" s="853"/>
      <c r="G48" s="853"/>
      <c r="H48" s="852"/>
      <c r="I48" s="852"/>
      <c r="J48" s="852"/>
      <c r="K48" s="160"/>
    </row>
    <row r="49" spans="1:11">
      <c r="A49" s="160"/>
      <c r="B49" s="862"/>
      <c r="C49" s="862"/>
      <c r="D49" s="160"/>
      <c r="E49" s="160"/>
      <c r="F49" s="160"/>
      <c r="G49" s="160"/>
      <c r="H49" s="160"/>
      <c r="I49" s="160"/>
      <c r="J49" s="160"/>
      <c r="K49" s="160"/>
    </row>
    <row r="50" spans="1:11">
      <c r="A50" s="160"/>
      <c r="B50" s="309"/>
      <c r="C50" s="309"/>
      <c r="D50" s="160"/>
      <c r="E50" s="160"/>
      <c r="F50" s="160"/>
      <c r="G50" s="160"/>
      <c r="H50" s="160"/>
      <c r="I50" s="160"/>
      <c r="J50" s="160"/>
      <c r="K50" s="160"/>
    </row>
    <row r="51" spans="1:11">
      <c r="A51" s="160"/>
      <c r="B51" s="309"/>
      <c r="C51" s="309"/>
      <c r="D51" s="160"/>
      <c r="E51" s="160"/>
      <c r="F51" s="160"/>
      <c r="G51" s="160"/>
      <c r="H51" s="160"/>
      <c r="I51" s="160"/>
      <c r="J51" s="160"/>
      <c r="K51" s="160"/>
    </row>
    <row r="52" spans="1:11">
      <c r="A52" s="160"/>
      <c r="B52" s="309"/>
      <c r="C52" s="309"/>
      <c r="D52" s="160"/>
      <c r="E52" s="160"/>
      <c r="F52" s="160"/>
      <c r="G52" s="160"/>
      <c r="H52" s="160"/>
      <c r="I52" s="160"/>
      <c r="J52" s="160"/>
      <c r="K52" s="160"/>
    </row>
  </sheetData>
  <mergeCells count="1">
    <mergeCell ref="A23:C23"/>
  </mergeCells>
  <hyperlinks>
    <hyperlink ref="B1" location="ER!A1" display="ER" xr:uid="{31A06D76-3CCD-4628-B411-B809835CDDBD}"/>
  </hyperlinks>
  <pageMargins left="0.7" right="0.7" top="0.75" bottom="0.75" header="0.3" footer="0.3"/>
  <pageSetup orientation="portrait"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2"/>
  <dimension ref="A1:AG46"/>
  <sheetViews>
    <sheetView showGridLines="0" workbookViewId="0">
      <selection activeCell="B1" sqref="B1"/>
    </sheetView>
  </sheetViews>
  <sheetFormatPr baseColWidth="10" defaultRowHeight="15"/>
  <cols>
    <col min="1" max="1" width="34.5703125" style="12" customWidth="1"/>
    <col min="2" max="2" width="19.85546875" style="12" customWidth="1"/>
    <col min="3" max="3" width="18.28515625" style="12" customWidth="1"/>
    <col min="4" max="4" width="23" style="12" customWidth="1"/>
    <col min="5" max="5" width="17.7109375" style="12" customWidth="1"/>
    <col min="6" max="6" width="16.28515625" style="12" customWidth="1"/>
    <col min="7" max="7" width="23" style="12" customWidth="1"/>
    <col min="8" max="8" width="0.7109375" style="12" customWidth="1"/>
    <col min="9" max="9" width="13.7109375" style="12" bestFit="1" customWidth="1"/>
    <col min="10" max="33" width="11.42578125" style="12"/>
  </cols>
  <sheetData>
    <row r="1" spans="1:33" ht="18" customHeight="1">
      <c r="A1" s="277" t="str">
        <f>Indice!C1</f>
        <v>NICOLAS GONZALEZ ODDONE S.A.E.C.A</v>
      </c>
      <c r="B1" s="920" t="s">
        <v>84</v>
      </c>
      <c r="C1" s="288"/>
      <c r="G1" s="19"/>
    </row>
    <row r="3" spans="1:33" ht="16.5" customHeight="1">
      <c r="A3" s="282" t="s">
        <v>196</v>
      </c>
      <c r="B3" s="282"/>
      <c r="C3" s="296"/>
      <c r="D3" s="296"/>
      <c r="E3" s="296"/>
      <c r="F3" s="296"/>
      <c r="G3" s="296"/>
      <c r="H3" s="296"/>
      <c r="I3" s="4"/>
      <c r="J3" s="4"/>
      <c r="K3" s="4"/>
      <c r="L3" s="4"/>
      <c r="M3" s="4"/>
      <c r="N3" s="4"/>
      <c r="O3" s="4"/>
      <c r="P3" s="4"/>
      <c r="Q3" s="4"/>
      <c r="R3" s="4"/>
      <c r="S3" s="4"/>
      <c r="T3" s="4"/>
      <c r="U3" s="4"/>
      <c r="V3" s="4"/>
      <c r="W3" s="4"/>
      <c r="X3" s="4"/>
      <c r="Y3" s="4"/>
      <c r="Z3" s="4"/>
      <c r="AA3" s="4"/>
      <c r="AB3" s="4"/>
      <c r="AC3" s="4"/>
      <c r="AD3" s="4"/>
      <c r="AE3" s="4"/>
      <c r="AF3" s="4"/>
      <c r="AG3" s="4"/>
    </row>
    <row r="4" spans="1:33" s="8" customFormat="1">
      <c r="A4" s="66" t="s">
        <v>144</v>
      </c>
      <c r="B4" s="50"/>
      <c r="C4" s="50"/>
      <c r="D4" s="50"/>
      <c r="E4" s="50"/>
      <c r="F4" s="50"/>
      <c r="G4" s="50"/>
      <c r="H4" s="50"/>
    </row>
    <row r="5" spans="1:33">
      <c r="A5" s="1265"/>
      <c r="B5" s="1265"/>
      <c r="C5" s="1265"/>
      <c r="D5" s="1265"/>
      <c r="E5" s="1265"/>
      <c r="F5" s="1265"/>
      <c r="G5" s="1265"/>
      <c r="H5" s="1265"/>
    </row>
    <row r="6" spans="1:33" s="31" customFormat="1">
      <c r="A6" s="30" t="s">
        <v>107</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1:33" s="31" customFormat="1" ht="15.75" thickBot="1">
      <c r="A7" s="66"/>
      <c r="B7" s="746"/>
      <c r="C7" s="747"/>
      <c r="D7" s="748"/>
      <c r="E7" s="66"/>
      <c r="F7" s="67"/>
      <c r="G7" s="30"/>
      <c r="H7" s="30"/>
      <c r="I7" s="30"/>
      <c r="J7" s="30"/>
      <c r="K7" s="30"/>
      <c r="L7" s="30"/>
      <c r="M7" s="30"/>
      <c r="N7" s="30"/>
      <c r="O7" s="30"/>
      <c r="P7" s="30"/>
      <c r="Q7" s="30"/>
      <c r="R7" s="30"/>
      <c r="S7" s="30"/>
      <c r="T7" s="30"/>
      <c r="U7" s="30"/>
      <c r="V7" s="30"/>
      <c r="W7" s="30"/>
      <c r="X7" s="30"/>
      <c r="Y7" s="30"/>
      <c r="Z7" s="30"/>
      <c r="AA7" s="30"/>
      <c r="AB7" s="30"/>
      <c r="AC7" s="30"/>
      <c r="AD7" s="30"/>
      <c r="AE7" s="30"/>
      <c r="AF7" s="30"/>
      <c r="AG7" s="30"/>
    </row>
    <row r="8" spans="1:33" s="31" customFormat="1" ht="15.75" thickBot="1">
      <c r="A8" s="1266" t="s">
        <v>337</v>
      </c>
      <c r="B8" s="818"/>
      <c r="C8" s="819">
        <v>44561</v>
      </c>
      <c r="D8" s="820"/>
      <c r="E8" s="821"/>
      <c r="F8" s="819">
        <v>44196</v>
      </c>
      <c r="G8" s="304"/>
      <c r="H8" s="30"/>
      <c r="I8" s="30"/>
      <c r="J8" s="30"/>
      <c r="K8" s="30"/>
      <c r="L8" s="30"/>
      <c r="M8" s="30"/>
      <c r="N8" s="30"/>
      <c r="O8" s="30"/>
      <c r="P8" s="30"/>
      <c r="Q8" s="30"/>
      <c r="R8" s="30"/>
      <c r="S8" s="30"/>
      <c r="T8" s="30"/>
      <c r="U8" s="30"/>
      <c r="V8" s="30"/>
      <c r="W8" s="30"/>
      <c r="X8" s="30"/>
      <c r="Y8" s="30"/>
      <c r="Z8" s="30"/>
      <c r="AA8" s="30"/>
      <c r="AB8" s="30"/>
      <c r="AC8" s="30"/>
      <c r="AD8" s="30"/>
      <c r="AE8" s="30"/>
      <c r="AF8" s="30"/>
      <c r="AG8" s="30"/>
    </row>
    <row r="9" spans="1:33" s="31" customFormat="1" ht="24.75" thickBot="1">
      <c r="A9" s="1267"/>
      <c r="B9" s="305" t="s">
        <v>108</v>
      </c>
      <c r="C9" s="305" t="s">
        <v>109</v>
      </c>
      <c r="D9" s="305" t="s">
        <v>1</v>
      </c>
      <c r="E9" s="305" t="s">
        <v>108</v>
      </c>
      <c r="F9" s="305" t="s">
        <v>109</v>
      </c>
      <c r="G9" s="305" t="s">
        <v>1</v>
      </c>
      <c r="H9" s="30"/>
      <c r="I9" s="30"/>
      <c r="J9" s="30"/>
      <c r="K9" s="30"/>
      <c r="L9" s="30"/>
      <c r="M9" s="30"/>
      <c r="N9" s="30"/>
      <c r="O9" s="30"/>
      <c r="P9" s="30"/>
      <c r="Q9" s="30"/>
      <c r="R9" s="30"/>
      <c r="S9" s="30"/>
      <c r="T9" s="30"/>
      <c r="U9" s="30"/>
      <c r="V9" s="30"/>
      <c r="W9" s="30"/>
      <c r="X9" s="30"/>
      <c r="Y9" s="30"/>
      <c r="Z9" s="30"/>
      <c r="AA9" s="30"/>
      <c r="AB9" s="30"/>
      <c r="AC9" s="30"/>
      <c r="AD9" s="30"/>
      <c r="AE9" s="30"/>
      <c r="AF9" s="30"/>
      <c r="AG9" s="30"/>
    </row>
    <row r="10" spans="1:33" s="31" customFormat="1" ht="13.5" customHeight="1">
      <c r="A10" s="46" t="s">
        <v>110</v>
      </c>
      <c r="B10" s="210">
        <f>902971844+9511126+51657862+55964168+25150146+38000+73691171+771000</f>
        <v>1119755317</v>
      </c>
      <c r="C10" s="210">
        <f>57345553+198496+3551018+1662078</f>
        <v>62757145</v>
      </c>
      <c r="D10" s="210">
        <f>+C10+B10</f>
        <v>1182512462</v>
      </c>
      <c r="E10" s="210">
        <v>717317954</v>
      </c>
      <c r="F10" s="210">
        <v>15063629</v>
      </c>
      <c r="G10" s="210">
        <f>+F10+E10</f>
        <v>732381583</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row>
    <row r="11" spans="1:33" s="31" customFormat="1">
      <c r="A11" s="207" t="s">
        <v>506</v>
      </c>
      <c r="B11" s="210">
        <f>820187+104706127+246011489+1170112</f>
        <v>352707915</v>
      </c>
      <c r="C11" s="210">
        <f>184182660+3491969+1422578+13439959+1447343</f>
        <v>203984509</v>
      </c>
      <c r="D11" s="210">
        <f>+B11+C11</f>
        <v>556692424</v>
      </c>
      <c r="E11" s="210">
        <v>301525323</v>
      </c>
      <c r="F11" s="210">
        <v>132321879</v>
      </c>
      <c r="G11" s="210">
        <f>+F11+E11</f>
        <v>433847202</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row>
    <row r="12" spans="1:33" s="31" customFormat="1">
      <c r="A12" s="47" t="s">
        <v>111</v>
      </c>
      <c r="B12" s="211">
        <f>208143769+1247966603+156000000</f>
        <v>1612110372</v>
      </c>
      <c r="C12" s="211">
        <f>246315000+37011520</f>
        <v>283326520</v>
      </c>
      <c r="D12" s="211">
        <f t="shared" ref="D12:D22" si="0">+C12+B12</f>
        <v>1895436892</v>
      </c>
      <c r="E12" s="211">
        <v>1436336308</v>
      </c>
      <c r="F12" s="211">
        <v>265541076</v>
      </c>
      <c r="G12" s="211">
        <f>+F12+E12</f>
        <v>1701877384</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row>
    <row r="13" spans="1:33" s="747" customFormat="1" hidden="1">
      <c r="A13" s="240" t="s">
        <v>112</v>
      </c>
      <c r="B13" s="799">
        <v>0</v>
      </c>
      <c r="C13" s="799">
        <v>0</v>
      </c>
      <c r="D13" s="799">
        <f t="shared" si="0"/>
        <v>0</v>
      </c>
      <c r="E13" s="211">
        <v>0</v>
      </c>
      <c r="F13" s="211">
        <v>0</v>
      </c>
      <c r="G13" s="799">
        <f t="shared" ref="G13:G32" si="1">+F13+E13</f>
        <v>0</v>
      </c>
    </row>
    <row r="14" spans="1:33" s="31" customFormat="1">
      <c r="A14" s="47" t="s">
        <v>113</v>
      </c>
      <c r="B14" s="211">
        <f>99758715+2782545+181606892+17393750+11363635</f>
        <v>312905537</v>
      </c>
      <c r="C14" s="211">
        <f>767075280+19166139+24654546</f>
        <v>810895965</v>
      </c>
      <c r="D14" s="211">
        <f t="shared" si="0"/>
        <v>1123801502</v>
      </c>
      <c r="E14" s="211">
        <f>50494398+180900000+88332688+2272727</f>
        <v>321999813</v>
      </c>
      <c r="F14" s="211">
        <f>204362427+28066815</f>
        <v>232429242</v>
      </c>
      <c r="G14" s="211">
        <f t="shared" si="1"/>
        <v>554429055</v>
      </c>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row>
    <row r="15" spans="1:33" s="31" customFormat="1" ht="16.5" customHeight="1">
      <c r="A15" s="47" t="s">
        <v>114</v>
      </c>
      <c r="B15" s="211">
        <f>197638197+217495999+576029266+144896701+88336362</f>
        <v>1224396525</v>
      </c>
      <c r="C15" s="211">
        <f>1721267473+106543500+61795000+244340410+126317860+11910000</f>
        <v>2272174243</v>
      </c>
      <c r="D15" s="211">
        <f t="shared" si="0"/>
        <v>3496570768</v>
      </c>
      <c r="E15" s="211">
        <v>1048848457</v>
      </c>
      <c r="F15" s="211">
        <v>8116158150</v>
      </c>
      <c r="G15" s="211">
        <f t="shared" si="1"/>
        <v>9165006607</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row>
    <row r="16" spans="1:33" s="31" customFormat="1">
      <c r="A16" s="47" t="s">
        <v>115</v>
      </c>
      <c r="B16" s="211">
        <v>4968700</v>
      </c>
      <c r="C16" s="211">
        <v>992049054</v>
      </c>
      <c r="D16" s="211">
        <f t="shared" si="0"/>
        <v>997017754</v>
      </c>
      <c r="E16" s="211">
        <v>3923200</v>
      </c>
      <c r="F16" s="211">
        <v>920398879</v>
      </c>
      <c r="G16" s="211">
        <f t="shared" si="1"/>
        <v>924322079</v>
      </c>
      <c r="H16" s="30"/>
      <c r="I16" s="84"/>
      <c r="J16" s="30"/>
      <c r="K16" s="30"/>
      <c r="L16" s="30"/>
      <c r="M16" s="30"/>
      <c r="N16" s="30"/>
      <c r="O16" s="30"/>
      <c r="P16" s="30"/>
      <c r="Q16" s="30"/>
      <c r="R16" s="30"/>
      <c r="S16" s="30"/>
      <c r="T16" s="30"/>
      <c r="U16" s="30"/>
      <c r="V16" s="30"/>
      <c r="W16" s="30"/>
      <c r="X16" s="30"/>
      <c r="Y16" s="30"/>
      <c r="Z16" s="30"/>
      <c r="AA16" s="30"/>
      <c r="AB16" s="30"/>
      <c r="AC16" s="30"/>
      <c r="AD16" s="30"/>
      <c r="AE16" s="30"/>
      <c r="AF16" s="30"/>
      <c r="AG16" s="30"/>
    </row>
    <row r="17" spans="1:33" s="31" customFormat="1">
      <c r="A17" s="47" t="s">
        <v>116</v>
      </c>
      <c r="B17" s="211">
        <f>39765999+907612007+351981097+68026342+67210807</f>
        <v>1434596252</v>
      </c>
      <c r="C17" s="211">
        <f>357270596+663867506+395454739</f>
        <v>1416592841</v>
      </c>
      <c r="D17" s="211">
        <f t="shared" si="0"/>
        <v>2851189093</v>
      </c>
      <c r="E17" s="211">
        <v>665094373</v>
      </c>
      <c r="F17" s="211">
        <v>1183403428</v>
      </c>
      <c r="G17" s="211">
        <f t="shared" si="1"/>
        <v>1848497801</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row>
    <row r="18" spans="1:33" s="31" customFormat="1">
      <c r="A18" s="47" t="s">
        <v>118</v>
      </c>
      <c r="B18" s="211">
        <f>10178278+42351044+5548563</f>
        <v>58077885</v>
      </c>
      <c r="C18" s="211">
        <f>58092123+74345416+5419004+31667348+814842</f>
        <v>170338733</v>
      </c>
      <c r="D18" s="211">
        <f t="shared" si="0"/>
        <v>228416618</v>
      </c>
      <c r="E18" s="211">
        <v>275690702</v>
      </c>
      <c r="F18" s="211">
        <v>212594767</v>
      </c>
      <c r="G18" s="211">
        <f t="shared" si="1"/>
        <v>488285469</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row>
    <row r="19" spans="1:33" s="747" customFormat="1" hidden="1">
      <c r="A19" s="240" t="s">
        <v>119</v>
      </c>
      <c r="B19" s="799">
        <v>0</v>
      </c>
      <c r="C19" s="799">
        <v>0</v>
      </c>
      <c r="D19" s="799">
        <f t="shared" si="0"/>
        <v>0</v>
      </c>
      <c r="E19" s="799">
        <v>0</v>
      </c>
      <c r="F19" s="799">
        <v>0</v>
      </c>
      <c r="G19" s="799">
        <f t="shared" si="1"/>
        <v>0</v>
      </c>
    </row>
    <row r="20" spans="1:33" s="31" customFormat="1" ht="21.75" customHeight="1">
      <c r="A20" s="47" t="s">
        <v>120</v>
      </c>
      <c r="B20" s="211">
        <v>0</v>
      </c>
      <c r="C20" s="211">
        <f>1022450000+62536364</f>
        <v>1084986364</v>
      </c>
      <c r="D20" s="211">
        <f t="shared" si="0"/>
        <v>1084986364</v>
      </c>
      <c r="E20" s="211">
        <v>0</v>
      </c>
      <c r="F20" s="211">
        <v>1065066937</v>
      </c>
      <c r="G20" s="211">
        <f t="shared" si="1"/>
        <v>1065066937</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row>
    <row r="21" spans="1:33" s="31" customFormat="1">
      <c r="A21" s="240" t="s">
        <v>121</v>
      </c>
      <c r="B21" s="211">
        <f>3441463368+18639+4889155654+77378817+299867416+729749877+174863500+4828602146+35750000+2102015036+115119291+31056821+437600708+23847342</f>
        <v>17186488615</v>
      </c>
      <c r="C21" s="211">
        <f>3487967896+583358405+81870000+127225000+662752518+1319817423+738763334+546975465</f>
        <v>7548730041</v>
      </c>
      <c r="D21" s="211">
        <f>+C21+B21</f>
        <v>24735218656</v>
      </c>
      <c r="E21" s="211">
        <v>15660429171</v>
      </c>
      <c r="F21" s="211">
        <v>7041711858</v>
      </c>
      <c r="G21" s="211">
        <f t="shared" si="1"/>
        <v>22702141029</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row>
    <row r="22" spans="1:33" s="31" customFormat="1">
      <c r="A22" s="240" t="s">
        <v>122</v>
      </c>
      <c r="B22" s="211">
        <f>92285853+100087964+1417657534+49252011+710805617+8920000+150733009+1096420+74919448+223374074+99858929+849640295+91926422+418586470+71045983+76504966+494810096+11897020+240898084+12916695+31323548+83438569+3805012+31466195</f>
        <v>5347250214</v>
      </c>
      <c r="C22" s="211">
        <f>172942872+52977479+722966732+37035714+365024258+15271242+24330000+115888372+56342396+92846510+233089548+111641226+30053333+33000000+132299750+62473610+31333333+95420952+219284+45881292</f>
        <v>2431037903</v>
      </c>
      <c r="D22" s="211">
        <f t="shared" si="0"/>
        <v>7778288117</v>
      </c>
      <c r="E22" s="211">
        <v>5009019913</v>
      </c>
      <c r="F22" s="211">
        <v>4237008446</v>
      </c>
      <c r="G22" s="211">
        <f t="shared" si="1"/>
        <v>9246028359</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row>
    <row r="23" spans="1:33" s="31" customFormat="1">
      <c r="A23" s="240" t="s">
        <v>117</v>
      </c>
      <c r="B23" s="211">
        <f>6497249+266490000+21597716+18401709+48978117+3420202+470909+46995000+6111364+5551311+450000+62853644+17046391+428910000+12060913+63163681+7589393+20671850+18250000+138375940+16997091+7500000+213555000+6321808+16647869+20554545+8017000+46155000+1337270+645455+75700</f>
        <v>1531692127</v>
      </c>
      <c r="C23" s="211">
        <f>2501707521+274662727+6018255+40909131+21251401+1158246+23707912+2574024+29905000+598180+7510963+6589467+9787193+579120875+33375000+204543+10073631+7734922+25000000+31315000+59238865+7778133+6250461+10695000+140601441+7298266+35900000+186368000+15210000+241817+8339687+14546951+2981000</f>
        <v>4108653612</v>
      </c>
      <c r="D23" s="211">
        <f>+C23+B23</f>
        <v>5640345739</v>
      </c>
      <c r="E23" s="211">
        <v>2087668114</v>
      </c>
      <c r="F23" s="211">
        <v>476184939</v>
      </c>
      <c r="G23" s="211">
        <f t="shared" si="1"/>
        <v>2563853053</v>
      </c>
      <c r="H23" s="30"/>
      <c r="I23" s="84"/>
      <c r="J23" s="30"/>
      <c r="K23" s="30"/>
      <c r="L23" s="30"/>
      <c r="M23" s="30"/>
      <c r="N23" s="30"/>
      <c r="O23" s="30"/>
      <c r="P23" s="30"/>
      <c r="Q23" s="30"/>
      <c r="R23" s="30"/>
      <c r="S23" s="30"/>
      <c r="T23" s="30"/>
      <c r="U23" s="30"/>
      <c r="V23" s="30"/>
      <c r="W23" s="30"/>
      <c r="X23" s="30"/>
      <c r="Y23" s="30"/>
      <c r="Z23" s="30"/>
      <c r="AA23" s="30"/>
      <c r="AB23" s="30"/>
      <c r="AC23" s="30"/>
      <c r="AD23" s="30"/>
      <c r="AE23" s="30"/>
      <c r="AF23" s="30"/>
      <c r="AG23" s="30"/>
    </row>
    <row r="24" spans="1:33" s="31" customFormat="1">
      <c r="A24" s="240" t="s">
        <v>551</v>
      </c>
      <c r="B24" s="211">
        <v>2297878260</v>
      </c>
      <c r="C24" s="211">
        <v>0</v>
      </c>
      <c r="D24" s="211">
        <f>+C24+B24</f>
        <v>2297878260</v>
      </c>
      <c r="E24" s="211">
        <v>2181576449</v>
      </c>
      <c r="F24" s="211">
        <v>0</v>
      </c>
      <c r="G24" s="211">
        <f t="shared" si="1"/>
        <v>2181576449</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row>
    <row r="25" spans="1:33" s="31" customFormat="1">
      <c r="A25" s="47" t="s">
        <v>507</v>
      </c>
      <c r="B25" s="211">
        <f>3528177728+6480000</f>
        <v>3534657728</v>
      </c>
      <c r="C25" s="211">
        <v>0</v>
      </c>
      <c r="D25" s="211">
        <f t="shared" ref="D25:D31" si="2">+C25+B25</f>
        <v>3534657728</v>
      </c>
      <c r="E25" s="211">
        <v>307635883</v>
      </c>
      <c r="F25" s="211">
        <v>0</v>
      </c>
      <c r="G25" s="211">
        <f t="shared" si="1"/>
        <v>307635883</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row>
    <row r="26" spans="1:33" s="31" customFormat="1">
      <c r="A26" s="47" t="s">
        <v>123</v>
      </c>
      <c r="B26" s="211">
        <v>26345145409</v>
      </c>
      <c r="C26" s="211">
        <v>0</v>
      </c>
      <c r="D26" s="211">
        <f t="shared" si="2"/>
        <v>26345145409</v>
      </c>
      <c r="E26" s="211">
        <v>18547223305</v>
      </c>
      <c r="F26" s="211">
        <v>0</v>
      </c>
      <c r="G26" s="211">
        <f t="shared" si="1"/>
        <v>18547223305</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row>
    <row r="27" spans="1:33" s="31" customFormat="1" ht="17.25" customHeight="1">
      <c r="A27" s="47" t="s">
        <v>124</v>
      </c>
      <c r="B27" s="211">
        <v>0</v>
      </c>
      <c r="C27" s="211">
        <v>0</v>
      </c>
      <c r="D27" s="211">
        <f>+C27+B27</f>
        <v>0</v>
      </c>
      <c r="E27" s="211">
        <v>0</v>
      </c>
      <c r="F27" s="211">
        <v>444865676</v>
      </c>
      <c r="G27" s="211">
        <f t="shared" si="1"/>
        <v>444865676</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row>
    <row r="28" spans="1:33" s="31" customFormat="1" ht="15.75" hidden="1" customHeight="1">
      <c r="A28" s="47" t="s">
        <v>1062</v>
      </c>
      <c r="B28" s="211">
        <v>0</v>
      </c>
      <c r="C28" s="211"/>
      <c r="D28" s="211">
        <f t="shared" si="2"/>
        <v>0</v>
      </c>
      <c r="E28" s="211">
        <v>0</v>
      </c>
      <c r="F28" s="211">
        <v>0</v>
      </c>
      <c r="G28" s="211">
        <f t="shared" si="1"/>
        <v>0</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row>
    <row r="29" spans="1:33" s="31" customFormat="1">
      <c r="A29" s="47" t="s">
        <v>298</v>
      </c>
      <c r="B29" s="211">
        <v>0</v>
      </c>
      <c r="C29" s="211">
        <f>1806110797+1272478652+540995154+2560108499+612537116+1384891099+69950570+526362903</f>
        <v>8773434790</v>
      </c>
      <c r="D29" s="211">
        <f>+B29+C29</f>
        <v>8773434790</v>
      </c>
      <c r="E29" s="211">
        <v>0</v>
      </c>
      <c r="F29" s="211">
        <v>8919167030</v>
      </c>
      <c r="G29" s="211">
        <f t="shared" si="1"/>
        <v>8919167030</v>
      </c>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row>
    <row r="30" spans="1:33" s="31" customFormat="1">
      <c r="A30" s="47" t="s">
        <v>125</v>
      </c>
      <c r="B30" s="211">
        <v>0</v>
      </c>
      <c r="C30" s="211">
        <f>2630233+22335198+1301052506+564819335+52630763</f>
        <v>1943468035</v>
      </c>
      <c r="D30" s="211">
        <f>+B30+C30</f>
        <v>1943468035</v>
      </c>
      <c r="E30" s="211">
        <v>0</v>
      </c>
      <c r="F30" s="211">
        <v>1416881825</v>
      </c>
      <c r="G30" s="211">
        <f t="shared" si="1"/>
        <v>1416881825</v>
      </c>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row>
    <row r="31" spans="1:33" s="747" customFormat="1" hidden="1">
      <c r="A31" s="240" t="s">
        <v>3</v>
      </c>
      <c r="B31" s="799">
        <v>0</v>
      </c>
      <c r="C31" s="799">
        <v>0</v>
      </c>
      <c r="D31" s="799">
        <f t="shared" si="2"/>
        <v>0</v>
      </c>
      <c r="E31" s="799">
        <v>0</v>
      </c>
      <c r="F31" s="799">
        <v>0</v>
      </c>
      <c r="G31" s="799">
        <f t="shared" si="1"/>
        <v>0</v>
      </c>
    </row>
    <row r="32" spans="1:33" s="31" customFormat="1">
      <c r="A32" s="206" t="s">
        <v>505</v>
      </c>
      <c r="B32" s="212">
        <v>6111257599</v>
      </c>
      <c r="C32" s="212">
        <v>0</v>
      </c>
      <c r="D32" s="211">
        <f>+C32+B32</f>
        <v>6111257599</v>
      </c>
      <c r="E32" s="212">
        <v>6291358624</v>
      </c>
      <c r="F32" s="212">
        <v>0</v>
      </c>
      <c r="G32" s="211">
        <f t="shared" si="1"/>
        <v>6291358624</v>
      </c>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row>
    <row r="33" spans="1:33" s="31" customFormat="1">
      <c r="A33" s="206" t="s">
        <v>277</v>
      </c>
      <c r="B33" s="212">
        <f>574112810121-539680273890+30108724407+18803282058+8335600145-3712472548+4500009565-3406984897-B10-B11-B12-B14-B15-B16-B17-B18-B21-B22-B23-B24-B25-B26-B32</f>
        <v>20586806506</v>
      </c>
      <c r="C33" s="212">
        <f>27877751776+1024935328+4835267833+1543690221+963875705-C10-C11-C12-C13-C14-C15-C16-C17-C18-C19-C20-C21-C22-C23-C24-C25-C26-C27-C28-C29-C30-C31-C32</f>
        <v>4143091108</v>
      </c>
      <c r="D33" s="211">
        <f>+C33+B33</f>
        <v>24729897614</v>
      </c>
      <c r="E33" s="212">
        <f>19696638800-E14</f>
        <v>19374638987</v>
      </c>
      <c r="F33" s="212">
        <f>4420531919-F14</f>
        <v>4188102677</v>
      </c>
      <c r="G33" s="211">
        <f>+F33+E33</f>
        <v>23562741664</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row>
    <row r="34" spans="1:33" s="31" customFormat="1" ht="15.75" thickBot="1">
      <c r="A34" s="48" t="s">
        <v>1</v>
      </c>
      <c r="B34" s="485">
        <f>+SUM($B$10:B33)</f>
        <v>89060694961</v>
      </c>
      <c r="C34" s="485">
        <f>+SUM($C$10:C33)</f>
        <v>36245520863</v>
      </c>
      <c r="D34" s="485">
        <f>+SUM($D$10:D33)</f>
        <v>125306215824</v>
      </c>
      <c r="E34" s="485">
        <f>SUM(E10:E33)</f>
        <v>74230286576</v>
      </c>
      <c r="F34" s="485">
        <f>+SUM($F$10:F33)</f>
        <v>38866900438</v>
      </c>
      <c r="G34" s="485">
        <f>+SUM($G$10:H33)</f>
        <v>113097187014</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row>
    <row r="35" spans="1:33" s="31" customForma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row>
    <row r="36" spans="1:33" s="31" customFormat="1">
      <c r="A36" s="30"/>
      <c r="B36" s="830"/>
      <c r="C36" s="830"/>
      <c r="D36" s="831"/>
      <c r="E36" s="84"/>
      <c r="F36" s="84"/>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row>
    <row r="37" spans="1:33" s="31" customFormat="1">
      <c r="A37" s="84"/>
      <c r="B37" s="830"/>
      <c r="C37" s="830"/>
      <c r="D37" s="831"/>
      <c r="E37" s="84"/>
      <c r="F37" s="84"/>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row>
    <row r="38" spans="1:33" s="31" customFormat="1">
      <c r="A38" s="30"/>
      <c r="B38" s="830"/>
      <c r="C38" s="830"/>
      <c r="D38" s="831"/>
      <c r="E38" s="84"/>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row>
    <row r="39" spans="1:33" s="31" customFormat="1">
      <c r="A39" s="30"/>
      <c r="B39" s="831"/>
      <c r="C39" s="831"/>
      <c r="D39" s="831"/>
      <c r="E39" s="84"/>
      <c r="F39" s="84"/>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row>
    <row r="40" spans="1:33" s="31" customFormat="1">
      <c r="A40" s="30"/>
      <c r="B40" s="830"/>
      <c r="C40" s="832"/>
      <c r="D40" s="831"/>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row>
    <row r="41" spans="1:33" s="31" customFormat="1">
      <c r="A41" s="30"/>
      <c r="B41" s="831"/>
      <c r="C41" s="830"/>
      <c r="D41" s="831"/>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row>
    <row r="42" spans="1:33" s="31" customFormat="1">
      <c r="A42" s="30"/>
      <c r="B42" s="831"/>
      <c r="C42" s="831"/>
      <c r="D42" s="831"/>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row>
    <row r="43" spans="1:33" s="21" customFormat="1">
      <c r="A43" s="13"/>
      <c r="B43" s="833"/>
      <c r="C43" s="832"/>
      <c r="D43" s="83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s="21" customFormat="1">
      <c r="A44" s="13"/>
      <c r="B44" s="833"/>
      <c r="C44" s="833"/>
      <c r="D44" s="83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c r="B45" s="376"/>
      <c r="C45" s="376"/>
      <c r="D45" s="376"/>
    </row>
    <row r="46" spans="1:33">
      <c r="B46" s="376"/>
      <c r="C46" s="376"/>
      <c r="D46" s="376"/>
    </row>
  </sheetData>
  <mergeCells count="2">
    <mergeCell ref="A5:H5"/>
    <mergeCell ref="A8:A9"/>
  </mergeCells>
  <hyperlinks>
    <hyperlink ref="B1" location="ER!A1" display="ER" xr:uid="{50197257-8FBB-4A7F-AB22-E56885013B05}"/>
  </hyperlinks>
  <pageMargins left="0.7" right="0.7" top="0.75" bottom="0.75" header="0.3" footer="0.3"/>
  <pageSetup orientation="portrait" verticalDpi="0" r:id="rId1"/>
  <ignoredErrors>
    <ignoredError sqref="D11"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3"/>
  <dimension ref="A1:X109"/>
  <sheetViews>
    <sheetView showGridLines="0" workbookViewId="0">
      <selection activeCell="B1" sqref="B1"/>
    </sheetView>
  </sheetViews>
  <sheetFormatPr baseColWidth="10" defaultColWidth="11.42578125" defaultRowHeight="12"/>
  <cols>
    <col min="1" max="1" width="40.5703125" style="111" customWidth="1"/>
    <col min="2" max="2" width="15.140625" style="111" customWidth="1"/>
    <col min="3" max="3" width="15" style="111" customWidth="1"/>
    <col min="4" max="4" width="2.42578125" style="111" customWidth="1"/>
    <col min="5" max="5" width="29" style="111" customWidth="1"/>
    <col min="6" max="6" width="16.42578125" style="111" customWidth="1"/>
    <col min="7" max="7" width="14" style="111" customWidth="1"/>
    <col min="8" max="8" width="12.5703125" style="111" bestFit="1" customWidth="1"/>
    <col min="9" max="9" width="13.85546875" style="111" bestFit="1" customWidth="1"/>
    <col min="10" max="20" width="11.42578125" style="111"/>
    <col min="21" max="16384" width="11.42578125" style="208"/>
  </cols>
  <sheetData>
    <row r="1" spans="1:24" ht="17.25" customHeight="1">
      <c r="A1" s="277" t="str">
        <f>Indice!C1</f>
        <v>NICOLAS GONZALEZ ODDONE S.A.E.C.A</v>
      </c>
      <c r="B1" s="920" t="s">
        <v>84</v>
      </c>
      <c r="C1" s="288"/>
      <c r="E1" s="115"/>
    </row>
    <row r="3" spans="1:24" ht="18.75" customHeight="1">
      <c r="A3" s="1269" t="s">
        <v>197</v>
      </c>
      <c r="B3" s="1269"/>
      <c r="C3" s="1269"/>
      <c r="D3" s="1269"/>
      <c r="E3" s="1269"/>
      <c r="F3" s="1269"/>
      <c r="G3" s="1269"/>
      <c r="U3" s="111"/>
      <c r="V3" s="111"/>
      <c r="W3" s="111"/>
      <c r="X3" s="111"/>
    </row>
    <row r="4" spans="1:24">
      <c r="A4" s="68" t="s">
        <v>144</v>
      </c>
      <c r="B4" s="219"/>
      <c r="C4" s="219"/>
      <c r="D4" s="219"/>
      <c r="E4" s="219"/>
      <c r="F4" s="213"/>
      <c r="U4" s="111"/>
      <c r="V4" s="111"/>
      <c r="W4" s="111"/>
      <c r="X4" s="111"/>
    </row>
    <row r="5" spans="1:24">
      <c r="A5" s="68"/>
      <c r="B5" s="219"/>
      <c r="C5" s="219"/>
      <c r="D5" s="219"/>
      <c r="E5" s="219"/>
      <c r="F5" s="213"/>
      <c r="U5" s="111"/>
      <c r="V5" s="111"/>
      <c r="W5" s="111"/>
      <c r="X5" s="111"/>
    </row>
    <row r="6" spans="1:24">
      <c r="A6" s="118" t="s">
        <v>107</v>
      </c>
      <c r="B6" s="214"/>
      <c r="C6" s="215"/>
      <c r="D6" s="215"/>
      <c r="E6" s="215"/>
      <c r="F6" s="213"/>
      <c r="U6" s="111"/>
      <c r="V6" s="111"/>
      <c r="W6" s="111"/>
      <c r="X6" s="111"/>
    </row>
    <row r="7" spans="1:24">
      <c r="A7" s="129"/>
      <c r="B7" s="214"/>
      <c r="C7" s="215"/>
      <c r="D7" s="215"/>
      <c r="E7" s="215"/>
      <c r="F7" s="213"/>
      <c r="U7" s="111"/>
      <c r="V7" s="111"/>
      <c r="W7" s="111"/>
      <c r="X7" s="111"/>
    </row>
    <row r="8" spans="1:24">
      <c r="A8" s="231" t="s">
        <v>541</v>
      </c>
      <c r="B8" s="1268"/>
      <c r="C8" s="1268"/>
      <c r="D8" s="215"/>
      <c r="E8" s="217" t="s">
        <v>146</v>
      </c>
      <c r="F8" s="213"/>
      <c r="U8" s="111"/>
      <c r="V8" s="111"/>
      <c r="W8" s="111"/>
      <c r="X8" s="111"/>
    </row>
    <row r="9" spans="1:24" ht="12.75">
      <c r="A9" s="221" t="s">
        <v>337</v>
      </c>
      <c r="B9" s="813">
        <v>44561</v>
      </c>
      <c r="C9" s="813">
        <v>44196</v>
      </c>
      <c r="D9" s="215"/>
      <c r="E9" s="221" t="s">
        <v>337</v>
      </c>
      <c r="F9" s="813">
        <v>44561</v>
      </c>
      <c r="G9" s="813">
        <v>44196</v>
      </c>
      <c r="U9" s="111"/>
      <c r="V9" s="111"/>
      <c r="W9" s="111"/>
      <c r="X9" s="111"/>
    </row>
    <row r="10" spans="1:24" ht="12.75">
      <c r="A10" s="222" t="s">
        <v>402</v>
      </c>
      <c r="B10" s="204"/>
      <c r="C10" s="204"/>
      <c r="D10" s="215"/>
      <c r="E10" s="222" t="s">
        <v>404</v>
      </c>
      <c r="F10" s="822"/>
      <c r="G10" s="822"/>
      <c r="I10" s="112"/>
      <c r="U10" s="111"/>
      <c r="V10" s="111"/>
      <c r="W10" s="111"/>
      <c r="X10" s="111"/>
    </row>
    <row r="11" spans="1:24">
      <c r="A11" s="216" t="s">
        <v>766</v>
      </c>
      <c r="B11" s="763">
        <v>3331775287</v>
      </c>
      <c r="C11" s="1144">
        <v>12172682917</v>
      </c>
      <c r="D11" s="215"/>
      <c r="E11" s="216" t="s">
        <v>542</v>
      </c>
      <c r="F11" s="228">
        <v>-1112281270</v>
      </c>
      <c r="G11" s="1144">
        <v>-779936011</v>
      </c>
      <c r="I11" s="112"/>
      <c r="U11" s="111"/>
      <c r="V11" s="111"/>
      <c r="W11" s="111"/>
      <c r="X11" s="111"/>
    </row>
    <row r="12" spans="1:24">
      <c r="A12" s="216" t="s">
        <v>508</v>
      </c>
      <c r="B12" s="763">
        <v>498867742</v>
      </c>
      <c r="C12" s="1144">
        <v>193118126</v>
      </c>
      <c r="D12" s="215"/>
      <c r="E12" s="216" t="s">
        <v>543</v>
      </c>
      <c r="F12" s="228">
        <v>-6178271062</v>
      </c>
      <c r="G12" s="1144">
        <v>-5694140955</v>
      </c>
      <c r="U12" s="111"/>
      <c r="V12" s="111"/>
      <c r="W12" s="111"/>
      <c r="X12" s="111"/>
    </row>
    <row r="13" spans="1:24" s="795" customFormat="1">
      <c r="A13" s="216" t="s">
        <v>752</v>
      </c>
      <c r="B13" s="764">
        <v>12657560</v>
      </c>
      <c r="C13" s="229">
        <v>1686572</v>
      </c>
      <c r="D13" s="793"/>
      <c r="E13" s="793" t="s">
        <v>544</v>
      </c>
      <c r="F13" s="849">
        <f>-2102969261-1070002291-361031883</f>
        <v>-3534003435</v>
      </c>
      <c r="G13" s="849">
        <v>-3588742884</v>
      </c>
      <c r="H13" s="794"/>
      <c r="I13" s="794"/>
      <c r="J13" s="794"/>
      <c r="K13" s="794"/>
      <c r="L13" s="794"/>
      <c r="M13" s="794"/>
      <c r="N13" s="794"/>
      <c r="O13" s="794"/>
      <c r="P13" s="794"/>
      <c r="Q13" s="794"/>
      <c r="R13" s="794"/>
      <c r="S13" s="794"/>
      <c r="T13" s="794"/>
      <c r="U13" s="794"/>
      <c r="V13" s="794"/>
      <c r="W13" s="794"/>
      <c r="X13" s="794"/>
    </row>
    <row r="14" spans="1:24">
      <c r="A14" s="216" t="s">
        <v>510</v>
      </c>
      <c r="B14" s="763">
        <v>936100686</v>
      </c>
      <c r="C14" s="1144">
        <v>458525443</v>
      </c>
      <c r="D14" s="215"/>
      <c r="E14" s="216" t="s">
        <v>545</v>
      </c>
      <c r="F14" s="228">
        <v>-414205</v>
      </c>
      <c r="G14" s="1144">
        <v>-552272</v>
      </c>
      <c r="U14" s="111"/>
      <c r="V14" s="111"/>
      <c r="W14" s="111"/>
      <c r="X14" s="111"/>
    </row>
    <row r="15" spans="1:24">
      <c r="A15" s="216" t="s">
        <v>511</v>
      </c>
      <c r="B15" s="763">
        <v>35840536</v>
      </c>
      <c r="C15" s="1144">
        <v>113500653</v>
      </c>
      <c r="D15" s="215"/>
      <c r="E15" s="216" t="s">
        <v>546</v>
      </c>
      <c r="F15" s="228">
        <v>-254127877</v>
      </c>
      <c r="G15" s="1144">
        <v>-48505530</v>
      </c>
      <c r="U15" s="111"/>
      <c r="V15" s="111"/>
      <c r="W15" s="111"/>
      <c r="X15" s="111"/>
    </row>
    <row r="16" spans="1:24" s="1059" customFormat="1">
      <c r="A16" s="216" t="s">
        <v>987</v>
      </c>
      <c r="B16" s="763">
        <v>160014304</v>
      </c>
      <c r="C16" s="763">
        <v>0</v>
      </c>
      <c r="D16" s="215"/>
      <c r="E16" s="216" t="s">
        <v>547</v>
      </c>
      <c r="F16" s="229">
        <v>-1602480794</v>
      </c>
      <c r="G16" s="229">
        <v>-614824451</v>
      </c>
      <c r="H16" s="111"/>
      <c r="I16" s="111"/>
      <c r="J16" s="111"/>
      <c r="K16" s="111"/>
      <c r="L16" s="111"/>
      <c r="M16" s="111"/>
      <c r="N16" s="111"/>
      <c r="O16" s="111"/>
      <c r="P16" s="111"/>
      <c r="Q16" s="111"/>
      <c r="R16" s="111"/>
      <c r="S16" s="111"/>
      <c r="T16" s="111"/>
      <c r="U16" s="111"/>
      <c r="V16" s="111"/>
      <c r="W16" s="111"/>
      <c r="X16" s="111"/>
    </row>
    <row r="17" spans="1:24">
      <c r="A17" s="216" t="s">
        <v>512</v>
      </c>
      <c r="B17" s="764">
        <v>24696408</v>
      </c>
      <c r="C17" s="229">
        <v>324585090</v>
      </c>
      <c r="D17" s="215"/>
      <c r="E17" s="216" t="s">
        <v>998</v>
      </c>
      <c r="F17" s="229">
        <v>-1886512</v>
      </c>
      <c r="G17" s="229">
        <v>-29668381</v>
      </c>
      <c r="I17" s="112"/>
      <c r="U17" s="111"/>
      <c r="V17" s="111"/>
      <c r="W17" s="111"/>
      <c r="X17" s="111"/>
    </row>
    <row r="18" spans="1:24">
      <c r="A18" s="216" t="s">
        <v>513</v>
      </c>
      <c r="B18" s="764">
        <v>2343564999</v>
      </c>
      <c r="C18" s="229">
        <v>1758028040</v>
      </c>
      <c r="D18" s="215"/>
      <c r="E18" s="216" t="s">
        <v>999</v>
      </c>
      <c r="F18" s="229">
        <v>-1447536919</v>
      </c>
      <c r="G18" s="229">
        <v>-1944259440</v>
      </c>
      <c r="U18" s="111"/>
      <c r="V18" s="111"/>
      <c r="W18" s="111"/>
      <c r="X18" s="111"/>
    </row>
    <row r="19" spans="1:24" ht="12.75" customHeight="1" thickBot="1">
      <c r="A19" s="216" t="s">
        <v>514</v>
      </c>
      <c r="B19" s="764">
        <v>49686121</v>
      </c>
      <c r="C19" s="229">
        <v>34928220</v>
      </c>
      <c r="D19" s="215"/>
      <c r="E19" s="217" t="s">
        <v>1</v>
      </c>
      <c r="F19" s="1064">
        <f>SUM(F11:F18)</f>
        <v>-14131002074</v>
      </c>
      <c r="G19" s="1065">
        <f>SUM(G11:G18)</f>
        <v>-12700629924</v>
      </c>
      <c r="U19" s="111"/>
      <c r="V19" s="111"/>
      <c r="W19" s="111"/>
      <c r="X19" s="111"/>
    </row>
    <row r="20" spans="1:24" s="903" customFormat="1" ht="12.75" thickTop="1">
      <c r="A20" s="216" t="s">
        <v>515</v>
      </c>
      <c r="B20" s="764">
        <v>24558649</v>
      </c>
      <c r="C20" s="229">
        <v>18181050</v>
      </c>
      <c r="D20" s="215"/>
      <c r="E20" s="217"/>
      <c r="F20" s="1130"/>
      <c r="G20" s="1131"/>
      <c r="H20" s="111"/>
      <c r="I20" s="112"/>
      <c r="J20" s="111"/>
      <c r="K20" s="111"/>
      <c r="L20" s="111"/>
      <c r="M20" s="111"/>
      <c r="N20" s="111"/>
      <c r="O20" s="111"/>
      <c r="P20" s="111"/>
      <c r="Q20" s="111"/>
      <c r="R20" s="111"/>
      <c r="S20" s="111"/>
      <c r="T20" s="111"/>
      <c r="U20" s="111"/>
      <c r="V20" s="111"/>
      <c r="W20" s="111"/>
      <c r="X20" s="111"/>
    </row>
    <row r="21" spans="1:24">
      <c r="A21" s="216" t="s">
        <v>970</v>
      </c>
      <c r="B21" s="764">
        <v>49199599</v>
      </c>
      <c r="C21" s="229">
        <v>24403360</v>
      </c>
      <c r="D21" s="215"/>
      <c r="E21" s="217"/>
      <c r="F21" s="232"/>
      <c r="G21" s="233"/>
      <c r="H21" s="336"/>
      <c r="I21" s="112"/>
      <c r="U21" s="111"/>
      <c r="V21" s="111"/>
      <c r="W21" s="111"/>
      <c r="X21" s="111"/>
    </row>
    <row r="22" spans="1:24">
      <c r="A22" s="216" t="s">
        <v>540</v>
      </c>
      <c r="B22" s="229">
        <f>1750099217+325238055+250916750+32984565</f>
        <v>2359238587</v>
      </c>
      <c r="C22" s="229">
        <v>9518632439</v>
      </c>
      <c r="D22" s="215"/>
      <c r="E22" s="216"/>
      <c r="F22" s="220"/>
      <c r="G22" s="216"/>
      <c r="I22" s="112"/>
      <c r="U22" s="111"/>
      <c r="V22" s="111"/>
      <c r="W22" s="111"/>
      <c r="X22" s="111"/>
    </row>
    <row r="23" spans="1:24">
      <c r="A23" s="216" t="s">
        <v>516</v>
      </c>
      <c r="B23" s="229">
        <v>929064288</v>
      </c>
      <c r="C23" s="229">
        <v>195108977</v>
      </c>
      <c r="D23" s="215"/>
      <c r="E23" s="216"/>
      <c r="F23" s="220"/>
      <c r="G23" s="216"/>
      <c r="H23" s="112"/>
      <c r="U23" s="111"/>
      <c r="V23" s="111"/>
      <c r="W23" s="111"/>
      <c r="X23" s="111"/>
    </row>
    <row r="24" spans="1:24">
      <c r="A24" s="216" t="s">
        <v>517</v>
      </c>
      <c r="B24" s="229">
        <v>1156319725</v>
      </c>
      <c r="C24" s="229">
        <v>950856803</v>
      </c>
      <c r="D24" s="215"/>
      <c r="E24" s="213"/>
      <c r="F24" s="1081"/>
      <c r="G24" s="216"/>
      <c r="U24" s="111"/>
      <c r="V24" s="111"/>
      <c r="W24" s="111"/>
      <c r="X24" s="111"/>
    </row>
    <row r="25" spans="1:24">
      <c r="A25" s="216" t="s">
        <v>971</v>
      </c>
      <c r="B25" s="229">
        <v>137409936</v>
      </c>
      <c r="C25" s="229">
        <v>492335306</v>
      </c>
      <c r="D25" s="215"/>
      <c r="E25" s="216"/>
      <c r="F25" s="214"/>
      <c r="G25" s="216"/>
      <c r="U25" s="111"/>
      <c r="V25" s="111"/>
      <c r="W25" s="111"/>
      <c r="X25" s="111"/>
    </row>
    <row r="26" spans="1:24" s="209" customFormat="1">
      <c r="A26" s="216" t="s">
        <v>518</v>
      </c>
      <c r="B26" s="229">
        <v>0</v>
      </c>
      <c r="C26" s="229">
        <v>829450716</v>
      </c>
      <c r="D26" s="215"/>
      <c r="E26" s="216"/>
      <c r="F26" s="214"/>
      <c r="G26" s="216"/>
      <c r="H26" s="111"/>
      <c r="I26" s="111"/>
      <c r="J26" s="111"/>
      <c r="K26" s="111"/>
      <c r="L26" s="111"/>
      <c r="M26" s="111"/>
      <c r="N26" s="111"/>
      <c r="O26" s="111"/>
      <c r="P26" s="111"/>
      <c r="Q26" s="111"/>
      <c r="R26" s="111"/>
      <c r="S26" s="111"/>
      <c r="T26" s="111"/>
      <c r="U26" s="111"/>
      <c r="V26" s="111"/>
      <c r="W26" s="111"/>
      <c r="X26" s="111"/>
    </row>
    <row r="27" spans="1:24">
      <c r="A27" s="216" t="s">
        <v>972</v>
      </c>
      <c r="B27" s="229">
        <v>361201567</v>
      </c>
      <c r="C27" s="763">
        <v>986102920</v>
      </c>
      <c r="D27" s="215"/>
      <c r="E27" s="216"/>
      <c r="F27" s="214"/>
      <c r="G27" s="216"/>
      <c r="U27" s="111"/>
      <c r="V27" s="111"/>
      <c r="W27" s="111"/>
      <c r="X27" s="111"/>
    </row>
    <row r="28" spans="1:24">
      <c r="A28" s="216" t="s">
        <v>519</v>
      </c>
      <c r="B28" s="229">
        <v>26552626</v>
      </c>
      <c r="C28" s="229">
        <v>152845622</v>
      </c>
      <c r="D28" s="215"/>
      <c r="E28" s="216"/>
      <c r="F28" s="220"/>
      <c r="G28" s="213"/>
      <c r="U28" s="111"/>
      <c r="V28" s="111"/>
      <c r="W28" s="111"/>
      <c r="X28" s="111"/>
    </row>
    <row r="29" spans="1:24">
      <c r="A29" s="216" t="s">
        <v>520</v>
      </c>
      <c r="B29" s="229">
        <v>400000</v>
      </c>
      <c r="C29" s="229">
        <v>24337514</v>
      </c>
      <c r="D29" s="215"/>
      <c r="E29" s="213"/>
      <c r="F29" s="214"/>
      <c r="G29" s="216"/>
      <c r="U29" s="111"/>
      <c r="V29" s="111"/>
      <c r="W29" s="111"/>
      <c r="X29" s="111"/>
    </row>
    <row r="30" spans="1:24">
      <c r="A30" s="216" t="s">
        <v>521</v>
      </c>
      <c r="B30" s="229">
        <v>7692019</v>
      </c>
      <c r="C30" s="229">
        <v>3480533</v>
      </c>
      <c r="D30" s="215"/>
      <c r="E30" s="213"/>
      <c r="F30" s="214"/>
      <c r="G30" s="216"/>
      <c r="U30" s="111"/>
      <c r="V30" s="111"/>
      <c r="W30" s="111"/>
      <c r="X30" s="111"/>
    </row>
    <row r="31" spans="1:24">
      <c r="A31" s="216" t="s">
        <v>522</v>
      </c>
      <c r="B31" s="229">
        <v>222452257</v>
      </c>
      <c r="C31" s="229">
        <v>194231508</v>
      </c>
      <c r="D31" s="215"/>
      <c r="E31" s="213"/>
      <c r="F31" s="214"/>
      <c r="G31" s="216"/>
      <c r="U31" s="111"/>
      <c r="V31" s="111"/>
      <c r="W31" s="111"/>
      <c r="X31" s="111"/>
    </row>
    <row r="32" spans="1:24">
      <c r="A32" s="216" t="s">
        <v>523</v>
      </c>
      <c r="B32" s="229">
        <v>157715247</v>
      </c>
      <c r="C32" s="229">
        <v>128053054</v>
      </c>
      <c r="D32" s="215"/>
      <c r="E32" s="213"/>
      <c r="F32" s="214"/>
      <c r="G32" s="216"/>
      <c r="U32" s="111"/>
      <c r="V32" s="111"/>
      <c r="W32" s="111"/>
      <c r="X32" s="111"/>
    </row>
    <row r="33" spans="1:24" s="903" customFormat="1">
      <c r="A33" s="216" t="s">
        <v>524</v>
      </c>
      <c r="B33" s="229">
        <v>68421917</v>
      </c>
      <c r="C33" s="229">
        <v>17668193</v>
      </c>
      <c r="D33" s="215"/>
      <c r="E33" s="213"/>
      <c r="F33" s="214"/>
      <c r="G33" s="216"/>
      <c r="H33" s="111"/>
      <c r="I33" s="111"/>
      <c r="J33" s="111"/>
      <c r="K33" s="111"/>
      <c r="L33" s="111"/>
      <c r="M33" s="111"/>
      <c r="N33" s="111"/>
      <c r="O33" s="111"/>
      <c r="P33" s="111"/>
      <c r="Q33" s="111"/>
      <c r="R33" s="111"/>
      <c r="S33" s="111"/>
      <c r="T33" s="111"/>
      <c r="U33" s="111"/>
      <c r="V33" s="111"/>
      <c r="W33" s="111"/>
      <c r="X33" s="111"/>
    </row>
    <row r="34" spans="1:24" s="1079" customFormat="1">
      <c r="A34" s="216" t="s">
        <v>1008</v>
      </c>
      <c r="B34" s="229">
        <v>7891056</v>
      </c>
      <c r="C34" s="229">
        <v>2690000</v>
      </c>
      <c r="D34" s="215"/>
      <c r="E34" s="213"/>
      <c r="F34" s="214"/>
      <c r="G34" s="216"/>
      <c r="H34" s="111"/>
      <c r="I34" s="111"/>
      <c r="J34" s="111"/>
      <c r="K34" s="111"/>
      <c r="L34" s="111"/>
      <c r="M34" s="111"/>
      <c r="N34" s="111"/>
      <c r="O34" s="111"/>
      <c r="P34" s="111"/>
      <c r="Q34" s="111"/>
      <c r="R34" s="111"/>
      <c r="S34" s="111"/>
      <c r="T34" s="111"/>
      <c r="U34" s="111"/>
      <c r="V34" s="111"/>
      <c r="W34" s="111"/>
      <c r="X34" s="111"/>
    </row>
    <row r="35" spans="1:24">
      <c r="A35" s="216" t="s">
        <v>753</v>
      </c>
      <c r="B35" s="764">
        <v>25355802</v>
      </c>
      <c r="C35" s="229">
        <v>251769253</v>
      </c>
      <c r="D35" s="215"/>
      <c r="E35" s="213"/>
      <c r="F35" s="214"/>
      <c r="G35" s="216"/>
      <c r="U35" s="111"/>
      <c r="V35" s="111"/>
      <c r="W35" s="111"/>
      <c r="X35" s="111"/>
    </row>
    <row r="36" spans="1:24" s="1082" customFormat="1">
      <c r="A36" s="216" t="s">
        <v>754</v>
      </c>
      <c r="B36" s="229">
        <v>0</v>
      </c>
      <c r="C36" s="229">
        <v>32734372</v>
      </c>
      <c r="D36" s="215"/>
      <c r="E36" s="213"/>
      <c r="F36" s="214"/>
      <c r="G36" s="216"/>
      <c r="H36" s="111"/>
      <c r="I36" s="111"/>
      <c r="J36" s="111"/>
      <c r="K36" s="111"/>
      <c r="L36" s="111"/>
      <c r="M36" s="111"/>
      <c r="N36" s="111"/>
      <c r="O36" s="111"/>
      <c r="P36" s="111"/>
      <c r="Q36" s="111"/>
      <c r="R36" s="111"/>
      <c r="S36" s="111"/>
      <c r="T36" s="111"/>
      <c r="U36" s="111"/>
      <c r="V36" s="111"/>
      <c r="W36" s="111"/>
      <c r="X36" s="111"/>
    </row>
    <row r="37" spans="1:24" s="1136" customFormat="1">
      <c r="A37" s="216" t="s">
        <v>509</v>
      </c>
      <c r="B37" s="229">
        <v>704993</v>
      </c>
      <c r="C37" s="229">
        <v>0</v>
      </c>
      <c r="D37" s="215"/>
      <c r="E37" s="213"/>
      <c r="F37" s="214"/>
      <c r="G37" s="216"/>
      <c r="H37" s="111"/>
      <c r="I37" s="111"/>
      <c r="J37" s="111"/>
      <c r="K37" s="111"/>
      <c r="L37" s="111"/>
      <c r="M37" s="111"/>
      <c r="N37" s="111"/>
      <c r="O37" s="111"/>
      <c r="P37" s="111"/>
      <c r="Q37" s="111"/>
      <c r="R37" s="111"/>
      <c r="S37" s="111"/>
      <c r="T37" s="111"/>
      <c r="U37" s="111"/>
      <c r="V37" s="111"/>
      <c r="W37" s="111"/>
      <c r="X37" s="111"/>
    </row>
    <row r="38" spans="1:24" s="787" customFormat="1">
      <c r="A38" s="216" t="s">
        <v>1010</v>
      </c>
      <c r="B38" s="674">
        <v>6858255</v>
      </c>
      <c r="C38" s="675">
        <v>0</v>
      </c>
      <c r="D38" s="215"/>
      <c r="E38" s="213"/>
      <c r="F38" s="214"/>
      <c r="G38" s="216"/>
      <c r="H38" s="111"/>
      <c r="I38" s="111"/>
      <c r="J38" s="111"/>
      <c r="K38" s="111"/>
      <c r="L38" s="111"/>
      <c r="M38" s="111"/>
      <c r="N38" s="111"/>
      <c r="O38" s="111"/>
      <c r="P38" s="111"/>
      <c r="Q38" s="111"/>
      <c r="R38" s="111"/>
      <c r="S38" s="111"/>
      <c r="T38" s="111"/>
      <c r="U38" s="111"/>
      <c r="V38" s="111"/>
      <c r="W38" s="111"/>
      <c r="X38" s="111"/>
    </row>
    <row r="39" spans="1:24">
      <c r="A39" s="217" t="s">
        <v>549</v>
      </c>
      <c r="B39" s="232">
        <f>SUM(B11:B38)</f>
        <v>12934240166</v>
      </c>
      <c r="C39" s="233">
        <f>SUM(C11:C38)</f>
        <v>28879936681</v>
      </c>
      <c r="D39" s="215"/>
      <c r="E39" s="213"/>
      <c r="F39" s="214"/>
      <c r="G39" s="216"/>
      <c r="U39" s="111"/>
      <c r="V39" s="111"/>
      <c r="W39" s="111"/>
      <c r="X39" s="111"/>
    </row>
    <row r="40" spans="1:24">
      <c r="A40" s="216"/>
      <c r="B40" s="229"/>
      <c r="C40" s="228"/>
      <c r="D40" s="215"/>
      <c r="E40" s="213"/>
      <c r="F40" s="214"/>
      <c r="G40" s="216"/>
      <c r="U40" s="111"/>
      <c r="V40" s="111"/>
      <c r="W40" s="111"/>
      <c r="X40" s="111"/>
    </row>
    <row r="41" spans="1:24">
      <c r="A41" s="222" t="s">
        <v>404</v>
      </c>
      <c r="B41" s="229"/>
      <c r="C41" s="228"/>
      <c r="D41" s="215"/>
      <c r="E41" s="216"/>
      <c r="F41" s="229"/>
      <c r="G41" s="228"/>
      <c r="U41" s="111"/>
      <c r="V41" s="111"/>
      <c r="W41" s="111"/>
      <c r="X41" s="111"/>
    </row>
    <row r="42" spans="1:24" s="771" customFormat="1">
      <c r="A42" s="216" t="s">
        <v>996</v>
      </c>
      <c r="B42" s="229">
        <v>634749</v>
      </c>
      <c r="C42" s="229">
        <v>2521881</v>
      </c>
      <c r="D42" s="215"/>
      <c r="E42" s="216"/>
      <c r="F42" s="229"/>
      <c r="G42" s="228"/>
      <c r="H42" s="111"/>
      <c r="I42" s="111"/>
      <c r="J42" s="111"/>
      <c r="K42" s="111"/>
      <c r="L42" s="111"/>
      <c r="M42" s="111"/>
      <c r="N42" s="111"/>
      <c r="O42" s="111"/>
      <c r="P42" s="111"/>
      <c r="Q42" s="111"/>
      <c r="R42" s="111"/>
      <c r="S42" s="111"/>
      <c r="T42" s="111"/>
      <c r="U42" s="111"/>
      <c r="V42" s="111"/>
      <c r="W42" s="111"/>
      <c r="X42" s="111"/>
    </row>
    <row r="43" spans="1:24">
      <c r="A43" s="216" t="s">
        <v>669</v>
      </c>
      <c r="B43" s="229">
        <v>47887634</v>
      </c>
      <c r="C43" s="229">
        <v>15181489</v>
      </c>
      <c r="D43" s="215"/>
      <c r="E43" s="216"/>
      <c r="F43" s="229"/>
      <c r="G43" s="228"/>
      <c r="U43" s="111"/>
      <c r="V43" s="111"/>
      <c r="W43" s="111"/>
      <c r="X43" s="111"/>
    </row>
    <row r="44" spans="1:24">
      <c r="A44" s="216" t="s">
        <v>997</v>
      </c>
      <c r="B44" s="229">
        <v>14123431</v>
      </c>
      <c r="C44" s="228">
        <v>0</v>
      </c>
      <c r="D44" s="215"/>
      <c r="E44" s="216"/>
      <c r="F44" s="229"/>
      <c r="G44" s="228"/>
      <c r="U44" s="111"/>
      <c r="V44" s="111"/>
      <c r="W44" s="111"/>
      <c r="X44" s="111"/>
    </row>
    <row r="45" spans="1:24">
      <c r="A45" s="216" t="s">
        <v>525</v>
      </c>
      <c r="B45" s="229">
        <v>22943962347</v>
      </c>
      <c r="C45" s="229">
        <v>8398647812</v>
      </c>
      <c r="D45" s="215"/>
      <c r="E45" s="213"/>
      <c r="F45" s="214"/>
      <c r="G45" s="216"/>
      <c r="U45" s="111"/>
      <c r="V45" s="111"/>
      <c r="W45" s="111"/>
      <c r="X45" s="111"/>
    </row>
    <row r="46" spans="1:24">
      <c r="A46" s="217" t="s">
        <v>548</v>
      </c>
      <c r="B46" s="1056">
        <f>SUM($B$42:B45)</f>
        <v>23006608161</v>
      </c>
      <c r="C46" s="1056">
        <f>SUM($C$42:C45)</f>
        <v>8416351182</v>
      </c>
      <c r="D46" s="218"/>
      <c r="E46" s="796"/>
      <c r="F46" s="246"/>
      <c r="G46" s="246"/>
      <c r="U46" s="111"/>
      <c r="V46" s="111"/>
      <c r="W46" s="111"/>
      <c r="X46" s="111"/>
    </row>
    <row r="47" spans="1:24" ht="15.75" customHeight="1" thickBot="1">
      <c r="A47" s="129" t="s">
        <v>550</v>
      </c>
      <c r="B47" s="457">
        <f>+B39+B46</f>
        <v>35940848327</v>
      </c>
      <c r="C47" s="457">
        <f>C39+C46</f>
        <v>37296287863</v>
      </c>
      <c r="D47" s="215"/>
      <c r="E47" s="215"/>
      <c r="F47" s="213"/>
      <c r="U47" s="111"/>
      <c r="V47" s="111"/>
      <c r="W47" s="111"/>
      <c r="X47" s="111"/>
    </row>
    <row r="48" spans="1:24" ht="14.25" thickTop="1">
      <c r="A48" s="208"/>
      <c r="B48" s="208"/>
      <c r="C48" s="208"/>
      <c r="D48" s="215"/>
      <c r="E48" s="215"/>
      <c r="F48" s="458"/>
      <c r="U48" s="111"/>
      <c r="V48" s="111"/>
      <c r="W48" s="111"/>
      <c r="X48" s="111"/>
    </row>
    <row r="49" spans="1:24" ht="13.5">
      <c r="A49" s="208"/>
      <c r="B49" s="208"/>
      <c r="C49" s="208"/>
      <c r="D49" s="215"/>
      <c r="E49" s="215"/>
      <c r="F49" s="458"/>
      <c r="U49" s="111"/>
      <c r="V49" s="111"/>
      <c r="W49" s="111"/>
      <c r="X49" s="111"/>
    </row>
    <row r="50" spans="1:24" ht="18.75" customHeight="1">
      <c r="A50" s="1270" t="s">
        <v>700</v>
      </c>
      <c r="B50" s="1270"/>
      <c r="C50" s="1270"/>
      <c r="D50" s="215"/>
      <c r="E50" s="215"/>
      <c r="F50" s="458"/>
      <c r="U50" s="111"/>
      <c r="V50" s="111"/>
      <c r="W50" s="111"/>
      <c r="X50" s="111"/>
    </row>
    <row r="51" spans="1:24">
      <c r="A51" s="208"/>
      <c r="B51" s="208"/>
      <c r="C51" s="288" t="s">
        <v>84</v>
      </c>
      <c r="D51" s="215"/>
      <c r="E51" s="215"/>
      <c r="F51" s="213"/>
      <c r="U51" s="111"/>
      <c r="V51" s="111"/>
      <c r="W51" s="111"/>
      <c r="X51" s="111"/>
    </row>
    <row r="52" spans="1:24">
      <c r="A52" s="118" t="s">
        <v>107</v>
      </c>
      <c r="C52" s="307"/>
      <c r="E52" s="215"/>
      <c r="F52" s="213"/>
      <c r="U52" s="111"/>
      <c r="V52" s="111"/>
      <c r="W52" s="111"/>
      <c r="X52" s="111"/>
    </row>
    <row r="53" spans="1:24">
      <c r="A53" s="216"/>
      <c r="D53" s="215"/>
      <c r="E53" s="215"/>
      <c r="F53" s="213"/>
      <c r="U53" s="111"/>
      <c r="V53" s="111"/>
      <c r="W53" s="111"/>
      <c r="X53" s="111"/>
    </row>
    <row r="54" spans="1:24" ht="12.75">
      <c r="A54" s="221" t="s">
        <v>337</v>
      </c>
      <c r="B54" s="813">
        <v>44561</v>
      </c>
      <c r="C54" s="813">
        <v>44196</v>
      </c>
      <c r="D54" s="215"/>
      <c r="E54" s="215"/>
      <c r="F54" s="213"/>
      <c r="U54" s="111"/>
      <c r="V54" s="111"/>
      <c r="W54" s="111"/>
      <c r="X54" s="111"/>
    </row>
    <row r="55" spans="1:24">
      <c r="A55" s="216" t="s">
        <v>532</v>
      </c>
      <c r="B55" s="228">
        <v>1891286166</v>
      </c>
      <c r="C55" s="1144">
        <v>1683376533</v>
      </c>
      <c r="D55" s="215"/>
      <c r="E55" s="215"/>
    </row>
    <row r="56" spans="1:24" s="823" customFormat="1">
      <c r="A56" s="216" t="s">
        <v>767</v>
      </c>
      <c r="B56" s="228">
        <v>1203199289</v>
      </c>
      <c r="C56" s="1144">
        <v>1247864543</v>
      </c>
      <c r="D56" s="215"/>
      <c r="E56" s="215"/>
      <c r="F56" s="111"/>
      <c r="G56" s="111"/>
      <c r="H56" s="111"/>
      <c r="I56" s="111"/>
      <c r="J56" s="111"/>
      <c r="K56" s="111"/>
      <c r="L56" s="111"/>
      <c r="M56" s="111"/>
      <c r="N56" s="111"/>
      <c r="O56" s="111"/>
      <c r="P56" s="111"/>
      <c r="Q56" s="111"/>
      <c r="R56" s="111"/>
      <c r="S56" s="111"/>
      <c r="T56" s="111"/>
    </row>
    <row r="57" spans="1:24">
      <c r="A57" s="216" t="s">
        <v>533</v>
      </c>
      <c r="B57" s="228">
        <v>62813456</v>
      </c>
      <c r="C57" s="1144">
        <v>72685640</v>
      </c>
      <c r="D57" s="215"/>
      <c r="E57" s="215"/>
    </row>
    <row r="58" spans="1:24">
      <c r="A58" s="216" t="s">
        <v>534</v>
      </c>
      <c r="B58" s="228">
        <v>-106824998</v>
      </c>
      <c r="C58" s="1144">
        <v>-95921036</v>
      </c>
      <c r="D58" s="215"/>
      <c r="E58" s="215"/>
    </row>
    <row r="59" spans="1:24">
      <c r="A59" s="216" t="s">
        <v>535</v>
      </c>
      <c r="B59" s="228">
        <v>0</v>
      </c>
      <c r="C59" s="1144">
        <v>-7320056</v>
      </c>
      <c r="D59" s="215"/>
      <c r="E59" s="215"/>
    </row>
    <row r="60" spans="1:24">
      <c r="A60" s="216" t="s">
        <v>536</v>
      </c>
      <c r="B60" s="228">
        <v>-110212498</v>
      </c>
      <c r="C60" s="1144">
        <v>-151104689</v>
      </c>
      <c r="D60" s="215"/>
      <c r="E60" s="215"/>
    </row>
    <row r="61" spans="1:24">
      <c r="A61" s="216" t="s">
        <v>537</v>
      </c>
      <c r="B61" s="229">
        <v>0</v>
      </c>
      <c r="C61" s="228">
        <v>-7670500</v>
      </c>
      <c r="D61" s="215"/>
      <c r="E61" s="215"/>
    </row>
    <row r="62" spans="1:24" s="1059" customFormat="1">
      <c r="A62" s="216" t="s">
        <v>886</v>
      </c>
      <c r="B62" s="229">
        <v>-40683000</v>
      </c>
      <c r="C62" s="228">
        <v>0</v>
      </c>
      <c r="D62" s="215"/>
      <c r="E62" s="215"/>
      <c r="F62" s="111"/>
      <c r="G62" s="111"/>
      <c r="H62" s="111"/>
      <c r="I62" s="111"/>
      <c r="J62" s="111"/>
      <c r="K62" s="111"/>
      <c r="L62" s="111"/>
      <c r="M62" s="111"/>
      <c r="N62" s="111"/>
      <c r="O62" s="111"/>
      <c r="P62" s="111"/>
      <c r="Q62" s="111"/>
      <c r="R62" s="111"/>
      <c r="S62" s="111"/>
      <c r="T62" s="111"/>
    </row>
    <row r="63" spans="1:24">
      <c r="A63" s="216" t="s">
        <v>1083</v>
      </c>
      <c r="B63" s="229">
        <v>0</v>
      </c>
      <c r="C63" s="229">
        <v>-3004545</v>
      </c>
      <c r="D63" s="215"/>
      <c r="E63" s="215"/>
      <c r="F63" s="112"/>
    </row>
    <row r="64" spans="1:24" s="531" customFormat="1">
      <c r="A64" s="216" t="s">
        <v>729</v>
      </c>
      <c r="B64" s="229">
        <v>-25252408</v>
      </c>
      <c r="C64" s="228">
        <v>0</v>
      </c>
      <c r="D64" s="215"/>
      <c r="E64" s="215"/>
      <c r="F64" s="112"/>
      <c r="G64" s="111"/>
      <c r="H64" s="111"/>
      <c r="I64" s="111"/>
      <c r="J64" s="111"/>
      <c r="K64" s="111"/>
      <c r="L64" s="111"/>
      <c r="M64" s="111"/>
      <c r="N64" s="111"/>
      <c r="O64" s="111"/>
      <c r="P64" s="111"/>
      <c r="Q64" s="111"/>
      <c r="R64" s="111"/>
      <c r="S64" s="111"/>
      <c r="T64" s="111"/>
    </row>
    <row r="65" spans="1:20">
      <c r="A65" s="216" t="s">
        <v>538</v>
      </c>
      <c r="B65" s="229">
        <v>-10027308</v>
      </c>
      <c r="C65" s="229">
        <v>-6559649</v>
      </c>
      <c r="D65" s="215"/>
      <c r="E65" s="215"/>
      <c r="F65" s="112"/>
    </row>
    <row r="66" spans="1:20">
      <c r="A66" s="216" t="s">
        <v>539</v>
      </c>
      <c r="B66" s="229">
        <v>-440756176</v>
      </c>
      <c r="C66" s="229">
        <v>-309280844</v>
      </c>
      <c r="D66" s="215"/>
      <c r="E66" s="1080"/>
    </row>
    <row r="67" spans="1:20">
      <c r="A67" s="216" t="s">
        <v>1053</v>
      </c>
      <c r="B67" s="229">
        <v>-46851630</v>
      </c>
      <c r="C67" s="229">
        <v>-22807206</v>
      </c>
      <c r="D67" s="215"/>
      <c r="E67" s="1080"/>
    </row>
    <row r="68" spans="1:20" s="1059" customFormat="1">
      <c r="A68" s="216" t="s">
        <v>767</v>
      </c>
      <c r="B68" s="229">
        <v>0</v>
      </c>
      <c r="C68" s="228">
        <v>0</v>
      </c>
      <c r="D68" s="215"/>
      <c r="E68" s="1080"/>
      <c r="F68" s="111"/>
      <c r="G68" s="111"/>
      <c r="H68" s="111"/>
      <c r="I68" s="111"/>
      <c r="J68" s="111"/>
      <c r="K68" s="111"/>
      <c r="L68" s="111"/>
      <c r="M68" s="111"/>
      <c r="N68" s="111"/>
      <c r="O68" s="111"/>
      <c r="P68" s="111"/>
      <c r="Q68" s="111"/>
      <c r="R68" s="111"/>
      <c r="S68" s="111"/>
      <c r="T68" s="111"/>
    </row>
    <row r="69" spans="1:20">
      <c r="A69" s="216" t="s">
        <v>1063</v>
      </c>
      <c r="B69" s="229">
        <v>-281282681</v>
      </c>
      <c r="C69" s="229">
        <v>-203590902</v>
      </c>
      <c r="D69" s="215"/>
      <c r="E69" s="1080"/>
    </row>
    <row r="70" spans="1:20">
      <c r="A70" s="216" t="s">
        <v>1064</v>
      </c>
      <c r="B70" s="229">
        <v>-297550909</v>
      </c>
      <c r="C70" s="228">
        <v>0</v>
      </c>
      <c r="D70" s="215"/>
      <c r="E70" s="215"/>
    </row>
    <row r="71" spans="1:20" s="531" customFormat="1" hidden="1">
      <c r="A71" s="216" t="s">
        <v>730</v>
      </c>
      <c r="B71" s="229">
        <v>0</v>
      </c>
      <c r="C71" s="228">
        <v>0</v>
      </c>
      <c r="D71" s="215"/>
      <c r="E71" s="215"/>
      <c r="F71" s="111"/>
      <c r="G71" s="111"/>
      <c r="H71" s="111"/>
      <c r="I71" s="111"/>
      <c r="J71" s="111"/>
      <c r="K71" s="111"/>
      <c r="L71" s="111"/>
      <c r="M71" s="111"/>
      <c r="N71" s="111"/>
      <c r="O71" s="111"/>
      <c r="P71" s="111"/>
      <c r="Q71" s="111"/>
      <c r="R71" s="111"/>
      <c r="S71" s="111"/>
      <c r="T71" s="111"/>
    </row>
    <row r="72" spans="1:20" s="771" customFormat="1" hidden="1">
      <c r="A72" s="216" t="s">
        <v>743</v>
      </c>
      <c r="B72" s="229">
        <v>0</v>
      </c>
      <c r="C72" s="228">
        <v>0</v>
      </c>
      <c r="D72" s="215"/>
      <c r="E72" s="215"/>
      <c r="F72" s="111"/>
      <c r="G72" s="111"/>
      <c r="H72" s="111"/>
      <c r="I72" s="111"/>
      <c r="J72" s="111"/>
      <c r="K72" s="111"/>
      <c r="L72" s="111"/>
      <c r="M72" s="111"/>
      <c r="N72" s="111"/>
      <c r="O72" s="111"/>
      <c r="P72" s="111"/>
      <c r="Q72" s="111"/>
      <c r="R72" s="111"/>
      <c r="S72" s="111"/>
      <c r="T72" s="111"/>
    </row>
    <row r="73" spans="1:20">
      <c r="A73" s="217" t="s">
        <v>1</v>
      </c>
      <c r="B73" s="230">
        <f>SUM($B$55:B72)</f>
        <v>1797857303</v>
      </c>
      <c r="C73" s="230">
        <f>SUM($C$55:C72)</f>
        <v>2196667289</v>
      </c>
      <c r="D73" s="215"/>
      <c r="E73" s="215"/>
    </row>
    <row r="74" spans="1:20">
      <c r="A74" s="216"/>
      <c r="B74" s="220"/>
      <c r="C74" s="227"/>
      <c r="D74" s="215"/>
      <c r="E74" s="215"/>
    </row>
    <row r="75" spans="1:20">
      <c r="E75" s="1108"/>
    </row>
    <row r="76" spans="1:20" ht="12.75">
      <c r="A76" s="221" t="s">
        <v>337</v>
      </c>
      <c r="B76" s="813">
        <v>44561</v>
      </c>
      <c r="C76" s="813">
        <v>44196</v>
      </c>
    </row>
    <row r="77" spans="1:20">
      <c r="A77" s="216" t="s">
        <v>509</v>
      </c>
      <c r="B77" s="229">
        <v>-6797514</v>
      </c>
      <c r="C77" s="229">
        <v>-10250828</v>
      </c>
    </row>
    <row r="78" spans="1:20">
      <c r="A78" s="217" t="s">
        <v>1</v>
      </c>
      <c r="B78" s="1057">
        <f>+B77</f>
        <v>-6797514</v>
      </c>
      <c r="C78" s="1057">
        <f>+C77</f>
        <v>-10250828</v>
      </c>
    </row>
    <row r="79" spans="1:20" ht="12.75" thickBot="1">
      <c r="A79" s="129" t="s">
        <v>703</v>
      </c>
      <c r="B79" s="457">
        <f>+B73+B78</f>
        <v>1791059789</v>
      </c>
      <c r="C79" s="457">
        <f>+C73+C77</f>
        <v>2186416461</v>
      </c>
    </row>
    <row r="80" spans="1:20" ht="12.75" thickTop="1"/>
    <row r="95" spans="5:9">
      <c r="E95" s="160"/>
      <c r="F95" s="160"/>
      <c r="G95" s="160"/>
      <c r="H95" s="160"/>
      <c r="I95" s="160"/>
    </row>
    <row r="96" spans="5:9">
      <c r="E96" s="326"/>
      <c r="F96" s="760"/>
      <c r="G96" s="160"/>
      <c r="H96" s="160"/>
      <c r="I96" s="160"/>
    </row>
    <row r="97" spans="5:9">
      <c r="E97" s="326"/>
      <c r="F97" s="205"/>
      <c r="G97" s="766"/>
      <c r="H97" s="160"/>
      <c r="I97" s="160"/>
    </row>
    <row r="98" spans="5:9">
      <c r="E98" s="761"/>
      <c r="F98" s="767"/>
      <c r="G98" s="768"/>
      <c r="H98" s="160"/>
      <c r="I98" s="160"/>
    </row>
    <row r="99" spans="5:9">
      <c r="E99" s="762"/>
      <c r="F99" s="763"/>
      <c r="G99" s="760"/>
      <c r="H99" s="160"/>
      <c r="I99" s="160"/>
    </row>
    <row r="100" spans="5:9">
      <c r="E100" s="762"/>
      <c r="F100" s="763"/>
      <c r="G100" s="760"/>
      <c r="H100" s="160"/>
      <c r="I100" s="160"/>
    </row>
    <row r="101" spans="5:9">
      <c r="E101" s="762"/>
      <c r="F101" s="763"/>
      <c r="G101" s="760"/>
      <c r="H101" s="160"/>
      <c r="I101" s="160"/>
    </row>
    <row r="102" spans="5:9">
      <c r="E102" s="762"/>
      <c r="F102" s="763"/>
      <c r="G102" s="760"/>
      <c r="H102" s="160"/>
      <c r="I102" s="160"/>
    </row>
    <row r="103" spans="5:9">
      <c r="E103" s="762"/>
      <c r="F103" s="763"/>
      <c r="G103" s="760"/>
      <c r="H103" s="160"/>
      <c r="I103" s="160"/>
    </row>
    <row r="104" spans="5:9">
      <c r="E104" s="762"/>
      <c r="F104" s="764"/>
      <c r="G104" s="760"/>
      <c r="H104" s="160"/>
      <c r="I104" s="160"/>
    </row>
    <row r="105" spans="5:9">
      <c r="E105" s="762"/>
      <c r="F105" s="764"/>
      <c r="G105" s="760"/>
      <c r="H105" s="160"/>
      <c r="I105" s="160"/>
    </row>
    <row r="106" spans="5:9">
      <c r="E106" s="762"/>
      <c r="F106" s="764"/>
      <c r="G106" s="760"/>
      <c r="H106" s="160"/>
      <c r="I106" s="160"/>
    </row>
    <row r="107" spans="5:9">
      <c r="E107" s="326"/>
      <c r="F107" s="769"/>
      <c r="G107" s="770"/>
      <c r="H107" s="160"/>
      <c r="I107" s="160"/>
    </row>
    <row r="108" spans="5:9">
      <c r="E108" s="762"/>
      <c r="F108" s="765"/>
      <c r="G108" s="762"/>
      <c r="H108" s="160"/>
      <c r="I108" s="202"/>
    </row>
    <row r="109" spans="5:9">
      <c r="E109" s="762"/>
      <c r="F109" s="765"/>
      <c r="G109" s="762"/>
      <c r="H109" s="160"/>
      <c r="I109" s="160"/>
    </row>
  </sheetData>
  <mergeCells count="3">
    <mergeCell ref="B8:C8"/>
    <mergeCell ref="A3:G3"/>
    <mergeCell ref="A50:C50"/>
  </mergeCells>
  <hyperlinks>
    <hyperlink ref="C51" location="ER!A1" display="ER" xr:uid="{00000000-0004-0000-2200-000001000000}"/>
    <hyperlink ref="B1" location="ER!A1" display="ER" xr:uid="{F432E90A-8FF4-41E5-8DF3-CEC074D40BAE}"/>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4"/>
  <dimension ref="A1:AE42"/>
  <sheetViews>
    <sheetView showGridLines="0" topLeftCell="A16" workbookViewId="0">
      <selection activeCell="B1" sqref="B1"/>
    </sheetView>
  </sheetViews>
  <sheetFormatPr baseColWidth="10" defaultRowHeight="15"/>
  <cols>
    <col min="1" max="1" width="32.140625" style="12" customWidth="1"/>
    <col min="2" max="3" width="18.42578125" style="12" customWidth="1"/>
    <col min="4" max="4" width="7" style="12" customWidth="1"/>
    <col min="5" max="5" width="34.42578125" style="12" customWidth="1"/>
    <col min="6" max="6" width="13.7109375" style="12" customWidth="1"/>
    <col min="7" max="7" width="15.140625" style="12" customWidth="1"/>
    <col min="8" max="8" width="13.7109375" style="12" bestFit="1" customWidth="1"/>
    <col min="9" max="15" width="11.42578125" style="12"/>
  </cols>
  <sheetData>
    <row r="1" spans="1:31" ht="17.25" customHeight="1">
      <c r="A1" s="277" t="str">
        <f>Indice!C1</f>
        <v>NICOLAS GONZALEZ ODDONE S.A.E.C.A</v>
      </c>
      <c r="B1" s="920" t="s">
        <v>84</v>
      </c>
      <c r="C1" s="288"/>
      <c r="E1" s="19"/>
    </row>
    <row r="3" spans="1:31" ht="16.5" customHeight="1">
      <c r="A3" s="282" t="s">
        <v>198</v>
      </c>
      <c r="B3" s="282"/>
      <c r="C3" s="282"/>
      <c r="D3" s="282"/>
      <c r="E3" s="282"/>
      <c r="F3" s="282"/>
      <c r="G3" s="282"/>
      <c r="H3" s="4"/>
      <c r="I3" s="4"/>
      <c r="J3" s="4"/>
      <c r="K3" s="4"/>
      <c r="L3" s="4"/>
      <c r="M3" s="4"/>
      <c r="N3" s="4"/>
      <c r="O3" s="4"/>
      <c r="P3" s="4"/>
      <c r="Q3" s="4"/>
      <c r="R3" s="4"/>
      <c r="S3" s="4"/>
      <c r="T3" s="4"/>
      <c r="U3" s="4"/>
      <c r="V3" s="4"/>
      <c r="W3" s="4"/>
      <c r="X3" s="4"/>
      <c r="Y3" s="4"/>
      <c r="Z3" s="4"/>
      <c r="AA3" s="4"/>
      <c r="AB3" s="4"/>
      <c r="AC3" s="4"/>
      <c r="AD3" s="4"/>
    </row>
    <row r="4" spans="1:31">
      <c r="A4" s="238" t="s">
        <v>144</v>
      </c>
    </row>
    <row r="5" spans="1:31" s="255" customFormat="1">
      <c r="A5" s="303"/>
      <c r="B5" s="264"/>
      <c r="C5" s="264"/>
      <c r="D5" s="264"/>
      <c r="E5" s="264"/>
      <c r="F5" s="264"/>
      <c r="G5" s="264"/>
      <c r="H5" s="264"/>
      <c r="I5" s="264"/>
      <c r="J5" s="264"/>
      <c r="K5" s="264"/>
      <c r="L5" s="264"/>
      <c r="M5" s="264"/>
      <c r="N5" s="264"/>
      <c r="O5" s="264"/>
    </row>
    <row r="6" spans="1:31">
      <c r="A6" s="118" t="s">
        <v>107</v>
      </c>
      <c r="C6" s="63"/>
    </row>
    <row r="7" spans="1:31" s="73" customFormat="1">
      <c r="A7" s="12"/>
      <c r="B7" s="12"/>
      <c r="C7" s="63"/>
      <c r="D7" s="12"/>
      <c r="E7" s="12"/>
      <c r="F7" s="12"/>
      <c r="G7" s="12"/>
      <c r="H7" s="12"/>
      <c r="I7" s="12"/>
      <c r="J7" s="12"/>
      <c r="K7" s="12"/>
      <c r="L7" s="12"/>
      <c r="M7" s="12"/>
      <c r="N7" s="12"/>
      <c r="O7" s="12"/>
    </row>
    <row r="8" spans="1:31" s="73" customFormat="1">
      <c r="A8" s="144" t="s">
        <v>531</v>
      </c>
      <c r="B8" s="111"/>
      <c r="C8" s="307"/>
      <c r="D8" s="111"/>
      <c r="E8" s="681" t="s">
        <v>92</v>
      </c>
      <c r="F8" s="111"/>
      <c r="G8" s="111"/>
      <c r="H8" s="12"/>
      <c r="I8" s="12"/>
      <c r="J8" s="12"/>
      <c r="K8" s="12"/>
      <c r="L8" s="12"/>
      <c r="M8" s="12"/>
      <c r="N8" s="12"/>
      <c r="O8" s="12"/>
    </row>
    <row r="9" spans="1:31">
      <c r="A9" s="682" t="s">
        <v>337</v>
      </c>
      <c r="B9" s="293">
        <v>44561</v>
      </c>
      <c r="C9" s="293">
        <v>44196</v>
      </c>
      <c r="D9" s="519"/>
      <c r="E9" s="682" t="s">
        <v>337</v>
      </c>
      <c r="F9" s="293">
        <v>44561</v>
      </c>
      <c r="G9" s="293">
        <v>44196</v>
      </c>
      <c r="H9" s="4"/>
      <c r="I9" s="4"/>
      <c r="J9" s="4"/>
      <c r="K9" s="4"/>
      <c r="L9" s="4"/>
      <c r="M9" s="4"/>
      <c r="N9" s="4"/>
      <c r="O9" s="4"/>
      <c r="P9" s="4"/>
      <c r="Q9" s="4"/>
      <c r="R9" s="4"/>
      <c r="S9" s="4"/>
      <c r="T9" s="4"/>
      <c r="U9" s="4"/>
      <c r="V9" s="4"/>
      <c r="W9" s="4"/>
      <c r="X9" s="4"/>
      <c r="Y9" s="4"/>
      <c r="Z9" s="4"/>
      <c r="AA9" s="4"/>
      <c r="AB9" s="4"/>
      <c r="AC9" s="4"/>
      <c r="AD9" s="4"/>
      <c r="AE9" s="4"/>
    </row>
    <row r="10" spans="1:31">
      <c r="A10" s="519" t="s">
        <v>526</v>
      </c>
      <c r="B10" s="124">
        <v>326440703</v>
      </c>
      <c r="C10" s="124">
        <v>250955360</v>
      </c>
      <c r="D10" s="4"/>
      <c r="E10" s="519" t="s">
        <v>529</v>
      </c>
      <c r="F10" s="124">
        <f>-13984362-1033950</f>
        <v>-15018312</v>
      </c>
      <c r="G10" s="124">
        <v>-12116464</v>
      </c>
      <c r="H10" s="4"/>
      <c r="I10" s="4"/>
      <c r="J10" s="4"/>
      <c r="K10" s="4"/>
      <c r="L10" s="4"/>
      <c r="M10" s="4"/>
      <c r="N10" s="4"/>
      <c r="O10" s="4"/>
      <c r="P10" s="4"/>
      <c r="Q10" s="4"/>
      <c r="R10" s="4"/>
      <c r="S10" s="4"/>
      <c r="T10" s="4"/>
      <c r="U10" s="4"/>
      <c r="V10" s="4"/>
      <c r="W10" s="4"/>
      <c r="X10" s="4"/>
      <c r="Y10" s="4"/>
      <c r="Z10" s="4"/>
      <c r="AA10" s="4"/>
      <c r="AB10" s="4"/>
      <c r="AC10" s="4"/>
      <c r="AD10" s="4"/>
      <c r="AE10" s="4"/>
    </row>
    <row r="11" spans="1:31" s="44" customFormat="1">
      <c r="A11" s="519" t="s">
        <v>527</v>
      </c>
      <c r="B11" s="124">
        <v>50043306920</v>
      </c>
      <c r="C11" s="124">
        <v>28653255406</v>
      </c>
      <c r="D11" s="4"/>
      <c r="E11" s="519" t="s">
        <v>552</v>
      </c>
      <c r="F11" s="773">
        <v>-3130767972</v>
      </c>
      <c r="G11" s="124">
        <v>-2150312619</v>
      </c>
      <c r="H11" s="4"/>
      <c r="I11" s="4"/>
      <c r="J11" s="4"/>
      <c r="K11" s="4"/>
      <c r="L11" s="4"/>
      <c r="M11" s="4"/>
      <c r="N11" s="4"/>
      <c r="O11" s="4"/>
      <c r="P11" s="4"/>
      <c r="Q11" s="4"/>
      <c r="R11" s="4"/>
      <c r="S11" s="4"/>
      <c r="T11" s="4"/>
      <c r="U11" s="4"/>
      <c r="V11" s="4"/>
      <c r="W11" s="4"/>
      <c r="X11" s="4"/>
      <c r="Y11" s="4"/>
      <c r="Z11" s="4"/>
      <c r="AA11" s="4"/>
      <c r="AB11" s="4"/>
      <c r="AC11" s="4"/>
      <c r="AD11" s="4"/>
      <c r="AE11" s="4"/>
    </row>
    <row r="12" spans="1:31" s="73" customFormat="1">
      <c r="A12" s="519" t="s">
        <v>528</v>
      </c>
      <c r="B12" s="773">
        <v>4625417054</v>
      </c>
      <c r="C12" s="124">
        <v>3753581554</v>
      </c>
      <c r="D12" s="4"/>
      <c r="E12" s="519" t="s">
        <v>530</v>
      </c>
      <c r="F12" s="124">
        <v>-46087676265</v>
      </c>
      <c r="G12" s="124">
        <v>-22394831627</v>
      </c>
      <c r="H12" s="4"/>
      <c r="I12" s="4"/>
      <c r="J12" s="4"/>
      <c r="K12" s="4"/>
      <c r="L12" s="4"/>
      <c r="M12" s="4"/>
      <c r="N12" s="4"/>
      <c r="O12" s="4"/>
      <c r="P12" s="4"/>
      <c r="Q12" s="4"/>
      <c r="R12" s="4"/>
      <c r="S12" s="4"/>
      <c r="T12" s="4"/>
      <c r="U12" s="4"/>
      <c r="V12" s="4"/>
      <c r="W12" s="4"/>
      <c r="X12" s="4"/>
      <c r="Y12" s="4"/>
      <c r="Z12" s="4"/>
      <c r="AA12" s="4"/>
      <c r="AB12" s="4"/>
      <c r="AC12" s="4"/>
      <c r="AD12" s="4"/>
      <c r="AE12" s="4"/>
    </row>
    <row r="13" spans="1:31" s="355" customFormat="1">
      <c r="A13" s="519" t="s">
        <v>755</v>
      </c>
      <c r="B13" s="773">
        <v>792084666</v>
      </c>
      <c r="C13" s="124">
        <v>301401354</v>
      </c>
      <c r="D13" s="259"/>
      <c r="E13" s="519" t="s">
        <v>756</v>
      </c>
      <c r="F13" s="676">
        <v>-528945</v>
      </c>
      <c r="G13" s="676">
        <v>-9528808</v>
      </c>
      <c r="H13" s="24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row>
    <row r="14" spans="1:31" s="355" customFormat="1" ht="15.75" thickBot="1">
      <c r="A14" s="519" t="s">
        <v>757</v>
      </c>
      <c r="B14" s="773">
        <v>368370375</v>
      </c>
      <c r="C14" s="124">
        <v>429758869</v>
      </c>
      <c r="D14" s="259"/>
      <c r="E14" s="117" t="s">
        <v>150</v>
      </c>
      <c r="F14" s="679">
        <f>SUM(F10:F13)</f>
        <v>-49233991494</v>
      </c>
      <c r="G14" s="679">
        <f>SUM(G10:G13)</f>
        <v>-24566789518</v>
      </c>
      <c r="H14" s="24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row>
    <row r="15" spans="1:31" s="355" customFormat="1" ht="16.5" thickTop="1" thickBot="1">
      <c r="A15" s="117" t="s">
        <v>91</v>
      </c>
      <c r="B15" s="677">
        <f>SUM($B10:B14)</f>
        <v>56155619718</v>
      </c>
      <c r="C15" s="678">
        <f>SUM(C10:C14)</f>
        <v>33388952543</v>
      </c>
      <c r="D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row>
    <row r="16" spans="1:31" s="44" customFormat="1" ht="15.75" thickTop="1">
      <c r="A16" s="225"/>
      <c r="B16" s="223"/>
      <c r="C16" s="223"/>
      <c r="D16" s="4"/>
      <c r="F16" s="649"/>
      <c r="H16" s="4"/>
      <c r="I16" s="4"/>
      <c r="J16" s="4"/>
      <c r="K16" s="4"/>
      <c r="L16" s="4"/>
      <c r="M16" s="4"/>
      <c r="N16" s="4"/>
      <c r="O16" s="4"/>
      <c r="P16" s="4"/>
      <c r="Q16" s="4"/>
      <c r="R16" s="4"/>
      <c r="S16" s="4"/>
      <c r="T16" s="4"/>
      <c r="U16" s="4"/>
      <c r="V16" s="4"/>
      <c r="W16" s="4"/>
      <c r="X16" s="4"/>
      <c r="Y16" s="4"/>
      <c r="Z16" s="4"/>
      <c r="AA16" s="4"/>
      <c r="AB16" s="4"/>
      <c r="AC16" s="4"/>
      <c r="AD16" s="4"/>
      <c r="AE16" s="4"/>
    </row>
    <row r="17" spans="1:31">
      <c r="A17" s="225"/>
      <c r="B17" s="375"/>
      <c r="C17" s="375"/>
      <c r="D17" s="4"/>
      <c r="E17" s="778"/>
      <c r="F17" s="680"/>
      <c r="G17" s="680"/>
      <c r="H17" s="4"/>
      <c r="I17" s="4"/>
      <c r="J17" s="4"/>
      <c r="K17" s="4"/>
      <c r="L17" s="4"/>
      <c r="M17" s="4"/>
      <c r="N17" s="4"/>
      <c r="O17" s="4"/>
      <c r="P17" s="4"/>
      <c r="Q17" s="4"/>
      <c r="R17" s="4"/>
      <c r="S17" s="4"/>
      <c r="T17" s="4"/>
      <c r="U17" s="4"/>
      <c r="V17" s="4"/>
      <c r="W17" s="4"/>
      <c r="X17" s="4"/>
      <c r="Y17" s="4"/>
      <c r="Z17" s="4"/>
      <c r="AA17" s="4"/>
      <c r="AB17" s="4"/>
      <c r="AC17" s="4"/>
      <c r="AD17" s="4"/>
      <c r="AE17" s="4"/>
    </row>
    <row r="18" spans="1:31" s="355" customFormat="1">
      <c r="A18" s="266"/>
      <c r="B18" s="375"/>
      <c r="C18" s="375"/>
      <c r="D18" s="259"/>
      <c r="E18" s="266"/>
      <c r="F18" s="223"/>
      <c r="G18" s="224"/>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row>
    <row r="19" spans="1:31" s="355" customFormat="1">
      <c r="A19" s="266"/>
      <c r="B19" s="375"/>
      <c r="C19" s="375"/>
      <c r="D19" s="259"/>
      <c r="E19" s="266"/>
      <c r="F19" s="223"/>
      <c r="G19" s="224"/>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row>
    <row r="20" spans="1:31" s="355" customFormat="1" ht="16.5" customHeight="1">
      <c r="A20" s="282" t="s">
        <v>949</v>
      </c>
      <c r="B20" s="282"/>
      <c r="C20" s="282"/>
      <c r="D20" s="282"/>
      <c r="E20" s="282"/>
      <c r="F20" s="282"/>
      <c r="G20" s="282"/>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row>
    <row r="21" spans="1:31" s="355" customFormat="1">
      <c r="A21" s="145"/>
      <c r="B21" s="145"/>
      <c r="C21" s="288" t="s">
        <v>84</v>
      </c>
      <c r="D21" s="145"/>
      <c r="E21" s="145"/>
      <c r="F21" s="145"/>
      <c r="G21" s="145"/>
      <c r="H21" s="520"/>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row>
    <row r="22" spans="1:31" s="355" customFormat="1">
      <c r="A22" s="118" t="s">
        <v>107</v>
      </c>
      <c r="B22" s="145"/>
      <c r="C22" s="145"/>
      <c r="D22" s="145"/>
      <c r="E22" s="145"/>
      <c r="F22" s="145"/>
      <c r="G22" s="145"/>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row>
    <row r="23" spans="1:31" s="355" customFormat="1">
      <c r="A23" s="118"/>
      <c r="B23" s="145"/>
      <c r="C23" s="145"/>
      <c r="D23" s="145"/>
      <c r="E23" s="145"/>
      <c r="F23" s="145"/>
      <c r="G23" s="145"/>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row>
    <row r="24" spans="1:31" s="355" customFormat="1">
      <c r="A24" s="266" t="s">
        <v>735</v>
      </c>
      <c r="B24" s="375"/>
      <c r="C24" s="375"/>
      <c r="D24" s="259"/>
      <c r="E24" s="266" t="s">
        <v>734</v>
      </c>
      <c r="F24" s="223"/>
      <c r="G24" s="224"/>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row>
    <row r="25" spans="1:31" ht="12.75" customHeight="1">
      <c r="A25" s="682" t="s">
        <v>337</v>
      </c>
      <c r="B25" s="813">
        <v>44561</v>
      </c>
      <c r="C25" s="813">
        <v>44196</v>
      </c>
      <c r="D25" s="249"/>
      <c r="E25" s="682" t="s">
        <v>337</v>
      </c>
      <c r="F25" s="813">
        <v>44561</v>
      </c>
      <c r="G25" s="813">
        <v>44196</v>
      </c>
      <c r="H25" s="4"/>
      <c r="I25" s="4"/>
      <c r="J25" s="4"/>
      <c r="K25" s="4"/>
      <c r="L25" s="4"/>
      <c r="M25" s="4"/>
      <c r="N25" s="4"/>
      <c r="O25" s="4"/>
      <c r="P25" s="4"/>
      <c r="Q25" s="4"/>
      <c r="R25" s="4"/>
      <c r="S25" s="4"/>
      <c r="T25" s="4"/>
      <c r="U25" s="4"/>
      <c r="V25" s="4"/>
      <c r="W25" s="4"/>
      <c r="X25" s="4"/>
      <c r="Y25" s="4"/>
      <c r="Z25" s="4"/>
      <c r="AA25" s="4"/>
      <c r="AB25" s="4"/>
      <c r="AC25" s="4"/>
      <c r="AD25" s="4"/>
      <c r="AE25" s="4"/>
    </row>
    <row r="26" spans="1:31">
      <c r="A26" s="111" t="s">
        <v>822</v>
      </c>
      <c r="B26" s="112">
        <v>4134620204</v>
      </c>
      <c r="C26" s="112">
        <v>1201963941</v>
      </c>
      <c r="E26" s="111" t="s">
        <v>973</v>
      </c>
      <c r="F26" s="163">
        <v>0</v>
      </c>
      <c r="G26" s="112">
        <v>-560800</v>
      </c>
    </row>
    <row r="27" spans="1:31" s="355" customFormat="1">
      <c r="A27" s="111" t="s">
        <v>887</v>
      </c>
      <c r="B27" s="112">
        <v>1795843545</v>
      </c>
      <c r="C27" s="112">
        <v>0</v>
      </c>
      <c r="D27" s="373"/>
      <c r="E27" s="111" t="s">
        <v>941</v>
      </c>
      <c r="F27" s="163">
        <v>-6129493953</v>
      </c>
      <c r="G27" s="163">
        <v>0</v>
      </c>
      <c r="H27" s="373"/>
      <c r="I27" s="373"/>
      <c r="J27" s="373"/>
      <c r="K27" s="373"/>
      <c r="L27" s="373"/>
      <c r="M27" s="373"/>
      <c r="N27" s="373"/>
      <c r="O27" s="373"/>
    </row>
    <row r="28" spans="1:31" s="355" customFormat="1">
      <c r="A28" s="111" t="s">
        <v>888</v>
      </c>
      <c r="B28" s="112">
        <v>163060047</v>
      </c>
      <c r="C28" s="112">
        <v>0</v>
      </c>
      <c r="D28" s="373"/>
      <c r="E28" s="336" t="s">
        <v>942</v>
      </c>
      <c r="F28" s="163">
        <v>-8079246352</v>
      </c>
      <c r="G28" s="163">
        <v>0</v>
      </c>
      <c r="H28" s="373"/>
      <c r="I28" s="373"/>
      <c r="J28" s="373"/>
      <c r="K28" s="373"/>
      <c r="L28" s="373"/>
      <c r="M28" s="373"/>
      <c r="N28" s="373"/>
      <c r="O28" s="373"/>
    </row>
    <row r="29" spans="1:31" s="355" customFormat="1">
      <c r="A29" s="111" t="s">
        <v>731</v>
      </c>
      <c r="B29" s="112">
        <v>259971568</v>
      </c>
      <c r="C29" s="112">
        <v>1449748900</v>
      </c>
      <c r="D29" s="373"/>
      <c r="E29" s="336" t="s">
        <v>732</v>
      </c>
      <c r="F29" s="163">
        <f>-334260255-287599129</f>
        <v>-621859384</v>
      </c>
      <c r="G29" s="112">
        <v>-308608697</v>
      </c>
      <c r="H29" s="373"/>
      <c r="I29" s="373"/>
      <c r="J29" s="373"/>
      <c r="K29" s="373"/>
      <c r="L29" s="373"/>
      <c r="M29" s="373"/>
      <c r="N29" s="373"/>
      <c r="O29" s="373"/>
    </row>
    <row r="30" spans="1:31" s="355" customFormat="1">
      <c r="A30" s="111" t="s">
        <v>889</v>
      </c>
      <c r="B30" s="789">
        <v>7370063676</v>
      </c>
      <c r="C30" s="789">
        <v>0</v>
      </c>
      <c r="D30" s="373"/>
      <c r="E30" s="111" t="s">
        <v>1009</v>
      </c>
      <c r="F30" s="163">
        <v>-2983669</v>
      </c>
      <c r="G30" s="112">
        <v>-18576250</v>
      </c>
      <c r="H30" s="373"/>
      <c r="I30" s="373"/>
      <c r="J30" s="373"/>
      <c r="K30" s="373"/>
      <c r="L30" s="373"/>
      <c r="M30" s="373"/>
      <c r="N30" s="373"/>
      <c r="O30" s="373"/>
    </row>
    <row r="31" spans="1:31" s="355" customFormat="1" ht="15.75" thickBot="1">
      <c r="A31" s="11" t="s">
        <v>733</v>
      </c>
      <c r="B31" s="1203">
        <f>SUM(B26:B30)</f>
        <v>13723559040</v>
      </c>
      <c r="C31" s="1203">
        <f>SUM(C26:C30)</f>
        <v>2651712841</v>
      </c>
      <c r="D31" s="373"/>
      <c r="E31" s="117" t="s">
        <v>736</v>
      </c>
      <c r="F31" s="931">
        <f>SUM(F26:F30)</f>
        <v>-14833583358</v>
      </c>
      <c r="G31" s="931">
        <f>SUM(G26:G30)</f>
        <v>-327745747</v>
      </c>
      <c r="H31" s="373"/>
      <c r="I31" s="373"/>
      <c r="J31" s="373"/>
      <c r="K31" s="373"/>
      <c r="L31" s="373"/>
      <c r="M31" s="373"/>
      <c r="N31" s="373"/>
      <c r="O31" s="373"/>
    </row>
    <row r="32" spans="1:31" s="355" customFormat="1" ht="15.75" thickTop="1">
      <c r="A32" s="11"/>
      <c r="B32" s="798"/>
      <c r="C32" s="798"/>
      <c r="D32" s="373"/>
      <c r="E32" s="117"/>
      <c r="F32" s="1167"/>
      <c r="G32" s="1167"/>
      <c r="H32" s="520"/>
      <c r="I32" s="373"/>
      <c r="J32" s="373"/>
      <c r="K32" s="373"/>
      <c r="L32" s="373"/>
      <c r="M32" s="373"/>
      <c r="N32" s="373"/>
      <c r="O32" s="373"/>
    </row>
    <row r="33" spans="1:31" s="355" customFormat="1">
      <c r="A33" s="11"/>
      <c r="B33" s="798"/>
      <c r="C33" s="798"/>
      <c r="D33" s="373"/>
      <c r="E33" s="111"/>
      <c r="F33" s="163"/>
      <c r="G33" s="163"/>
      <c r="H33" s="373"/>
      <c r="I33" s="373"/>
      <c r="J33" s="373"/>
      <c r="K33" s="373"/>
      <c r="L33" s="373"/>
      <c r="M33" s="373"/>
      <c r="N33" s="373"/>
      <c r="O33" s="373"/>
    </row>
    <row r="34" spans="1:31">
      <c r="B34" s="376"/>
      <c r="C34" s="376"/>
      <c r="D34" s="4"/>
      <c r="E34" s="336"/>
      <c r="F34" s="202"/>
      <c r="G34" s="163"/>
      <c r="H34" s="375"/>
      <c r="I34" s="4"/>
      <c r="J34" s="4"/>
      <c r="K34" s="4"/>
      <c r="L34" s="4"/>
      <c r="M34" s="4"/>
      <c r="N34" s="4"/>
      <c r="O34" s="4"/>
      <c r="P34" s="4"/>
      <c r="Q34" s="4"/>
      <c r="R34" s="4"/>
      <c r="S34" s="4"/>
      <c r="T34" s="4"/>
      <c r="U34" s="4"/>
      <c r="V34" s="4"/>
      <c r="W34" s="4"/>
      <c r="X34" s="4"/>
      <c r="Y34" s="4"/>
      <c r="Z34" s="4"/>
      <c r="AA34" s="4"/>
      <c r="AB34" s="4"/>
      <c r="AC34" s="4"/>
      <c r="AD34" s="4"/>
      <c r="AE34" s="4"/>
    </row>
    <row r="35" spans="1:31" s="355" customFormat="1">
      <c r="A35" s="111"/>
      <c r="B35" s="112"/>
      <c r="C35" s="112"/>
      <c r="D35" s="259"/>
      <c r="E35" s="681"/>
      <c r="F35" s="929"/>
      <c r="G35" s="92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row>
    <row r="36" spans="1:31">
      <c r="A36" s="797"/>
      <c r="B36" s="798"/>
      <c r="C36" s="798"/>
      <c r="D36" s="4"/>
      <c r="E36" s="681"/>
      <c r="F36" s="834"/>
      <c r="G36" s="834"/>
      <c r="H36" s="4"/>
      <c r="I36" s="4"/>
      <c r="J36" s="4"/>
      <c r="K36" s="4"/>
      <c r="L36" s="4"/>
      <c r="M36" s="4"/>
      <c r="N36" s="4"/>
      <c r="O36" s="4"/>
      <c r="P36" s="4"/>
      <c r="Q36" s="4"/>
      <c r="R36" s="4"/>
      <c r="S36" s="4"/>
      <c r="T36" s="4"/>
      <c r="U36" s="4"/>
      <c r="V36" s="4"/>
      <c r="W36" s="4"/>
      <c r="X36" s="4"/>
      <c r="Y36" s="4"/>
      <c r="Z36" s="4"/>
      <c r="AA36" s="4"/>
      <c r="AB36" s="4"/>
      <c r="AC36" s="4"/>
      <c r="AD36" s="4"/>
      <c r="AE36" s="4"/>
    </row>
    <row r="37" spans="1:31" s="44" customFormat="1">
      <c r="B37" s="531"/>
      <c r="C37" s="531"/>
      <c r="D37" s="4"/>
      <c r="E37" s="375"/>
      <c r="F37" s="930"/>
      <c r="G37" s="930"/>
      <c r="H37" s="4"/>
      <c r="I37" s="4"/>
      <c r="J37" s="4"/>
      <c r="K37" s="4"/>
      <c r="L37" s="4"/>
      <c r="M37" s="4"/>
      <c r="N37" s="4"/>
      <c r="O37" s="4"/>
      <c r="P37" s="4"/>
      <c r="Q37" s="4"/>
      <c r="R37" s="4"/>
      <c r="S37" s="4"/>
      <c r="T37" s="4"/>
      <c r="U37" s="4"/>
      <c r="V37" s="4"/>
      <c r="W37" s="4"/>
      <c r="X37" s="4"/>
      <c r="Y37" s="4"/>
      <c r="Z37" s="4"/>
      <c r="AA37" s="4"/>
      <c r="AB37" s="4"/>
      <c r="AC37" s="4"/>
      <c r="AD37" s="4"/>
      <c r="AE37" s="4"/>
    </row>
    <row r="38" spans="1:31" s="44" customFormat="1">
      <c r="A38" s="111"/>
      <c r="D38" s="4"/>
      <c r="E38" s="111"/>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c r="D39" s="4"/>
      <c r="E39" s="336"/>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c r="D40" s="4"/>
      <c r="E40" s="111"/>
      <c r="F40" s="249"/>
      <c r="G40" s="4"/>
      <c r="H40" s="4"/>
      <c r="I40" s="4"/>
      <c r="J40" s="4"/>
      <c r="K40" s="4"/>
      <c r="L40" s="4"/>
      <c r="M40" s="4"/>
      <c r="N40" s="4"/>
      <c r="O40" s="4"/>
      <c r="P40" s="4"/>
      <c r="Q40" s="4"/>
      <c r="R40" s="4"/>
      <c r="S40" s="4"/>
      <c r="T40" s="4"/>
      <c r="U40" s="4"/>
      <c r="V40" s="4"/>
      <c r="W40" s="4"/>
      <c r="X40" s="4"/>
      <c r="Y40" s="4"/>
      <c r="Z40" s="4"/>
      <c r="AA40" s="4"/>
      <c r="AB40" s="4"/>
      <c r="AC40" s="4"/>
      <c r="AD40" s="4"/>
      <c r="AE40" s="4"/>
    </row>
    <row r="41" spans="1:31">
      <c r="D41" s="4"/>
      <c r="E41" s="336"/>
      <c r="F41" s="375"/>
      <c r="G41" s="375"/>
      <c r="H41" s="4"/>
      <c r="I41" s="4"/>
      <c r="J41" s="4"/>
      <c r="K41" s="4"/>
      <c r="L41" s="4"/>
      <c r="M41" s="4"/>
      <c r="N41" s="4"/>
      <c r="O41" s="4"/>
      <c r="P41" s="4"/>
      <c r="Q41" s="4"/>
      <c r="R41" s="4"/>
      <c r="S41" s="4"/>
      <c r="T41" s="4"/>
      <c r="U41" s="4"/>
      <c r="V41" s="4"/>
      <c r="W41" s="4"/>
      <c r="X41" s="4"/>
      <c r="Y41" s="4"/>
      <c r="Z41" s="4"/>
      <c r="AA41" s="4"/>
      <c r="AB41" s="4"/>
      <c r="AC41" s="4"/>
      <c r="AD41" s="4"/>
      <c r="AE41" s="4"/>
    </row>
    <row r="42" spans="1:31">
      <c r="E42" s="681"/>
      <c r="F42" s="929"/>
      <c r="G42" s="929"/>
    </row>
  </sheetData>
  <hyperlinks>
    <hyperlink ref="C21" location="ER!A1" display="ER" xr:uid="{00000000-0004-0000-2300-000001000000}"/>
    <hyperlink ref="B1" location="ER!A1" display="ER" xr:uid="{3602D512-B7E4-49E5-97D1-78ECBCF3EA6E}"/>
  </hyperlinks>
  <pageMargins left="0.7" right="0.7" top="0.75" bottom="0.75" header="0.3" footer="0.3"/>
  <pageSetup orientation="portrait" r:id="rId1"/>
  <ignoredErrors>
    <ignoredError sqref="B15:C15 F14:G14 G31 B31:C31"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5"/>
  <dimension ref="A1:AB11"/>
  <sheetViews>
    <sheetView showGridLines="0" workbookViewId="0">
      <selection activeCell="B1" sqref="B1"/>
    </sheetView>
  </sheetViews>
  <sheetFormatPr baseColWidth="10" defaultColWidth="11.42578125" defaultRowHeight="12"/>
  <cols>
    <col min="1" max="1" width="32.85546875" style="111" customWidth="1"/>
    <col min="2" max="2" width="14.28515625" style="111" customWidth="1"/>
    <col min="3" max="3" width="15.42578125" style="111" customWidth="1"/>
    <col min="4" max="25" width="11.42578125" style="111"/>
    <col min="26" max="16384" width="11.42578125" style="208"/>
  </cols>
  <sheetData>
    <row r="1" spans="1:28" ht="17.25" customHeight="1">
      <c r="A1" s="277" t="str">
        <f>Indice!C1</f>
        <v>NICOLAS GONZALEZ ODDONE S.A.E.C.A</v>
      </c>
      <c r="B1" s="920" t="s">
        <v>84</v>
      </c>
      <c r="C1" s="288"/>
      <c r="E1" s="115"/>
    </row>
    <row r="3" spans="1:28" ht="17.25" customHeight="1">
      <c r="A3" s="281" t="s">
        <v>704</v>
      </c>
      <c r="B3" s="306"/>
      <c r="C3" s="306"/>
      <c r="D3" s="306"/>
      <c r="E3" s="306"/>
      <c r="F3" s="216"/>
      <c r="G3" s="213"/>
      <c r="H3" s="215"/>
      <c r="Z3" s="111"/>
      <c r="AA3" s="111"/>
      <c r="AB3" s="111"/>
    </row>
    <row r="4" spans="1:28" ht="15.75" customHeight="1">
      <c r="A4" s="231" t="s">
        <v>144</v>
      </c>
      <c r="B4" s="70"/>
      <c r="C4" s="226"/>
      <c r="D4" s="226"/>
      <c r="E4" s="226"/>
      <c r="F4" s="216"/>
      <c r="G4" s="213"/>
      <c r="H4" s="215"/>
      <c r="Z4" s="111"/>
      <c r="AA4" s="111"/>
      <c r="AB4" s="111"/>
    </row>
    <row r="5" spans="1:28" s="235" customFormat="1" ht="20.25" customHeight="1">
      <c r="A5" s="334"/>
      <c r="B5" s="269"/>
      <c r="C5" s="226"/>
      <c r="D5" s="226"/>
      <c r="E5" s="226"/>
      <c r="F5" s="216"/>
      <c r="G5" s="213"/>
      <c r="H5" s="215"/>
      <c r="I5" s="111"/>
      <c r="J5" s="111"/>
      <c r="K5" s="111"/>
      <c r="L5" s="111"/>
      <c r="M5" s="111"/>
      <c r="N5" s="111"/>
      <c r="O5" s="111"/>
      <c r="P5" s="111"/>
      <c r="Q5" s="111"/>
      <c r="R5" s="111"/>
      <c r="S5" s="111"/>
      <c r="T5" s="111"/>
      <c r="U5" s="111"/>
      <c r="V5" s="111"/>
      <c r="W5" s="111"/>
      <c r="X5" s="111"/>
      <c r="Y5" s="111"/>
      <c r="Z5" s="111"/>
      <c r="AA5" s="111"/>
      <c r="AB5" s="111"/>
    </row>
    <row r="6" spans="1:28" ht="12.75">
      <c r="A6" s="221" t="s">
        <v>582</v>
      </c>
      <c r="B6" s="809">
        <v>44561</v>
      </c>
      <c r="C6" s="809">
        <v>44196</v>
      </c>
      <c r="D6" s="215"/>
      <c r="E6" s="215"/>
      <c r="F6" s="216"/>
      <c r="G6" s="213"/>
      <c r="H6" s="215"/>
      <c r="Z6" s="111"/>
      <c r="AA6" s="111"/>
      <c r="AB6" s="111"/>
    </row>
    <row r="7" spans="1:28" ht="15" customHeight="1">
      <c r="A7" s="216" t="s">
        <v>861</v>
      </c>
      <c r="B7" s="228">
        <v>17679496057</v>
      </c>
      <c r="C7" s="1144">
        <v>7930098820</v>
      </c>
      <c r="D7" s="215"/>
      <c r="E7" s="215"/>
      <c r="F7" s="216"/>
      <c r="G7" s="213"/>
      <c r="H7" s="215"/>
      <c r="Z7" s="111"/>
      <c r="AA7" s="111"/>
      <c r="AB7" s="111"/>
    </row>
    <row r="8" spans="1:28" ht="15" customHeight="1">
      <c r="A8" s="216" t="s">
        <v>861</v>
      </c>
      <c r="B8" s="228">
        <v>-24392173</v>
      </c>
      <c r="C8" s="1144">
        <v>-5662165996</v>
      </c>
      <c r="D8" s="215"/>
      <c r="E8" s="215"/>
      <c r="F8" s="216"/>
      <c r="G8" s="213"/>
      <c r="H8" s="215"/>
      <c r="Z8" s="111"/>
      <c r="AA8" s="111"/>
      <c r="AB8" s="111"/>
    </row>
    <row r="9" spans="1:28" s="895" customFormat="1" ht="14.25" customHeight="1">
      <c r="A9" s="216" t="s">
        <v>873</v>
      </c>
      <c r="B9" s="228">
        <v>0</v>
      </c>
      <c r="C9" s="1144">
        <v>232454521</v>
      </c>
      <c r="D9" s="215"/>
      <c r="E9" s="215"/>
      <c r="F9" s="216"/>
      <c r="G9" s="213"/>
      <c r="H9" s="215"/>
      <c r="I9" s="111"/>
      <c r="J9" s="111"/>
      <c r="K9" s="111"/>
      <c r="L9" s="111"/>
      <c r="M9" s="111"/>
      <c r="N9" s="111"/>
      <c r="O9" s="111"/>
      <c r="P9" s="111"/>
      <c r="Q9" s="111"/>
      <c r="R9" s="111"/>
      <c r="S9" s="111"/>
      <c r="T9" s="111"/>
      <c r="U9" s="111"/>
      <c r="V9" s="111"/>
      <c r="W9" s="111"/>
      <c r="X9" s="111"/>
      <c r="Y9" s="111"/>
      <c r="Z9" s="111"/>
      <c r="AA9" s="111"/>
      <c r="AB9" s="111"/>
    </row>
    <row r="10" spans="1:28" ht="12.75" thickBot="1">
      <c r="A10" s="217" t="s">
        <v>1</v>
      </c>
      <c r="B10" s="898">
        <f>SUM(B7:B9)</f>
        <v>17655103884</v>
      </c>
      <c r="C10" s="898">
        <f>SUM(C7:C9)</f>
        <v>2500387345</v>
      </c>
      <c r="D10" s="215"/>
      <c r="E10" s="215"/>
      <c r="F10" s="216"/>
      <c r="G10" s="213"/>
      <c r="H10" s="215"/>
      <c r="Z10" s="111"/>
      <c r="AA10" s="111"/>
      <c r="AB10" s="111"/>
    </row>
    <row r="11" spans="1:28" ht="12.75" thickTop="1">
      <c r="A11" s="111" t="s">
        <v>705</v>
      </c>
    </row>
  </sheetData>
  <hyperlinks>
    <hyperlink ref="B1" location="ER!A1" display="ER" xr:uid="{4721A9E2-2A11-4238-B663-382B6C3DE7E8}"/>
  </hyperlinks>
  <pageMargins left="0.7" right="0.7" top="0.75" bottom="0.75" header="0.3" footer="0.3"/>
  <pageSetup paperSize="9" orientation="portrait" r:id="rId1"/>
  <ignoredErrors>
    <ignoredError sqref="B10:C10" formulaRange="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6"/>
  <dimension ref="A1:V13"/>
  <sheetViews>
    <sheetView showGridLines="0" workbookViewId="0"/>
  </sheetViews>
  <sheetFormatPr baseColWidth="10" defaultRowHeight="15"/>
  <cols>
    <col min="1" max="1" width="38" style="12" customWidth="1"/>
    <col min="2" max="2" width="18.42578125" style="12" customWidth="1"/>
    <col min="3" max="3" width="17.7109375" style="12" customWidth="1"/>
    <col min="4" max="4" width="0.28515625" style="12" customWidth="1"/>
    <col min="5" max="5" width="11.42578125" style="12" hidden="1" customWidth="1"/>
    <col min="6" max="22" width="11.42578125" style="12"/>
  </cols>
  <sheetData>
    <row r="1" spans="1:22" ht="18.75" customHeight="1">
      <c r="A1" s="277" t="str">
        <f>Indice!C1</f>
        <v>NICOLAS GONZALEZ ODDONE S.A.E.C.A</v>
      </c>
      <c r="B1" s="932" t="s">
        <v>84</v>
      </c>
      <c r="C1" s="374"/>
      <c r="E1" s="19"/>
    </row>
    <row r="3" spans="1:22" ht="17.25" customHeight="1">
      <c r="A3" s="281" t="s">
        <v>200</v>
      </c>
      <c r="B3" s="281"/>
      <c r="C3" s="281"/>
      <c r="D3" s="64"/>
      <c r="E3" s="64"/>
      <c r="F3" s="23"/>
      <c r="G3" s="26"/>
      <c r="H3" s="24"/>
    </row>
    <row r="4" spans="1:22">
      <c r="A4" s="1271" t="s">
        <v>144</v>
      </c>
      <c r="B4" s="1271"/>
      <c r="C4" s="24"/>
      <c r="D4" s="24"/>
      <c r="E4" s="24"/>
      <c r="F4" s="23"/>
      <c r="G4" s="26"/>
      <c r="H4" s="24"/>
    </row>
    <row r="5" spans="1:22" s="44" customFormat="1" ht="23.25">
      <c r="A5" s="334" t="s">
        <v>613</v>
      </c>
      <c r="B5" s="1272"/>
      <c r="C5" s="1272"/>
      <c r="D5" s="24"/>
      <c r="E5" s="24"/>
      <c r="F5" s="23"/>
      <c r="G5" s="26"/>
      <c r="H5" s="24"/>
      <c r="I5" s="12"/>
      <c r="J5" s="12"/>
      <c r="K5" s="12"/>
      <c r="L5" s="12"/>
      <c r="M5" s="12"/>
      <c r="N5" s="12"/>
      <c r="O5" s="12"/>
      <c r="P5" s="12"/>
      <c r="Q5" s="12"/>
      <c r="R5" s="12"/>
      <c r="S5" s="12"/>
      <c r="T5" s="12"/>
      <c r="U5" s="12"/>
      <c r="V5" s="12"/>
    </row>
    <row r="6" spans="1:22">
      <c r="A6" s="23"/>
      <c r="D6" s="24"/>
      <c r="E6" s="24"/>
      <c r="F6" s="23"/>
      <c r="G6" s="26"/>
      <c r="H6" s="24"/>
    </row>
    <row r="7" spans="1:22">
      <c r="A7" s="27" t="s">
        <v>94</v>
      </c>
      <c r="B7" s="813">
        <v>44561</v>
      </c>
      <c r="C7" s="813">
        <v>44196</v>
      </c>
      <c r="D7" s="24"/>
      <c r="E7" s="24"/>
      <c r="F7" s="23"/>
      <c r="G7" s="26"/>
      <c r="H7" s="24"/>
    </row>
    <row r="8" spans="1:22">
      <c r="A8" s="23" t="s">
        <v>88</v>
      </c>
      <c r="B8" s="459"/>
      <c r="C8" s="459"/>
      <c r="D8" s="24"/>
      <c r="E8" s="24"/>
      <c r="F8" s="23"/>
      <c r="G8" s="26"/>
      <c r="H8" s="24"/>
    </row>
    <row r="9" spans="1:22">
      <c r="A9" s="23"/>
      <c r="B9" s="459"/>
      <c r="C9" s="459"/>
      <c r="D9" s="24"/>
      <c r="E9" s="24"/>
      <c r="F9" s="23"/>
      <c r="G9" s="26"/>
      <c r="H9" s="24"/>
    </row>
    <row r="10" spans="1:22" ht="6" customHeight="1">
      <c r="A10" s="23"/>
      <c r="B10" s="460"/>
      <c r="C10" s="459"/>
      <c r="D10" s="24"/>
      <c r="E10" s="24"/>
      <c r="F10" s="23"/>
      <c r="G10" s="26"/>
      <c r="H10" s="24"/>
    </row>
    <row r="11" spans="1:22" ht="6" customHeight="1">
      <c r="A11" s="23"/>
      <c r="B11" s="460"/>
      <c r="C11" s="459"/>
      <c r="D11" s="24"/>
      <c r="E11" s="24"/>
      <c r="F11" s="23"/>
      <c r="G11" s="26"/>
      <c r="H11" s="24"/>
    </row>
    <row r="12" spans="1:22">
      <c r="A12" s="27" t="s">
        <v>1</v>
      </c>
      <c r="B12" s="461">
        <v>0</v>
      </c>
      <c r="C12" s="461">
        <v>0</v>
      </c>
      <c r="D12" s="24"/>
      <c r="E12" s="24"/>
      <c r="F12" s="23"/>
      <c r="G12" s="26"/>
      <c r="H12" s="24"/>
    </row>
    <row r="13" spans="1:22">
      <c r="A13" s="23"/>
      <c r="B13" s="25"/>
      <c r="C13" s="24"/>
      <c r="D13" s="24"/>
      <c r="E13" s="24"/>
      <c r="F13" s="23"/>
      <c r="G13" s="26"/>
      <c r="H13" s="24"/>
    </row>
  </sheetData>
  <mergeCells count="2">
    <mergeCell ref="A4:B4"/>
    <mergeCell ref="B5:C5"/>
  </mergeCells>
  <hyperlinks>
    <hyperlink ref="B1" location="ER!A1" display="ER" xr:uid="{1B921F63-D0C2-47CF-90BC-B5B6E3E2C115}"/>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7"/>
  <dimension ref="A1:Z17"/>
  <sheetViews>
    <sheetView showGridLines="0" workbookViewId="0">
      <selection activeCell="B1" sqref="B1"/>
    </sheetView>
  </sheetViews>
  <sheetFormatPr baseColWidth="10" defaultColWidth="11.42578125" defaultRowHeight="12"/>
  <cols>
    <col min="1" max="1" width="35.140625" style="111" customWidth="1"/>
    <col min="2" max="2" width="16" style="111" customWidth="1"/>
    <col min="3" max="3" width="15.7109375" style="111" customWidth="1"/>
    <col min="4" max="4" width="1.7109375" style="111" customWidth="1"/>
    <col min="5" max="5" width="11.42578125" style="111" hidden="1" customWidth="1"/>
    <col min="6" max="26" width="11.42578125" style="111"/>
    <col min="27" max="16384" width="11.42578125" style="208"/>
  </cols>
  <sheetData>
    <row r="1" spans="1:26" ht="18" customHeight="1">
      <c r="A1" s="277" t="str">
        <f>Indice!C1</f>
        <v>NICOLAS GONZALEZ ODDONE S.A.E.C.A</v>
      </c>
      <c r="B1" s="920" t="s">
        <v>84</v>
      </c>
      <c r="C1" s="288"/>
      <c r="E1" s="115"/>
    </row>
    <row r="3" spans="1:26" ht="16.5" customHeight="1">
      <c r="A3" s="308" t="s">
        <v>202</v>
      </c>
      <c r="B3" s="308"/>
      <c r="C3" s="308"/>
      <c r="D3" s="308"/>
      <c r="E3" s="308"/>
      <c r="F3" s="216"/>
      <c r="G3" s="213"/>
    </row>
    <row r="4" spans="1:26">
      <c r="A4" s="933" t="s">
        <v>133</v>
      </c>
      <c r="B4" s="214"/>
      <c r="C4" s="215"/>
      <c r="D4" s="215"/>
      <c r="E4" s="215"/>
      <c r="F4" s="216"/>
      <c r="G4" s="213"/>
    </row>
    <row r="5" spans="1:26">
      <c r="A5" s="216"/>
      <c r="B5" s="1273"/>
      <c r="C5" s="1273"/>
      <c r="D5" s="215"/>
      <c r="E5" s="215"/>
      <c r="F5" s="216"/>
      <c r="G5" s="213"/>
    </row>
    <row r="6" spans="1:26" ht="12" customHeight="1">
      <c r="A6" s="196" t="s">
        <v>337</v>
      </c>
      <c r="B6" s="813">
        <v>44561</v>
      </c>
      <c r="C6" s="813">
        <v>44196</v>
      </c>
      <c r="D6" s="215"/>
      <c r="E6" s="215"/>
      <c r="F6" s="216"/>
      <c r="G6" s="213"/>
    </row>
    <row r="7" spans="1:26">
      <c r="A7" s="216" t="s">
        <v>839</v>
      </c>
      <c r="B7" s="228">
        <v>10935554303</v>
      </c>
      <c r="C7" s="1144">
        <v>11671341493</v>
      </c>
      <c r="D7" s="215"/>
      <c r="E7" s="215"/>
      <c r="F7" s="216"/>
      <c r="G7" s="213"/>
    </row>
    <row r="8" spans="1:26" s="531" customFormat="1" hidden="1">
      <c r="A8" s="216" t="s">
        <v>737</v>
      </c>
      <c r="B8" s="228">
        <v>0</v>
      </c>
      <c r="C8" s="228">
        <v>0</v>
      </c>
      <c r="D8" s="215"/>
      <c r="E8" s="215"/>
      <c r="F8" s="216"/>
      <c r="G8" s="213"/>
      <c r="H8" s="111"/>
      <c r="I8" s="111"/>
      <c r="J8" s="111"/>
      <c r="K8" s="111"/>
      <c r="L8" s="111"/>
      <c r="M8" s="111"/>
      <c r="N8" s="111"/>
      <c r="O8" s="111"/>
      <c r="P8" s="111"/>
      <c r="Q8" s="111"/>
      <c r="R8" s="111"/>
      <c r="S8" s="111"/>
      <c r="T8" s="111"/>
      <c r="U8" s="111"/>
      <c r="V8" s="111"/>
      <c r="W8" s="111"/>
      <c r="X8" s="111"/>
      <c r="Y8" s="111"/>
      <c r="Z8" s="111"/>
    </row>
    <row r="9" spans="1:26" ht="12.75" thickBot="1">
      <c r="A9" s="217" t="s">
        <v>1</v>
      </c>
      <c r="B9" s="385">
        <f>SUM($B7:B8)</f>
        <v>10935554303</v>
      </c>
      <c r="C9" s="385">
        <f>SUM($C7:C8)</f>
        <v>11671341493</v>
      </c>
      <c r="D9" s="215"/>
      <c r="E9" s="215"/>
      <c r="F9" s="216"/>
      <c r="G9" s="213"/>
    </row>
    <row r="10" spans="1:26" ht="12.75" thickTop="1">
      <c r="A10" s="216"/>
      <c r="B10" s="386"/>
      <c r="C10" s="387"/>
      <c r="D10" s="215"/>
      <c r="E10" s="215"/>
      <c r="F10" s="216"/>
      <c r="G10" s="213"/>
    </row>
    <row r="17" spans="2:2">
      <c r="B17" s="112"/>
    </row>
  </sheetData>
  <mergeCells count="1">
    <mergeCell ref="B5:C5"/>
  </mergeCells>
  <hyperlinks>
    <hyperlink ref="B1" location="ER!A1" display="ER" xr:uid="{0F323118-64F0-42C6-A220-C0A0E7EAE9CD}"/>
  </hyperlinks>
  <pageMargins left="0.7" right="0.7" top="0.75" bottom="0.75" header="0.3" footer="0.3"/>
  <ignoredErrors>
    <ignoredError sqref="B9:C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Z48"/>
  <sheetViews>
    <sheetView showGridLines="0" topLeftCell="B10" zoomScale="80" zoomScaleNormal="80" workbookViewId="0">
      <selection activeCell="V25" sqref="V25"/>
    </sheetView>
  </sheetViews>
  <sheetFormatPr baseColWidth="10" defaultColWidth="11.42578125" defaultRowHeight="12.75"/>
  <cols>
    <col min="1" max="1" width="42.7109375" style="356" customWidth="1"/>
    <col min="2" max="2" width="0.85546875" style="356" customWidth="1"/>
    <col min="3" max="3" width="23" style="1180" customWidth="1"/>
    <col min="4" max="4" width="1.140625" style="366" customWidth="1"/>
    <col min="5" max="5" width="19.85546875" style="370" customWidth="1"/>
    <col min="6" max="6" width="1.7109375" style="370" customWidth="1"/>
    <col min="7" max="7" width="19.42578125" style="366" customWidth="1"/>
    <col min="8" max="8" width="0.85546875" style="370" customWidth="1"/>
    <col min="9" max="9" width="18.85546875" style="366" customWidth="1"/>
    <col min="10" max="10" width="1" style="370" customWidth="1"/>
    <col min="11" max="11" width="20" style="366" customWidth="1"/>
    <col min="12" max="12" width="0.85546875" style="366" customWidth="1"/>
    <col min="13" max="13" width="20" style="366" customWidth="1"/>
    <col min="14" max="14" width="3.42578125" style="370" customWidth="1"/>
    <col min="15" max="15" width="18.42578125" style="366" customWidth="1"/>
    <col min="16" max="16" width="0.7109375" style="370" customWidth="1"/>
    <col min="17" max="17" width="22.42578125" style="370" customWidth="1"/>
    <col min="18" max="19" width="0.85546875" style="370" customWidth="1"/>
    <col min="20" max="20" width="19.7109375" style="366" customWidth="1"/>
    <col min="21" max="21" width="1" style="367" customWidth="1"/>
    <col min="22" max="22" width="19.140625" style="362" customWidth="1"/>
    <col min="23" max="23" width="0.85546875" style="356" customWidth="1"/>
    <col min="24" max="24" width="0.140625" style="356" hidden="1" customWidth="1"/>
    <col min="25" max="25" width="22.42578125" style="741" customWidth="1"/>
    <col min="26" max="26" width="17.85546875" style="356" customWidth="1"/>
    <col min="27" max="16384" width="11.42578125" style="356"/>
  </cols>
  <sheetData>
    <row r="1" spans="1:26" ht="26.25" customHeight="1">
      <c r="A1" s="1223" t="str">
        <f>Indice!C1</f>
        <v>NICOLAS GONZALEZ ODDONE S.A.E.C.A</v>
      </c>
      <c r="B1" s="1223"/>
      <c r="C1" s="1223"/>
      <c r="D1" s="1223"/>
      <c r="E1" s="1223"/>
      <c r="I1" s="393" t="s">
        <v>234</v>
      </c>
    </row>
    <row r="3" spans="1:26">
      <c r="A3" s="522"/>
      <c r="B3" s="522"/>
      <c r="C3" s="1169"/>
      <c r="D3" s="272"/>
      <c r="E3" s="394"/>
      <c r="F3" s="394"/>
      <c r="G3" s="272"/>
      <c r="H3" s="394"/>
      <c r="I3" s="272"/>
      <c r="J3" s="394"/>
      <c r="K3" s="272"/>
      <c r="L3" s="272"/>
      <c r="M3" s="272"/>
      <c r="N3" s="394"/>
      <c r="O3" s="272"/>
      <c r="P3" s="394"/>
      <c r="Q3" s="394"/>
      <c r="R3" s="394"/>
      <c r="S3" s="394"/>
      <c r="T3" s="272"/>
      <c r="W3" s="361"/>
    </row>
    <row r="4" spans="1:26" ht="18">
      <c r="A4" s="522"/>
      <c r="B4" s="395"/>
      <c r="C4" s="1170"/>
      <c r="D4" s="395"/>
      <c r="E4" s="395"/>
      <c r="F4" s="395"/>
      <c r="G4" s="1047" t="s">
        <v>300</v>
      </c>
      <c r="H4" s="1047"/>
      <c r="I4" s="1047"/>
      <c r="J4" s="1047"/>
      <c r="K4" s="1047"/>
      <c r="L4" s="395"/>
      <c r="M4" s="395"/>
      <c r="N4" s="395"/>
      <c r="O4" s="395"/>
      <c r="P4" s="395"/>
      <c r="Q4" s="395"/>
      <c r="R4" s="395"/>
      <c r="S4" s="395"/>
      <c r="T4" s="395"/>
      <c r="U4" s="369"/>
      <c r="W4" s="361"/>
    </row>
    <row r="5" spans="1:26" ht="18">
      <c r="A5" s="395"/>
      <c r="B5" s="395"/>
      <c r="C5" s="1170"/>
      <c r="D5" s="395"/>
      <c r="E5" s="395"/>
      <c r="F5" s="395"/>
      <c r="G5" s="1048" t="s">
        <v>1047</v>
      </c>
      <c r="H5" s="1047"/>
      <c r="I5" s="1047"/>
      <c r="J5" s="1047"/>
      <c r="K5" s="1047"/>
      <c r="L5" s="395"/>
      <c r="M5" s="395"/>
      <c r="N5" s="395"/>
      <c r="O5" s="395"/>
      <c r="P5" s="395"/>
      <c r="Q5" s="395"/>
      <c r="R5" s="395"/>
      <c r="S5" s="395"/>
      <c r="T5" s="395"/>
      <c r="U5" s="369"/>
      <c r="W5" s="361"/>
    </row>
    <row r="6" spans="1:26" ht="14.25">
      <c r="A6" s="1219" t="s">
        <v>167</v>
      </c>
      <c r="B6" s="1219"/>
      <c r="C6" s="1219"/>
      <c r="D6" s="1219"/>
      <c r="E6" s="1219"/>
      <c r="F6" s="1219"/>
      <c r="G6" s="1219"/>
      <c r="H6" s="1219"/>
      <c r="I6" s="1219"/>
      <c r="J6" s="1219"/>
      <c r="K6" s="1219"/>
      <c r="L6" s="1219"/>
      <c r="M6" s="1219"/>
      <c r="N6" s="1219"/>
      <c r="O6" s="1219"/>
      <c r="P6" s="1219"/>
      <c r="Q6" s="1219"/>
      <c r="R6" s="1219"/>
      <c r="S6" s="1219"/>
      <c r="T6" s="1219"/>
      <c r="U6" s="377"/>
      <c r="W6" s="361"/>
    </row>
    <row r="7" spans="1:26" ht="14.25">
      <c r="A7" s="1219" t="s">
        <v>152</v>
      </c>
      <c r="B7" s="1219"/>
      <c r="C7" s="1219"/>
      <c r="D7" s="1219"/>
      <c r="E7" s="1219"/>
      <c r="F7" s="1219"/>
      <c r="G7" s="1219"/>
      <c r="H7" s="1219"/>
      <c r="I7" s="1219"/>
      <c r="J7" s="1219"/>
      <c r="K7" s="1219"/>
      <c r="L7" s="1219"/>
      <c r="M7" s="1219"/>
      <c r="N7" s="1219"/>
      <c r="O7" s="1219"/>
      <c r="P7" s="1219"/>
      <c r="Q7" s="1219"/>
      <c r="R7" s="1219"/>
      <c r="S7" s="1219"/>
      <c r="T7" s="1219"/>
      <c r="U7" s="377"/>
      <c r="W7" s="361"/>
    </row>
    <row r="8" spans="1:26" ht="14.25">
      <c r="A8" s="377"/>
      <c r="B8" s="377"/>
      <c r="C8" s="1171"/>
      <c r="D8" s="377"/>
      <c r="E8" s="377"/>
      <c r="F8" s="377"/>
      <c r="G8" s="377"/>
      <c r="H8" s="377"/>
      <c r="I8" s="377"/>
      <c r="J8" s="377"/>
      <c r="K8" s="377"/>
      <c r="L8" s="377"/>
      <c r="M8" s="377"/>
      <c r="N8" s="377"/>
      <c r="O8" s="377"/>
      <c r="P8" s="377"/>
      <c r="Q8" s="377"/>
      <c r="R8" s="377"/>
      <c r="S8" s="377"/>
      <c r="T8" s="377"/>
      <c r="U8" s="377"/>
      <c r="W8" s="361"/>
    </row>
    <row r="9" spans="1:26">
      <c r="A9" s="525"/>
      <c r="B9" s="525"/>
      <c r="C9" s="1172"/>
      <c r="D9" s="525"/>
      <c r="E9" s="525"/>
      <c r="F9" s="525"/>
      <c r="G9" s="525"/>
      <c r="H9" s="525"/>
      <c r="I9" s="525"/>
      <c r="J9" s="525"/>
      <c r="K9" s="525"/>
      <c r="L9" s="889"/>
      <c r="M9" s="889"/>
      <c r="N9" s="525"/>
      <c r="O9" s="525"/>
      <c r="P9" s="525"/>
      <c r="Q9" s="525"/>
      <c r="R9" s="525"/>
      <c r="S9" s="525"/>
      <c r="T9" s="525"/>
      <c r="U9" s="525"/>
      <c r="V9" s="396"/>
      <c r="W9" s="361"/>
    </row>
    <row r="10" spans="1:26" ht="30" customHeight="1">
      <c r="A10" s="523"/>
      <c r="B10" s="523"/>
      <c r="C10" s="1220" t="s">
        <v>158</v>
      </c>
      <c r="D10" s="1220"/>
      <c r="E10" s="1220"/>
      <c r="F10" s="1220"/>
      <c r="G10" s="1220"/>
      <c r="H10" s="523"/>
      <c r="I10" s="523"/>
      <c r="J10" s="523"/>
      <c r="K10" s="523"/>
      <c r="L10" s="886"/>
      <c r="M10" s="886"/>
      <c r="N10" s="523"/>
      <c r="O10" s="1220" t="s">
        <v>265</v>
      </c>
      <c r="P10" s="1220"/>
      <c r="Q10" s="1220"/>
      <c r="R10" s="1220"/>
      <c r="S10" s="1220"/>
      <c r="T10" s="1220"/>
      <c r="U10" s="1220"/>
      <c r="V10" s="1220"/>
      <c r="W10" s="361"/>
    </row>
    <row r="11" spans="1:26" ht="28.5" customHeight="1">
      <c r="A11" s="1218"/>
      <c r="B11" s="522"/>
      <c r="C11" s="1216" t="s">
        <v>55</v>
      </c>
      <c r="D11" s="397"/>
      <c r="E11" s="1221" t="s">
        <v>608</v>
      </c>
      <c r="F11" s="398"/>
      <c r="G11" s="1221" t="s">
        <v>56</v>
      </c>
      <c r="H11" s="398"/>
      <c r="I11" s="1221" t="s">
        <v>31</v>
      </c>
      <c r="J11" s="398"/>
      <c r="K11" s="1221" t="s">
        <v>57</v>
      </c>
      <c r="L11" s="398"/>
      <c r="M11" s="888" t="s">
        <v>844</v>
      </c>
      <c r="N11" s="398"/>
      <c r="O11" s="1221" t="s">
        <v>58</v>
      </c>
      <c r="P11" s="398"/>
      <c r="Q11" s="1221" t="s">
        <v>609</v>
      </c>
      <c r="R11" s="398"/>
      <c r="S11" s="398"/>
      <c r="T11" s="1221" t="s">
        <v>32</v>
      </c>
      <c r="U11" s="399"/>
      <c r="V11" s="1221" t="s">
        <v>610</v>
      </c>
      <c r="W11" s="1224" t="s">
        <v>59</v>
      </c>
      <c r="X11" s="371"/>
      <c r="Y11" s="1215" t="s">
        <v>1</v>
      </c>
    </row>
    <row r="12" spans="1:26" ht="24" customHeight="1">
      <c r="A12" s="1218"/>
      <c r="B12" s="522"/>
      <c r="C12" s="1217"/>
      <c r="D12" s="397"/>
      <c r="E12" s="1222"/>
      <c r="F12" s="398"/>
      <c r="G12" s="1222"/>
      <c r="H12" s="398"/>
      <c r="I12" s="1222"/>
      <c r="J12" s="398"/>
      <c r="K12" s="1222"/>
      <c r="L12" s="398"/>
      <c r="M12" s="887" t="s">
        <v>845</v>
      </c>
      <c r="N12" s="398"/>
      <c r="O12" s="1222"/>
      <c r="P12" s="398"/>
      <c r="Q12" s="1222"/>
      <c r="R12" s="398"/>
      <c r="S12" s="398"/>
      <c r="T12" s="1222" t="s">
        <v>1</v>
      </c>
      <c r="U12" s="415"/>
      <c r="V12" s="1222" t="s">
        <v>1</v>
      </c>
      <c r="W12" s="1224"/>
      <c r="X12" s="371"/>
      <c r="Y12" s="1215"/>
    </row>
    <row r="13" spans="1:26" ht="3" customHeight="1">
      <c r="A13" s="522"/>
      <c r="B13" s="522"/>
      <c r="C13" s="1169"/>
      <c r="D13" s="272"/>
      <c r="E13" s="394"/>
      <c r="F13" s="394"/>
      <c r="G13" s="272"/>
      <c r="H13" s="394"/>
      <c r="I13" s="272"/>
      <c r="J13" s="394"/>
      <c r="K13" s="272"/>
      <c r="L13" s="394"/>
      <c r="M13" s="272"/>
      <c r="N13" s="394"/>
      <c r="O13" s="272"/>
      <c r="P13" s="394"/>
      <c r="Q13" s="394"/>
      <c r="R13" s="394"/>
      <c r="S13" s="394"/>
      <c r="T13" s="272"/>
      <c r="U13" s="87"/>
      <c r="V13" s="396"/>
      <c r="W13" s="361"/>
    </row>
    <row r="14" spans="1:26" ht="13.5" customHeight="1">
      <c r="A14" s="282" t="s">
        <v>952</v>
      </c>
      <c r="B14" s="395"/>
      <c r="C14" s="1173">
        <v>635041900000</v>
      </c>
      <c r="D14" s="272"/>
      <c r="E14" s="322">
        <v>-144200000</v>
      </c>
      <c r="F14" s="394"/>
      <c r="G14" s="322">
        <v>8329302000</v>
      </c>
      <c r="H14" s="394"/>
      <c r="I14" s="322">
        <v>91567541041</v>
      </c>
      <c r="J14" s="394"/>
      <c r="K14" s="322">
        <v>87405000939</v>
      </c>
      <c r="L14" s="394"/>
      <c r="M14" s="322">
        <v>-47385000</v>
      </c>
      <c r="N14" s="394"/>
      <c r="O14" s="322">
        <v>46478390374</v>
      </c>
      <c r="P14" s="394"/>
      <c r="Q14" s="322">
        <v>34528344662</v>
      </c>
      <c r="R14" s="394"/>
      <c r="S14" s="394"/>
      <c r="T14" s="322">
        <v>0</v>
      </c>
      <c r="U14" s="400"/>
      <c r="V14" s="322">
        <v>74406096363</v>
      </c>
      <c r="W14" s="389">
        <v>0</v>
      </c>
      <c r="X14" s="416"/>
      <c r="Y14" s="322">
        <f>+C14+E14+G14+I14+K14+O14+Q14+T14+W14+V14+M14</f>
        <v>977564990379</v>
      </c>
      <c r="Z14" s="363"/>
    </row>
    <row r="15" spans="1:26">
      <c r="A15" s="522" t="s">
        <v>606</v>
      </c>
      <c r="B15" s="522"/>
      <c r="C15" s="1169"/>
      <c r="D15" s="272"/>
      <c r="E15" s="394"/>
      <c r="F15" s="394"/>
      <c r="G15" s="272"/>
      <c r="H15" s="394"/>
      <c r="I15" s="272"/>
      <c r="J15" s="394"/>
      <c r="K15" s="272"/>
      <c r="L15" s="394"/>
      <c r="M15" s="272"/>
      <c r="N15" s="394"/>
      <c r="O15" s="272"/>
      <c r="P15" s="394"/>
      <c r="Q15" s="272"/>
      <c r="R15" s="394"/>
      <c r="S15" s="394"/>
      <c r="T15" s="272"/>
      <c r="U15" s="87"/>
      <c r="V15" s="396"/>
      <c r="W15" s="388"/>
      <c r="X15" s="416"/>
      <c r="Y15" s="394"/>
      <c r="Z15" s="362"/>
    </row>
    <row r="16" spans="1:26">
      <c r="A16" s="282" t="s">
        <v>54</v>
      </c>
      <c r="B16" s="522"/>
      <c r="C16" s="1173">
        <f>+C14</f>
        <v>635041900000</v>
      </c>
      <c r="D16" s="272"/>
      <c r="E16" s="322">
        <f>+E14</f>
        <v>-144200000</v>
      </c>
      <c r="F16" s="394"/>
      <c r="G16" s="322">
        <f>+G14</f>
        <v>8329302000</v>
      </c>
      <c r="H16" s="394"/>
      <c r="I16" s="322">
        <f>+I14</f>
        <v>91567541041</v>
      </c>
      <c r="J16" s="394"/>
      <c r="K16" s="322">
        <f>+K14</f>
        <v>87405000939</v>
      </c>
      <c r="L16" s="394"/>
      <c r="M16" s="322">
        <f>+M14</f>
        <v>-47385000</v>
      </c>
      <c r="N16" s="394"/>
      <c r="O16" s="322">
        <f>+O14</f>
        <v>46478390374</v>
      </c>
      <c r="P16" s="394"/>
      <c r="Q16" s="322">
        <f>+Q14</f>
        <v>34528344662</v>
      </c>
      <c r="R16" s="394"/>
      <c r="S16" s="394"/>
      <c r="T16" s="322">
        <f>+T14</f>
        <v>0</v>
      </c>
      <c r="U16" s="400"/>
      <c r="V16" s="322">
        <f>+V14</f>
        <v>74406096363</v>
      </c>
      <c r="W16" s="389">
        <f>+W14</f>
        <v>0</v>
      </c>
      <c r="X16" s="362"/>
      <c r="Y16" s="322">
        <f>+C16+E16+G16+I16+K16+O16+Q16+T16+W16+V16+M16</f>
        <v>977564990379</v>
      </c>
      <c r="Z16" s="362"/>
    </row>
    <row r="17" spans="1:26" s="870" customFormat="1" ht="24">
      <c r="A17" s="1071" t="s">
        <v>994</v>
      </c>
      <c r="B17" s="1070"/>
      <c r="C17" s="1174">
        <v>0</v>
      </c>
      <c r="D17" s="87"/>
      <c r="E17" s="87">
        <v>0</v>
      </c>
      <c r="F17" s="1072"/>
      <c r="G17" s="87">
        <v>0</v>
      </c>
      <c r="H17" s="1072"/>
      <c r="I17" s="87">
        <v>0</v>
      </c>
      <c r="J17" s="1072"/>
      <c r="K17" s="87">
        <v>0</v>
      </c>
      <c r="L17" s="87"/>
      <c r="M17" s="87">
        <v>0</v>
      </c>
      <c r="N17" s="1072"/>
      <c r="O17" s="87">
        <v>3720304818</v>
      </c>
      <c r="P17" s="1072">
        <v>0</v>
      </c>
      <c r="Q17" s="87">
        <v>45592335547</v>
      </c>
      <c r="R17" s="1072"/>
      <c r="S17" s="1072"/>
      <c r="T17" s="87">
        <f>-O17-Q17</f>
        <v>-49312640365</v>
      </c>
      <c r="U17" s="87"/>
      <c r="V17" s="87">
        <v>0</v>
      </c>
      <c r="W17" s="1076"/>
      <c r="Y17" s="403">
        <f>SUM(C17:V17)</f>
        <v>0</v>
      </c>
    </row>
    <row r="18" spans="1:26">
      <c r="A18" s="401" t="s">
        <v>725</v>
      </c>
      <c r="B18" s="522"/>
      <c r="C18" s="1169">
        <v>0</v>
      </c>
      <c r="D18" s="272"/>
      <c r="E18" s="272">
        <v>0</v>
      </c>
      <c r="F18" s="394"/>
      <c r="G18" s="272">
        <v>0</v>
      </c>
      <c r="H18" s="394"/>
      <c r="I18" s="272">
        <v>0</v>
      </c>
      <c r="J18" s="394"/>
      <c r="K18" s="272">
        <v>0</v>
      </c>
      <c r="L18" s="272"/>
      <c r="M18" s="272">
        <v>0</v>
      </c>
      <c r="N18" s="394"/>
      <c r="O18" s="272">
        <v>0</v>
      </c>
      <c r="P18" s="394"/>
      <c r="Q18" s="272">
        <v>0</v>
      </c>
      <c r="R18" s="394"/>
      <c r="S18" s="394"/>
      <c r="T18" s="272">
        <v>-25093455998</v>
      </c>
      <c r="U18" s="87"/>
      <c r="V18" s="272">
        <v>0</v>
      </c>
      <c r="W18" s="361"/>
      <c r="Y18" s="403">
        <f>SUM(C18:V18)</f>
        <v>-25093455998</v>
      </c>
    </row>
    <row r="19" spans="1:26">
      <c r="A19" s="401" t="s">
        <v>607</v>
      </c>
      <c r="B19" s="522"/>
      <c r="C19" s="1169">
        <v>0</v>
      </c>
      <c r="D19" s="272"/>
      <c r="E19" s="272">
        <v>0</v>
      </c>
      <c r="F19" s="394"/>
      <c r="G19" s="272">
        <v>0</v>
      </c>
      <c r="H19" s="394"/>
      <c r="I19" s="272">
        <v>0</v>
      </c>
      <c r="J19" s="394"/>
      <c r="K19" s="272">
        <v>0</v>
      </c>
      <c r="L19" s="272"/>
      <c r="M19" s="272">
        <v>0</v>
      </c>
      <c r="N19" s="394"/>
      <c r="O19" s="272">
        <v>0</v>
      </c>
      <c r="P19" s="394"/>
      <c r="Q19" s="272">
        <v>0</v>
      </c>
      <c r="R19" s="394"/>
      <c r="S19" s="394"/>
      <c r="T19" s="272">
        <v>74406096363</v>
      </c>
      <c r="U19" s="87"/>
      <c r="V19" s="272">
        <f>-T19</f>
        <v>-74406096363</v>
      </c>
      <c r="W19" s="361"/>
      <c r="Y19" s="403">
        <f t="shared" ref="Y19:Y25" si="0">SUM(C19:V19)</f>
        <v>0</v>
      </c>
    </row>
    <row r="20" spans="1:26" s="328" customFormat="1" hidden="1">
      <c r="A20" s="402" t="s">
        <v>60</v>
      </c>
      <c r="B20" s="76"/>
      <c r="C20" s="1164">
        <v>0</v>
      </c>
      <c r="D20" s="89"/>
      <c r="E20" s="88">
        <v>0</v>
      </c>
      <c r="F20" s="403"/>
      <c r="G20" s="88">
        <v>0</v>
      </c>
      <c r="H20" s="403"/>
      <c r="I20" s="88">
        <v>0</v>
      </c>
      <c r="J20" s="403"/>
      <c r="K20" s="88">
        <v>0</v>
      </c>
      <c r="L20" s="88"/>
      <c r="M20" s="88">
        <v>0</v>
      </c>
      <c r="N20" s="403"/>
      <c r="O20" s="88">
        <v>0</v>
      </c>
      <c r="P20" s="403"/>
      <c r="Q20" s="403">
        <f>-C20</f>
        <v>0</v>
      </c>
      <c r="R20" s="403"/>
      <c r="S20" s="403"/>
      <c r="T20" s="88">
        <v>0</v>
      </c>
      <c r="U20" s="88"/>
      <c r="V20" s="88">
        <v>0</v>
      </c>
      <c r="W20" s="650"/>
      <c r="X20" s="368"/>
      <c r="Y20" s="403">
        <f t="shared" si="0"/>
        <v>0</v>
      </c>
    </row>
    <row r="21" spans="1:26" ht="24" hidden="1">
      <c r="A21" s="401" t="s">
        <v>157</v>
      </c>
      <c r="B21" s="522"/>
      <c r="C21" s="1169">
        <v>0</v>
      </c>
      <c r="D21" s="272"/>
      <c r="E21" s="272">
        <v>0</v>
      </c>
      <c r="F21" s="394"/>
      <c r="G21" s="272">
        <v>0</v>
      </c>
      <c r="H21" s="394"/>
      <c r="I21" s="272">
        <v>0</v>
      </c>
      <c r="J21" s="394"/>
      <c r="K21" s="272">
        <v>0</v>
      </c>
      <c r="L21" s="272"/>
      <c r="M21" s="272">
        <v>0</v>
      </c>
      <c r="N21" s="394"/>
      <c r="O21" s="272">
        <v>0</v>
      </c>
      <c r="P21" s="394">
        <v>0</v>
      </c>
      <c r="Q21" s="272">
        <v>0</v>
      </c>
      <c r="R21" s="394"/>
      <c r="S21" s="394"/>
      <c r="T21" s="272">
        <v>0</v>
      </c>
      <c r="U21" s="87"/>
      <c r="V21" s="272">
        <v>0</v>
      </c>
      <c r="W21" s="361"/>
      <c r="Y21" s="403">
        <f t="shared" si="0"/>
        <v>0</v>
      </c>
    </row>
    <row r="22" spans="1:26" ht="12.75" hidden="1" customHeight="1">
      <c r="A22" s="402" t="s">
        <v>61</v>
      </c>
      <c r="B22" s="522"/>
      <c r="C22" s="1164">
        <v>0</v>
      </c>
      <c r="D22" s="89"/>
      <c r="E22" s="403">
        <v>0</v>
      </c>
      <c r="F22" s="403"/>
      <c r="G22" s="403">
        <v>0</v>
      </c>
      <c r="H22" s="403"/>
      <c r="I22" s="403">
        <v>0</v>
      </c>
      <c r="J22" s="403"/>
      <c r="K22" s="403">
        <v>0</v>
      </c>
      <c r="L22" s="403"/>
      <c r="M22" s="403">
        <v>0</v>
      </c>
      <c r="N22" s="403"/>
      <c r="O22" s="403">
        <v>0</v>
      </c>
      <c r="P22" s="403"/>
      <c r="Q22" s="403">
        <v>0</v>
      </c>
      <c r="R22" s="403"/>
      <c r="S22" s="403"/>
      <c r="T22" s="403">
        <v>0</v>
      </c>
      <c r="U22" s="403"/>
      <c r="V22" s="403">
        <v>0</v>
      </c>
      <c r="W22" s="391"/>
      <c r="X22" s="368"/>
      <c r="Y22" s="403">
        <f t="shared" si="0"/>
        <v>0</v>
      </c>
    </row>
    <row r="23" spans="1:26" ht="12.75" hidden="1" customHeight="1">
      <c r="A23" s="402" t="s">
        <v>840</v>
      </c>
      <c r="B23" s="864"/>
      <c r="C23" s="1164"/>
      <c r="D23" s="89"/>
      <c r="E23" s="403"/>
      <c r="F23" s="403"/>
      <c r="G23" s="403"/>
      <c r="H23" s="403"/>
      <c r="I23" s="403">
        <v>0</v>
      </c>
      <c r="J23" s="403"/>
      <c r="K23" s="403"/>
      <c r="L23" s="403"/>
      <c r="M23" s="403"/>
      <c r="N23" s="403"/>
      <c r="O23" s="403">
        <v>0</v>
      </c>
      <c r="P23" s="403"/>
      <c r="Q23" s="403"/>
      <c r="R23" s="403"/>
      <c r="S23" s="403"/>
      <c r="T23" s="403"/>
      <c r="U23" s="403"/>
      <c r="V23" s="403"/>
      <c r="W23" s="391"/>
      <c r="X23" s="368"/>
      <c r="Y23" s="403"/>
    </row>
    <row r="24" spans="1:26" ht="13.5" hidden="1" customHeight="1">
      <c r="A24" s="402" t="s">
        <v>62</v>
      </c>
      <c r="B24" s="522"/>
      <c r="C24" s="1164">
        <v>0</v>
      </c>
      <c r="D24" s="89"/>
      <c r="E24" s="403">
        <v>0</v>
      </c>
      <c r="F24" s="403"/>
      <c r="G24" s="403">
        <v>0</v>
      </c>
      <c r="H24" s="403"/>
      <c r="I24" s="403">
        <v>0</v>
      </c>
      <c r="J24" s="403"/>
      <c r="K24" s="403">
        <v>0</v>
      </c>
      <c r="L24" s="403"/>
      <c r="M24" s="403">
        <v>0</v>
      </c>
      <c r="N24" s="403"/>
      <c r="O24" s="403">
        <v>0</v>
      </c>
      <c r="P24" s="403"/>
      <c r="Q24" s="403">
        <v>0</v>
      </c>
      <c r="R24" s="403"/>
      <c r="S24" s="403"/>
      <c r="T24" s="403">
        <v>0</v>
      </c>
      <c r="U24" s="403"/>
      <c r="V24" s="403">
        <v>0</v>
      </c>
      <c r="W24" s="391"/>
      <c r="X24" s="368"/>
      <c r="Y24" s="403">
        <f t="shared" si="0"/>
        <v>0</v>
      </c>
    </row>
    <row r="25" spans="1:26" s="328" customFormat="1">
      <c r="A25" s="402" t="s">
        <v>63</v>
      </c>
      <c r="B25" s="76"/>
      <c r="C25" s="1164">
        <v>0</v>
      </c>
      <c r="D25" s="89"/>
      <c r="E25" s="403">
        <v>0</v>
      </c>
      <c r="F25" s="403"/>
      <c r="G25" s="403">
        <v>0</v>
      </c>
      <c r="H25" s="403"/>
      <c r="I25" s="403">
        <v>0</v>
      </c>
      <c r="J25" s="403"/>
      <c r="K25" s="403">
        <v>0</v>
      </c>
      <c r="L25" s="403"/>
      <c r="M25" s="403">
        <v>0</v>
      </c>
      <c r="N25" s="403"/>
      <c r="O25" s="403">
        <v>0</v>
      </c>
      <c r="P25" s="403"/>
      <c r="Q25" s="403">
        <v>0</v>
      </c>
      <c r="R25" s="403"/>
      <c r="S25" s="403"/>
      <c r="T25" s="403">
        <v>0</v>
      </c>
      <c r="U25" s="403"/>
      <c r="V25" s="403">
        <v>102604200814</v>
      </c>
      <c r="W25" s="391"/>
      <c r="X25" s="368"/>
      <c r="Y25" s="403">
        <f t="shared" si="0"/>
        <v>102604200814</v>
      </c>
    </row>
    <row r="26" spans="1:26" ht="13.5" customHeight="1">
      <c r="A26" s="522"/>
      <c r="B26" s="522"/>
      <c r="C26" s="1169"/>
      <c r="D26" s="272"/>
      <c r="E26" s="272"/>
      <c r="F26" s="394"/>
      <c r="G26" s="272"/>
      <c r="H26" s="394"/>
      <c r="I26" s="272"/>
      <c r="J26" s="394"/>
      <c r="K26" s="272"/>
      <c r="L26" s="272"/>
      <c r="M26" s="272"/>
      <c r="N26" s="394"/>
      <c r="O26" s="272"/>
      <c r="P26" s="394"/>
      <c r="Q26" s="272"/>
      <c r="R26" s="394"/>
      <c r="S26" s="394"/>
      <c r="T26" s="272"/>
      <c r="U26" s="87"/>
      <c r="V26" s="272"/>
      <c r="W26" s="361"/>
    </row>
    <row r="27" spans="1:26" ht="13.5" thickBot="1">
      <c r="A27" s="291" t="s">
        <v>1066</v>
      </c>
      <c r="B27" s="395"/>
      <c r="C27" s="1175">
        <f>SUM(C16:C25)</f>
        <v>635041900000</v>
      </c>
      <c r="D27" s="404"/>
      <c r="E27" s="417">
        <f>SUM(E16:E25)</f>
        <v>-144200000</v>
      </c>
      <c r="F27" s="405"/>
      <c r="G27" s="417">
        <f>SUM(G16:G25)</f>
        <v>8329302000</v>
      </c>
      <c r="H27" s="405">
        <f>SUM(H14:H26)</f>
        <v>0</v>
      </c>
      <c r="I27" s="417">
        <f>SUM(I16:I25)</f>
        <v>91567541041</v>
      </c>
      <c r="J27" s="405"/>
      <c r="K27" s="417">
        <f>SUM(K16:K25)</f>
        <v>87405000939</v>
      </c>
      <c r="L27" s="272"/>
      <c r="M27" s="417">
        <f>SUM(M16:M25)</f>
        <v>-47385000</v>
      </c>
      <c r="N27" s="405"/>
      <c r="O27" s="417">
        <f>SUM(O16:O25)</f>
        <v>50198695192</v>
      </c>
      <c r="P27" s="405"/>
      <c r="Q27" s="417">
        <f>SUM(Q16:Q25)</f>
        <v>80120680209</v>
      </c>
      <c r="R27" s="405"/>
      <c r="S27" s="405"/>
      <c r="T27" s="417">
        <f>SUM(T16:T25)</f>
        <v>0</v>
      </c>
      <c r="U27" s="406"/>
      <c r="V27" s="417">
        <f>SUM(V16:V25)</f>
        <v>102604200814</v>
      </c>
      <c r="W27" s="390">
        <f>W16+W17+W20+W21+W22+W24+W25</f>
        <v>0</v>
      </c>
      <c r="X27" s="363"/>
      <c r="Y27" s="417">
        <f>SUM(Y16:Y25)</f>
        <v>1055075735195</v>
      </c>
      <c r="Z27" s="75"/>
    </row>
    <row r="28" spans="1:26" ht="13.5" thickTop="1">
      <c r="A28" s="407"/>
      <c r="B28" s="395"/>
      <c r="C28" s="1176"/>
      <c r="D28" s="272"/>
      <c r="E28" s="406"/>
      <c r="F28" s="88"/>
      <c r="G28" s="406"/>
      <c r="H28" s="88"/>
      <c r="I28" s="406"/>
      <c r="J28" s="88"/>
      <c r="K28" s="406"/>
      <c r="L28" s="272"/>
      <c r="M28" s="406"/>
      <c r="N28" s="88"/>
      <c r="O28" s="406"/>
      <c r="P28" s="88"/>
      <c r="Q28" s="406"/>
      <c r="R28" s="88"/>
      <c r="S28" s="88"/>
      <c r="T28" s="406"/>
      <c r="U28" s="406"/>
      <c r="V28" s="406"/>
      <c r="W28" s="390"/>
      <c r="X28" s="392"/>
      <c r="Y28" s="400"/>
      <c r="Z28" s="75"/>
    </row>
    <row r="29" spans="1:26">
      <c r="A29" s="282" t="s">
        <v>1066</v>
      </c>
      <c r="B29" s="395"/>
      <c r="C29" s="1175">
        <v>635041900000</v>
      </c>
      <c r="D29" s="272"/>
      <c r="E29" s="417">
        <v>-144200000</v>
      </c>
      <c r="F29" s="405"/>
      <c r="G29" s="417">
        <v>8329302000</v>
      </c>
      <c r="H29" s="405">
        <f>SUM(H16:H28)</f>
        <v>0</v>
      </c>
      <c r="I29" s="417">
        <v>91567541041</v>
      </c>
      <c r="J29" s="405"/>
      <c r="K29" s="417">
        <v>87405000939</v>
      </c>
      <c r="L29" s="272"/>
      <c r="M29" s="417">
        <f>+M27</f>
        <v>-47385000</v>
      </c>
      <c r="N29" s="405"/>
      <c r="O29" s="417">
        <v>50198695192</v>
      </c>
      <c r="P29" s="405"/>
      <c r="Q29" s="417">
        <v>80120680209</v>
      </c>
      <c r="R29" s="405"/>
      <c r="S29" s="405"/>
      <c r="T29" s="417">
        <v>0</v>
      </c>
      <c r="U29" s="406"/>
      <c r="V29" s="417">
        <v>102604200814</v>
      </c>
      <c r="W29" s="390">
        <f>W19+W20+W22+W24+W25+W26+W27</f>
        <v>0</v>
      </c>
      <c r="X29" s="363"/>
      <c r="Y29" s="322">
        <f>+C29+E29+G29+I29+K29+O29+Q29+T29+W29+V29+M29</f>
        <v>1055075735195</v>
      </c>
      <c r="Z29" s="75"/>
    </row>
    <row r="30" spans="1:26">
      <c r="A30" s="401" t="s">
        <v>607</v>
      </c>
      <c r="B30" s="522"/>
      <c r="C30" s="1169">
        <v>0</v>
      </c>
      <c r="D30" s="272"/>
      <c r="E30" s="272">
        <v>0</v>
      </c>
      <c r="F30" s="394"/>
      <c r="G30" s="272">
        <v>0</v>
      </c>
      <c r="H30" s="394"/>
      <c r="I30" s="272">
        <v>0</v>
      </c>
      <c r="J30" s="394"/>
      <c r="K30" s="272">
        <v>0</v>
      </c>
      <c r="L30" s="272"/>
      <c r="M30" s="272">
        <v>0</v>
      </c>
      <c r="N30" s="394"/>
      <c r="O30" s="272">
        <v>0</v>
      </c>
      <c r="P30" s="394"/>
      <c r="Q30" s="272">
        <v>0</v>
      </c>
      <c r="R30" s="394"/>
      <c r="S30" s="394"/>
      <c r="T30" s="272">
        <v>102604200814</v>
      </c>
      <c r="U30" s="87"/>
      <c r="V30" s="272">
        <f>-T30</f>
        <v>-102604200814</v>
      </c>
      <c r="W30" s="361"/>
      <c r="Y30" s="273">
        <f>+T30+V30</f>
        <v>0</v>
      </c>
    </row>
    <row r="31" spans="1:26" s="870" customFormat="1" ht="27.75" customHeight="1">
      <c r="A31" s="1071" t="s">
        <v>995</v>
      </c>
      <c r="B31" s="1070"/>
      <c r="C31" s="1174">
        <v>0</v>
      </c>
      <c r="D31" s="87"/>
      <c r="E31" s="87">
        <v>0</v>
      </c>
      <c r="F31" s="1072"/>
      <c r="G31" s="87">
        <v>0</v>
      </c>
      <c r="H31" s="1072"/>
      <c r="I31" s="87">
        <v>0</v>
      </c>
      <c r="J31" s="1072"/>
      <c r="K31" s="87">
        <v>0</v>
      </c>
      <c r="L31" s="87"/>
      <c r="M31" s="87">
        <v>0</v>
      </c>
      <c r="N31" s="1072"/>
      <c r="O31" s="87">
        <v>5130210041</v>
      </c>
      <c r="P31" s="1072"/>
      <c r="Q31" s="87">
        <v>68231793541</v>
      </c>
      <c r="R31" s="1072"/>
      <c r="S31" s="1072"/>
      <c r="T31" s="87">
        <f>-O31-Q31</f>
        <v>-73362003582</v>
      </c>
      <c r="U31" s="87"/>
      <c r="V31" s="87">
        <v>0</v>
      </c>
      <c r="W31" s="1073"/>
      <c r="X31" s="1074"/>
      <c r="Y31" s="1075">
        <v>0</v>
      </c>
    </row>
    <row r="32" spans="1:26" ht="12.75" customHeight="1">
      <c r="A32" s="401" t="s">
        <v>725</v>
      </c>
      <c r="B32" s="522"/>
      <c r="C32" s="1169">
        <v>0</v>
      </c>
      <c r="D32" s="272"/>
      <c r="E32" s="272">
        <v>0</v>
      </c>
      <c r="F32" s="394"/>
      <c r="G32" s="272">
        <v>0</v>
      </c>
      <c r="H32" s="394"/>
      <c r="I32" s="272">
        <v>0</v>
      </c>
      <c r="J32" s="394"/>
      <c r="K32" s="272">
        <v>0</v>
      </c>
      <c r="L32" s="272"/>
      <c r="M32" s="272">
        <v>0</v>
      </c>
      <c r="N32" s="394"/>
      <c r="O32" s="272">
        <v>0</v>
      </c>
      <c r="P32" s="394"/>
      <c r="Q32" s="272">
        <v>0</v>
      </c>
      <c r="R32" s="394"/>
      <c r="S32" s="394"/>
      <c r="T32" s="272">
        <v>-29242197232</v>
      </c>
      <c r="U32" s="87"/>
      <c r="V32" s="272">
        <v>0</v>
      </c>
      <c r="W32" s="651"/>
      <c r="X32" s="359"/>
      <c r="Y32" s="273">
        <f>+T32</f>
        <v>-29242197232</v>
      </c>
    </row>
    <row r="33" spans="1:26" ht="12.75" customHeight="1">
      <c r="A33" s="401" t="s">
        <v>1068</v>
      </c>
      <c r="B33" s="1165"/>
      <c r="C33" s="1169">
        <v>142325100000</v>
      </c>
      <c r="D33" s="272"/>
      <c r="E33" s="272"/>
      <c r="F33" s="394"/>
      <c r="G33" s="272"/>
      <c r="H33" s="394"/>
      <c r="I33" s="272"/>
      <c r="J33" s="394"/>
      <c r="K33" s="272"/>
      <c r="L33" s="272"/>
      <c r="M33" s="272"/>
      <c r="N33" s="394"/>
      <c r="O33" s="272"/>
      <c r="P33" s="394"/>
      <c r="Q33" s="272">
        <v>-142325000000</v>
      </c>
      <c r="R33" s="394"/>
      <c r="S33" s="394"/>
      <c r="T33" s="272"/>
      <c r="U33" s="87"/>
      <c r="V33" s="272"/>
      <c r="W33" s="651"/>
      <c r="X33" s="359"/>
      <c r="Y33" s="273"/>
    </row>
    <row r="34" spans="1:26" s="328" customFormat="1" hidden="1">
      <c r="A34" s="402" t="s">
        <v>61</v>
      </c>
      <c r="B34" s="652"/>
      <c r="C34" s="1161">
        <v>0</v>
      </c>
      <c r="D34" s="89"/>
      <c r="E34" s="88">
        <v>0</v>
      </c>
      <c r="F34" s="403"/>
      <c r="G34" s="88">
        <v>0</v>
      </c>
      <c r="H34" s="403"/>
      <c r="I34" s="88">
        <v>0</v>
      </c>
      <c r="J34" s="403"/>
      <c r="K34" s="88">
        <v>0</v>
      </c>
      <c r="L34" s="88"/>
      <c r="M34" s="88">
        <v>0</v>
      </c>
      <c r="N34" s="403"/>
      <c r="O34" s="88">
        <v>0</v>
      </c>
      <c r="P34" s="403"/>
      <c r="Q34" s="88">
        <v>0</v>
      </c>
      <c r="R34" s="403"/>
      <c r="S34" s="403"/>
      <c r="T34" s="88">
        <v>0</v>
      </c>
      <c r="U34" s="88"/>
      <c r="V34" s="88">
        <v>0</v>
      </c>
      <c r="W34" s="650"/>
      <c r="X34" s="368"/>
      <c r="Y34" s="88">
        <f>+T34</f>
        <v>0</v>
      </c>
    </row>
    <row r="35" spans="1:26" hidden="1">
      <c r="A35" s="408" t="s">
        <v>64</v>
      </c>
      <c r="B35" s="408"/>
      <c r="C35" s="1169">
        <v>0</v>
      </c>
      <c r="D35" s="272"/>
      <c r="E35" s="272">
        <v>0</v>
      </c>
      <c r="F35" s="394"/>
      <c r="G35" s="272">
        <v>0</v>
      </c>
      <c r="H35" s="394"/>
      <c r="I35" s="272">
        <v>0</v>
      </c>
      <c r="J35" s="394"/>
      <c r="K35" s="272">
        <v>0</v>
      </c>
      <c r="L35" s="272"/>
      <c r="M35" s="272">
        <v>0</v>
      </c>
      <c r="N35" s="394"/>
      <c r="O35" s="409">
        <v>0</v>
      </c>
      <c r="P35" s="394"/>
      <c r="Q35" s="409">
        <v>0</v>
      </c>
      <c r="R35" s="394"/>
      <c r="S35" s="394"/>
      <c r="T35" s="272">
        <v>0</v>
      </c>
      <c r="U35" s="87"/>
      <c r="V35" s="272">
        <v>0</v>
      </c>
      <c r="X35" s="366"/>
      <c r="Y35" s="741">
        <v>0</v>
      </c>
    </row>
    <row r="36" spans="1:26">
      <c r="A36" s="408"/>
      <c r="B36" s="408"/>
      <c r="C36" s="1169"/>
      <c r="D36" s="272"/>
      <c r="E36" s="272"/>
      <c r="F36" s="394"/>
      <c r="G36" s="272"/>
      <c r="H36" s="394"/>
      <c r="I36" s="272"/>
      <c r="J36" s="394"/>
      <c r="K36" s="272"/>
      <c r="L36" s="272"/>
      <c r="M36" s="272"/>
      <c r="N36" s="394"/>
      <c r="O36" s="409"/>
      <c r="P36" s="394"/>
      <c r="Q36" s="409"/>
      <c r="R36" s="394"/>
      <c r="S36" s="394"/>
      <c r="T36" s="272"/>
      <c r="U36" s="87"/>
      <c r="V36" s="272"/>
      <c r="X36" s="366"/>
    </row>
    <row r="37" spans="1:26">
      <c r="A37" s="282" t="s">
        <v>63</v>
      </c>
      <c r="B37" s="522"/>
      <c r="C37" s="1173">
        <v>0</v>
      </c>
      <c r="D37" s="272">
        <v>0</v>
      </c>
      <c r="E37" s="322">
        <v>0</v>
      </c>
      <c r="F37" s="394"/>
      <c r="G37" s="322">
        <v>0</v>
      </c>
      <c r="H37" s="394"/>
      <c r="I37" s="322">
        <v>0</v>
      </c>
      <c r="J37" s="394"/>
      <c r="K37" s="322">
        <v>0</v>
      </c>
      <c r="L37" s="272"/>
      <c r="M37" s="322">
        <v>0</v>
      </c>
      <c r="N37" s="394"/>
      <c r="O37" s="322">
        <v>0</v>
      </c>
      <c r="P37" s="394"/>
      <c r="Q37" s="322">
        <v>0</v>
      </c>
      <c r="R37" s="394"/>
      <c r="S37" s="394"/>
      <c r="T37" s="322">
        <v>0</v>
      </c>
      <c r="U37" s="400"/>
      <c r="V37" s="322">
        <v>111952781789</v>
      </c>
      <c r="W37" s="389"/>
      <c r="X37" s="362"/>
      <c r="Y37" s="322">
        <f>+V37</f>
        <v>111952781789</v>
      </c>
    </row>
    <row r="38" spans="1:26">
      <c r="A38" s="522"/>
      <c r="B38" s="522"/>
      <c r="C38" s="1169"/>
      <c r="D38" s="272"/>
      <c r="E38" s="272"/>
      <c r="F38" s="394"/>
      <c r="G38" s="272"/>
      <c r="H38" s="394"/>
      <c r="I38" s="272"/>
      <c r="J38" s="394"/>
      <c r="K38" s="272"/>
      <c r="L38" s="272"/>
      <c r="M38" s="272"/>
      <c r="N38" s="394"/>
      <c r="O38" s="272"/>
      <c r="P38" s="394"/>
      <c r="Q38" s="272"/>
      <c r="R38" s="394"/>
      <c r="S38" s="394"/>
      <c r="T38" s="272"/>
      <c r="U38" s="87"/>
      <c r="V38" s="272"/>
      <c r="W38" s="361"/>
    </row>
    <row r="39" spans="1:26" ht="13.5" thickBot="1">
      <c r="A39" s="291" t="s">
        <v>1067</v>
      </c>
      <c r="B39" s="395"/>
      <c r="C39" s="1175">
        <f>C29+C31+C33+C34+C35+C37</f>
        <v>777367000000</v>
      </c>
      <c r="D39" s="404">
        <f>SUM(D27:D37)</f>
        <v>0</v>
      </c>
      <c r="E39" s="417">
        <f>E29+E31+E34+E35+E37</f>
        <v>-144200000</v>
      </c>
      <c r="F39" s="410"/>
      <c r="G39" s="417">
        <f>G29+G31+G34+G35+G37</f>
        <v>8329302000</v>
      </c>
      <c r="H39" s="410"/>
      <c r="I39" s="417">
        <f>I29+I31+I34+I35+I37</f>
        <v>91567541041</v>
      </c>
      <c r="J39" s="410"/>
      <c r="K39" s="417">
        <f>K29+K31+K34+K35+K37</f>
        <v>87405000939</v>
      </c>
      <c r="L39" s="272"/>
      <c r="M39" s="417">
        <f>M29+M31+M34+M35+M37</f>
        <v>-47385000</v>
      </c>
      <c r="N39" s="410"/>
      <c r="O39" s="417">
        <f>O29+O31+O34+O35+O37</f>
        <v>55328905233</v>
      </c>
      <c r="P39" s="410"/>
      <c r="Q39" s="417">
        <f>Q29+Q31+Q34+Q35+Q37+Q33</f>
        <v>6027473750</v>
      </c>
      <c r="R39" s="410"/>
      <c r="S39" s="410"/>
      <c r="T39" s="417">
        <f>SUM(T29:T35)</f>
        <v>0</v>
      </c>
      <c r="U39" s="406"/>
      <c r="V39" s="417">
        <f>SUM(V29:V37)</f>
        <v>111952781789</v>
      </c>
      <c r="W39" s="390">
        <f>W27+W31+W34+W35+W37</f>
        <v>0</v>
      </c>
      <c r="X39" s="363"/>
      <c r="Y39" s="417">
        <f>SUM(Y29:Y38)</f>
        <v>1137786319752</v>
      </c>
      <c r="Z39" s="75"/>
    </row>
    <row r="40" spans="1:26" ht="13.5" thickTop="1">
      <c r="A40" s="395"/>
      <c r="B40" s="395"/>
      <c r="C40" s="1177"/>
      <c r="D40" s="412"/>
      <c r="E40" s="410"/>
      <c r="F40" s="410"/>
      <c r="G40" s="97"/>
      <c r="H40" s="410"/>
      <c r="I40" s="411"/>
      <c r="J40" s="410"/>
      <c r="K40" s="411"/>
      <c r="L40" s="411"/>
      <c r="M40" s="411"/>
      <c r="N40" s="410"/>
      <c r="O40" s="411"/>
      <c r="P40" s="410"/>
      <c r="Q40" s="410"/>
      <c r="R40" s="410"/>
      <c r="S40" s="410"/>
      <c r="T40" s="411"/>
      <c r="U40" s="97"/>
      <c r="V40" s="396"/>
      <c r="W40" s="653"/>
      <c r="Y40" s="273"/>
    </row>
    <row r="41" spans="1:26">
      <c r="A41" s="522" t="s">
        <v>257</v>
      </c>
      <c r="B41" s="522"/>
      <c r="C41" s="1178"/>
      <c r="D41" s="275"/>
      <c r="E41" s="413"/>
      <c r="F41" s="413"/>
      <c r="G41" s="275"/>
      <c r="H41" s="413"/>
      <c r="I41" s="273"/>
      <c r="J41" s="522"/>
      <c r="K41" s="272"/>
      <c r="L41" s="272"/>
      <c r="M41" s="272"/>
      <c r="N41" s="413"/>
      <c r="O41" s="275"/>
      <c r="P41" s="413"/>
      <c r="Q41" s="413"/>
      <c r="R41" s="413"/>
      <c r="S41" s="413"/>
      <c r="T41" s="275"/>
      <c r="U41" s="414"/>
      <c r="V41" s="272"/>
      <c r="Y41" s="273"/>
      <c r="Z41" s="359"/>
    </row>
    <row r="42" spans="1:26">
      <c r="A42" s="522"/>
      <c r="B42" s="522"/>
      <c r="C42" s="1178"/>
      <c r="D42" s="275"/>
      <c r="E42" s="413"/>
      <c r="F42" s="413"/>
      <c r="G42" s="275"/>
      <c r="H42" s="413"/>
      <c r="I42" s="522"/>
      <c r="J42" s="522"/>
      <c r="K42" s="272"/>
      <c r="L42" s="272"/>
      <c r="M42" s="272"/>
      <c r="N42" s="413"/>
      <c r="O42" s="275"/>
      <c r="P42" s="413"/>
      <c r="Q42" s="413"/>
      <c r="R42" s="413"/>
      <c r="S42" s="413"/>
      <c r="T42" s="275"/>
      <c r="U42" s="414"/>
      <c r="V42" s="272"/>
      <c r="Y42" s="273"/>
    </row>
    <row r="43" spans="1:26">
      <c r="A43" s="522"/>
      <c r="B43" s="522"/>
      <c r="C43" s="1178"/>
      <c r="D43" s="275"/>
      <c r="E43" s="413"/>
      <c r="F43" s="413"/>
      <c r="G43" s="275"/>
      <c r="H43" s="413"/>
      <c r="I43" s="273"/>
      <c r="J43" s="522"/>
      <c r="K43" s="272"/>
      <c r="L43" s="272"/>
      <c r="M43" s="272"/>
      <c r="N43" s="413"/>
      <c r="O43" s="275"/>
      <c r="P43" s="413"/>
      <c r="Q43" s="413"/>
      <c r="R43" s="413"/>
      <c r="S43" s="413"/>
      <c r="T43" s="275"/>
      <c r="U43" s="414"/>
      <c r="V43" s="272"/>
      <c r="Y43" s="116"/>
    </row>
    <row r="44" spans="1:26">
      <c r="A44" s="522"/>
      <c r="B44" s="522"/>
      <c r="C44" s="1178"/>
      <c r="D44" s="275"/>
      <c r="E44" s="413"/>
      <c r="F44" s="413"/>
      <c r="G44" s="275"/>
      <c r="H44" s="413"/>
      <c r="I44" s="522"/>
      <c r="J44" s="522"/>
      <c r="K44" s="272"/>
      <c r="L44" s="272"/>
      <c r="M44" s="272"/>
      <c r="N44" s="413"/>
      <c r="O44" s="275"/>
      <c r="P44" s="413"/>
      <c r="Q44" s="413"/>
      <c r="R44" s="413"/>
      <c r="S44" s="413"/>
      <c r="T44" s="275"/>
      <c r="U44" s="414"/>
      <c r="V44" s="272"/>
      <c r="Y44" s="116"/>
    </row>
    <row r="45" spans="1:26">
      <c r="A45" s="522"/>
      <c r="B45" s="522"/>
      <c r="C45" s="1178"/>
      <c r="D45" s="275"/>
      <c r="E45" s="413"/>
      <c r="F45" s="413"/>
      <c r="G45" s="275"/>
      <c r="H45" s="413"/>
      <c r="I45" s="522"/>
      <c r="J45" s="522"/>
      <c r="K45" s="272"/>
      <c r="L45" s="272"/>
      <c r="M45" s="272"/>
      <c r="N45" s="413"/>
      <c r="O45" s="275"/>
      <c r="P45" s="413"/>
      <c r="Q45" s="413"/>
      <c r="R45" s="413"/>
      <c r="S45" s="413"/>
      <c r="T45" s="275"/>
      <c r="U45" s="414"/>
      <c r="V45" s="275"/>
    </row>
    <row r="47" spans="1:26">
      <c r="C47" s="1179"/>
      <c r="D47" s="363"/>
      <c r="E47" s="372"/>
      <c r="F47" s="372"/>
      <c r="G47" s="363"/>
      <c r="H47" s="372"/>
      <c r="I47" s="356"/>
      <c r="J47" s="356"/>
      <c r="N47" s="372"/>
      <c r="O47" s="363"/>
      <c r="P47" s="372"/>
      <c r="Q47" s="372"/>
      <c r="R47" s="372"/>
      <c r="S47" s="372"/>
      <c r="T47" s="363"/>
      <c r="U47" s="392"/>
    </row>
    <row r="48" spans="1:26">
      <c r="G48" s="363"/>
      <c r="I48" s="356"/>
      <c r="J48" s="356"/>
      <c r="K48" s="364"/>
      <c r="L48" s="364"/>
      <c r="M48" s="364"/>
    </row>
  </sheetData>
  <mergeCells count="17">
    <mergeCell ref="A1:E1"/>
    <mergeCell ref="W11:W12"/>
    <mergeCell ref="Y11:Y12"/>
    <mergeCell ref="C11:C12"/>
    <mergeCell ref="A11:A12"/>
    <mergeCell ref="A6:T6"/>
    <mergeCell ref="A7:T7"/>
    <mergeCell ref="C10:G10"/>
    <mergeCell ref="O10:V10"/>
    <mergeCell ref="E11:E12"/>
    <mergeCell ref="G11:G12"/>
    <mergeCell ref="I11:I12"/>
    <mergeCell ref="K11:K12"/>
    <mergeCell ref="O11:O12"/>
    <mergeCell ref="Q11:Q12"/>
    <mergeCell ref="T11:T12"/>
    <mergeCell ref="V11:V12"/>
  </mergeCells>
  <hyperlinks>
    <hyperlink ref="I1" location="Indice!A1" display="Indice" xr:uid="{00000000-0004-0000-0300-000000000000}"/>
  </hyperlinks>
  <pageMargins left="0.70866141732283472" right="0.70866141732283472" top="0.74803149606299213" bottom="0.74803149606299213" header="0.31496062992125984" footer="0.31496062992125984"/>
  <pageSetup paperSize="9"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8"/>
  <dimension ref="A1:Z15"/>
  <sheetViews>
    <sheetView showGridLines="0" zoomScaleNormal="100" workbookViewId="0"/>
  </sheetViews>
  <sheetFormatPr baseColWidth="10" defaultRowHeight="15"/>
  <cols>
    <col min="1" max="1" width="38.28515625" style="12" customWidth="1"/>
    <col min="2" max="2" width="18.42578125" style="12" customWidth="1"/>
    <col min="3" max="3" width="17.28515625" style="12" customWidth="1"/>
    <col min="4" max="4" width="0.85546875" style="12" hidden="1" customWidth="1"/>
    <col min="5" max="5" width="16.7109375" style="12" hidden="1" customWidth="1"/>
    <col min="6" max="6" width="11.42578125" style="12"/>
    <col min="7" max="13" width="11.42578125" style="12" customWidth="1"/>
    <col min="14" max="22" width="11.42578125" style="12"/>
  </cols>
  <sheetData>
    <row r="1" spans="1:26" s="903" customFormat="1" ht="18" customHeight="1">
      <c r="A1" s="277" t="str">
        <f>Indice!C1</f>
        <v>NICOLAS GONZALEZ ODDONE S.A.E.C.A</v>
      </c>
      <c r="B1" s="920" t="s">
        <v>84</v>
      </c>
      <c r="C1" s="288"/>
      <c r="D1" s="111"/>
      <c r="E1" s="115"/>
      <c r="F1" s="111"/>
      <c r="G1" s="111"/>
      <c r="H1" s="111"/>
      <c r="I1" s="111"/>
      <c r="J1" s="111"/>
      <c r="K1" s="111"/>
      <c r="L1" s="111"/>
      <c r="M1" s="111"/>
      <c r="N1" s="111"/>
      <c r="O1" s="111"/>
      <c r="P1" s="111"/>
      <c r="Q1" s="111"/>
      <c r="R1" s="111"/>
      <c r="S1" s="111"/>
      <c r="T1" s="111"/>
      <c r="U1" s="111"/>
      <c r="V1" s="111"/>
      <c r="W1" s="111"/>
      <c r="X1" s="111"/>
      <c r="Y1" s="111"/>
      <c r="Z1" s="111"/>
    </row>
    <row r="2" spans="1:26" s="903" customFormat="1" ht="18" customHeight="1">
      <c r="A2" s="657"/>
      <c r="B2" s="920"/>
      <c r="C2" s="288"/>
      <c r="D2" s="111"/>
      <c r="E2" s="115"/>
      <c r="F2" s="111"/>
      <c r="G2" s="111"/>
      <c r="H2" s="111"/>
      <c r="I2" s="111"/>
      <c r="J2" s="111"/>
      <c r="K2" s="111"/>
      <c r="L2" s="111"/>
      <c r="M2" s="111"/>
      <c r="N2" s="111"/>
      <c r="O2" s="111"/>
      <c r="P2" s="111"/>
      <c r="Q2" s="111"/>
      <c r="R2" s="111"/>
      <c r="S2" s="111"/>
      <c r="T2" s="111"/>
      <c r="U2" s="111"/>
      <c r="V2" s="111"/>
      <c r="W2" s="111"/>
      <c r="X2" s="111"/>
      <c r="Y2" s="111"/>
      <c r="Z2" s="111"/>
    </row>
    <row r="3" spans="1:26" ht="16.5" customHeight="1">
      <c r="A3" s="281" t="s">
        <v>201</v>
      </c>
      <c r="B3" s="281"/>
      <c r="C3" s="281"/>
      <c r="D3" s="64"/>
      <c r="E3" s="64"/>
      <c r="F3" s="23"/>
      <c r="G3" s="26"/>
      <c r="H3" s="24"/>
    </row>
    <row r="4" spans="1:26">
      <c r="A4" s="1274" t="s">
        <v>133</v>
      </c>
      <c r="B4" s="1274"/>
      <c r="C4" s="24"/>
      <c r="D4" s="24"/>
      <c r="E4" s="24"/>
      <c r="F4" s="23"/>
      <c r="G4" s="26"/>
      <c r="H4" s="24"/>
    </row>
    <row r="5" spans="1:26" ht="23.25">
      <c r="A5" s="334" t="s">
        <v>613</v>
      </c>
      <c r="D5" s="24"/>
      <c r="E5" s="24"/>
      <c r="F5" s="23"/>
      <c r="G5" s="26"/>
      <c r="H5" s="24"/>
    </row>
    <row r="6" spans="1:26" ht="11.25" customHeight="1">
      <c r="B6" s="1087">
        <v>44561</v>
      </c>
      <c r="C6" s="1087">
        <v>44196</v>
      </c>
      <c r="D6" s="24"/>
      <c r="E6" s="24"/>
      <c r="F6" s="23"/>
      <c r="G6" s="26"/>
      <c r="H6" s="24"/>
    </row>
    <row r="7" spans="1:26">
      <c r="A7" s="217" t="s">
        <v>295</v>
      </c>
      <c r="D7" s="24"/>
      <c r="E7" s="24"/>
      <c r="F7" s="23"/>
      <c r="G7" s="26"/>
      <c r="H7" s="24"/>
    </row>
    <row r="8" spans="1:26">
      <c r="A8" s="216" t="s">
        <v>296</v>
      </c>
      <c r="B8" s="23"/>
      <c r="C8" s="23"/>
      <c r="D8" s="24"/>
      <c r="E8" s="24"/>
      <c r="F8" s="23"/>
      <c r="G8" s="26"/>
      <c r="H8" s="24"/>
    </row>
    <row r="9" spans="1:26" ht="6.75" customHeight="1">
      <c r="A9" s="23"/>
      <c r="B9" s="23"/>
      <c r="C9" s="23"/>
      <c r="D9" s="24"/>
      <c r="E9" s="24"/>
      <c r="F9" s="23"/>
      <c r="G9" s="26"/>
      <c r="H9" s="24"/>
    </row>
    <row r="10" spans="1:26" ht="9" hidden="1" customHeight="1">
      <c r="A10" s="23"/>
      <c r="B10" s="23"/>
      <c r="C10" s="23"/>
      <c r="D10" s="24"/>
      <c r="E10" s="24"/>
      <c r="F10" s="23"/>
      <c r="G10" s="26"/>
      <c r="H10" s="24"/>
    </row>
    <row r="11" spans="1:26" ht="8.25" hidden="1" customHeight="1">
      <c r="A11" s="23"/>
      <c r="B11" s="25"/>
      <c r="C11" s="23"/>
      <c r="D11" s="24"/>
      <c r="E11" s="24"/>
      <c r="F11" s="23"/>
      <c r="G11" s="26"/>
      <c r="H11" s="24"/>
    </row>
    <row r="12" spans="1:26" ht="6" hidden="1" customHeight="1">
      <c r="A12" s="23"/>
      <c r="B12" s="25"/>
      <c r="C12" s="23"/>
      <c r="D12" s="24"/>
      <c r="E12" s="24"/>
      <c r="F12" s="23"/>
      <c r="G12" s="26"/>
      <c r="H12" s="24"/>
    </row>
    <row r="13" spans="1:26">
      <c r="A13" s="216" t="s">
        <v>1</v>
      </c>
      <c r="B13" s="28">
        <f>SUM($B7:B12)</f>
        <v>0</v>
      </c>
      <c r="C13" s="28">
        <f>SUM($C7:C12)</f>
        <v>0</v>
      </c>
      <c r="D13" s="24"/>
      <c r="E13" s="24"/>
      <c r="F13" s="23"/>
      <c r="G13" s="26"/>
      <c r="H13" s="24"/>
    </row>
    <row r="14" spans="1:26">
      <c r="A14" s="23"/>
      <c r="B14" s="25"/>
      <c r="C14" s="24"/>
      <c r="D14" s="24"/>
      <c r="E14" s="24"/>
      <c r="F14" s="23"/>
      <c r="G14" s="26"/>
      <c r="H14" s="24"/>
    </row>
    <row r="15" spans="1:26" s="355" customFormat="1">
      <c r="A15" s="373"/>
      <c r="B15" s="373"/>
      <c r="C15" s="373"/>
      <c r="D15" s="373"/>
      <c r="E15" s="373"/>
      <c r="F15" s="373"/>
      <c r="G15" s="373"/>
      <c r="H15" s="373"/>
      <c r="I15" s="373"/>
      <c r="J15" s="373"/>
      <c r="K15" s="373"/>
      <c r="L15" s="373"/>
      <c r="M15" s="373"/>
      <c r="N15" s="373"/>
      <c r="O15" s="373"/>
      <c r="P15" s="373"/>
      <c r="Q15" s="373"/>
      <c r="R15" s="373"/>
      <c r="S15" s="373"/>
      <c r="T15" s="373"/>
      <c r="U15" s="373"/>
      <c r="V15" s="373"/>
    </row>
  </sheetData>
  <mergeCells count="1">
    <mergeCell ref="A4:B4"/>
  </mergeCells>
  <hyperlinks>
    <hyperlink ref="B1" location="ER!A1" display="ER" xr:uid="{876966EA-0885-4E56-88A7-83E23A55DCB1}"/>
  </hyperlinks>
  <pageMargins left="1.9685039370078741" right="1.7716535433070868" top="1.9685039370078741" bottom="0.74803149606299213" header="0.31496062992125984" footer="0.31496062992125984"/>
  <pageSetup scale="75" orientation="portrait" r:id="rId1"/>
  <ignoredErrors>
    <ignoredError sqref="B13:C13"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39"/>
  <dimension ref="A1:V11"/>
  <sheetViews>
    <sheetView showGridLines="0" workbookViewId="0"/>
  </sheetViews>
  <sheetFormatPr baseColWidth="10" defaultRowHeight="15"/>
  <cols>
    <col min="1" max="1" width="62.7109375" style="12" customWidth="1"/>
    <col min="2" max="2" width="18.140625" style="12" customWidth="1"/>
    <col min="3" max="3" width="17.28515625" style="12" customWidth="1"/>
    <col min="4" max="4" width="1.85546875" style="12" hidden="1" customWidth="1"/>
    <col min="5" max="5" width="11.42578125" style="12" hidden="1" customWidth="1"/>
    <col min="6" max="22" width="11.42578125" style="12"/>
  </cols>
  <sheetData>
    <row r="1" spans="1:8" ht="17.25" customHeight="1">
      <c r="A1" s="277" t="str">
        <f>Indice!C1</f>
        <v>NICOLAS GONZALEZ ODDONE S.A.E.C.A</v>
      </c>
      <c r="B1" s="919" t="s">
        <v>84</v>
      </c>
      <c r="C1" s="295"/>
      <c r="E1" s="19"/>
    </row>
    <row r="3" spans="1:8" ht="17.25" customHeight="1">
      <c r="A3" s="281" t="s">
        <v>203</v>
      </c>
      <c r="B3" s="281"/>
      <c r="C3" s="281"/>
      <c r="D3" s="64"/>
      <c r="E3" s="64"/>
      <c r="F3" s="23"/>
      <c r="G3" s="26"/>
      <c r="H3" s="24"/>
    </row>
    <row r="4" spans="1:8">
      <c r="A4" s="1274" t="s">
        <v>133</v>
      </c>
      <c r="B4" s="1274"/>
      <c r="C4" s="24"/>
      <c r="D4" s="24"/>
      <c r="E4" s="24"/>
      <c r="F4" s="23"/>
      <c r="G4" s="26"/>
      <c r="H4" s="24"/>
    </row>
    <row r="5" spans="1:8" ht="23.25">
      <c r="A5" s="334" t="s">
        <v>613</v>
      </c>
      <c r="D5" s="24"/>
      <c r="E5" s="24"/>
      <c r="F5" s="23"/>
      <c r="G5" s="26"/>
      <c r="H5" s="24"/>
    </row>
    <row r="6" spans="1:8" ht="13.5" customHeight="1">
      <c r="A6" s="435" t="s">
        <v>51</v>
      </c>
      <c r="B6" s="813">
        <v>44561</v>
      </c>
      <c r="C6" s="813">
        <v>44196</v>
      </c>
      <c r="D6" s="24"/>
      <c r="E6" s="24"/>
      <c r="F6" s="23"/>
      <c r="G6" s="26"/>
      <c r="H6" s="24"/>
    </row>
    <row r="7" spans="1:8">
      <c r="A7" s="216" t="s">
        <v>299</v>
      </c>
      <c r="B7" s="23"/>
      <c r="C7" s="23"/>
      <c r="D7" s="24"/>
      <c r="E7" s="24"/>
      <c r="F7" s="23"/>
      <c r="G7" s="26"/>
      <c r="H7" s="24"/>
    </row>
    <row r="8" spans="1:8">
      <c r="A8" s="216" t="s">
        <v>42</v>
      </c>
      <c r="B8" s="23"/>
      <c r="C8" s="23"/>
      <c r="D8" s="24"/>
      <c r="E8" s="24"/>
      <c r="F8" s="23"/>
      <c r="G8" s="26"/>
      <c r="H8" s="24"/>
    </row>
    <row r="9" spans="1:8">
      <c r="A9" s="436" t="s">
        <v>204</v>
      </c>
      <c r="B9" s="23"/>
      <c r="C9" s="23"/>
      <c r="D9" s="24"/>
      <c r="E9" s="24"/>
      <c r="F9" s="23"/>
      <c r="G9" s="26"/>
      <c r="H9" s="24"/>
    </row>
    <row r="10" spans="1:8">
      <c r="A10" s="216" t="s">
        <v>1</v>
      </c>
      <c r="B10" s="28">
        <f>SUM($B7:B9)</f>
        <v>0</v>
      </c>
      <c r="C10" s="28">
        <f>SUM($C7:C9)</f>
        <v>0</v>
      </c>
      <c r="D10" s="24"/>
      <c r="E10" s="24"/>
      <c r="F10" s="23"/>
      <c r="G10" s="26"/>
      <c r="H10" s="24"/>
    </row>
    <row r="11" spans="1:8">
      <c r="A11" s="23"/>
      <c r="B11" s="25"/>
      <c r="C11" s="24"/>
      <c r="D11" s="24"/>
      <c r="E11" s="24"/>
      <c r="F11" s="23"/>
      <c r="G11" s="26"/>
      <c r="H11" s="24"/>
    </row>
  </sheetData>
  <mergeCells count="1">
    <mergeCell ref="A4:B4"/>
  </mergeCells>
  <hyperlinks>
    <hyperlink ref="B1" location="ER!A1" display="ER" xr:uid="{90DC4811-92AF-46E2-AF8F-87D4905D1C94}"/>
  </hyperlinks>
  <pageMargins left="0.7" right="0.7" top="0.75" bottom="0.75" header="0.3" footer="0.3"/>
  <ignoredErrors>
    <ignoredError sqref="B10:C10" formulaRange="1"/>
  </ignoredErrors>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1"/>
  <dimension ref="A1:N59"/>
  <sheetViews>
    <sheetView showGridLines="0" topLeftCell="A14" workbookViewId="0">
      <selection activeCell="E26" sqref="E26"/>
    </sheetView>
  </sheetViews>
  <sheetFormatPr baseColWidth="10" defaultRowHeight="15"/>
  <cols>
    <col min="1" max="3" width="24.42578125" style="12" customWidth="1"/>
    <col min="4" max="4" width="27.140625" style="12" customWidth="1"/>
    <col min="5" max="5" width="24.42578125" style="12" customWidth="1"/>
    <col min="6" max="6" width="12.85546875" style="12" customWidth="1"/>
    <col min="7" max="7" width="11.42578125" style="12"/>
    <col min="8" max="8" width="17.28515625" style="12" customWidth="1"/>
    <col min="9" max="14" width="11.42578125" style="12"/>
  </cols>
  <sheetData>
    <row r="1" spans="1:14" ht="18" customHeight="1">
      <c r="A1" s="277" t="str">
        <f>Indice!C1</f>
        <v>NICOLAS GONZALEZ ODDONE S.A.E.C.A</v>
      </c>
      <c r="B1" s="349"/>
      <c r="D1" s="288" t="s">
        <v>234</v>
      </c>
      <c r="E1" s="295"/>
    </row>
    <row r="3" spans="1:14" s="8" customFormat="1" ht="18" customHeight="1">
      <c r="A3" s="1209" t="s">
        <v>233</v>
      </c>
      <c r="B3" s="1209"/>
      <c r="C3" s="1209"/>
      <c r="D3" s="1209"/>
      <c r="E3" s="1209"/>
      <c r="F3" s="56"/>
      <c r="G3" s="56"/>
      <c r="H3" s="56"/>
      <c r="I3" s="56"/>
    </row>
    <row r="4" spans="1:14" ht="23.25">
      <c r="A4" s="334" t="s">
        <v>613</v>
      </c>
    </row>
    <row r="5" spans="1:14" s="31" customFormat="1">
      <c r="A5" s="1275" t="s">
        <v>101</v>
      </c>
      <c r="B5" s="1275"/>
      <c r="C5" s="1275"/>
      <c r="D5" s="1275"/>
      <c r="E5" s="1275"/>
      <c r="F5" s="1275"/>
      <c r="G5" s="1275"/>
      <c r="H5" s="1275"/>
      <c r="I5" s="1275"/>
      <c r="J5" s="30"/>
      <c r="K5" s="30"/>
      <c r="L5" s="30"/>
      <c r="M5" s="30"/>
      <c r="N5" s="30"/>
    </row>
    <row r="6" spans="1:14" s="31" customFormat="1">
      <c r="A6" s="30"/>
      <c r="B6" s="30"/>
      <c r="C6" s="30"/>
      <c r="D6" s="30"/>
      <c r="E6" s="30"/>
      <c r="F6" s="30"/>
      <c r="G6" s="30"/>
      <c r="H6" s="30"/>
      <c r="I6" s="30"/>
      <c r="J6" s="30"/>
      <c r="K6" s="30"/>
      <c r="L6" s="30"/>
      <c r="M6" s="30"/>
      <c r="N6" s="30"/>
    </row>
    <row r="7" spans="1:14" s="31" customFormat="1" ht="15.75" thickBot="1">
      <c r="A7" s="96" t="str">
        <f>IFERROR("Al "&amp;DAY(Indice!B3)&amp;" de "&amp;VLOOKUP(MONTH(Indice!B3),Indice!S:T,2,0)&amp;" de "&amp;YEAR(Indice!B3-365),"Al dia... de mes… de año 2021…")</f>
        <v>Al dia... de mes… de año 2021…</v>
      </c>
      <c r="B7" s="71"/>
      <c r="C7" s="71"/>
      <c r="D7" s="71"/>
      <c r="E7" s="71"/>
      <c r="F7" s="71"/>
      <c r="G7" s="71"/>
      <c r="H7" s="30"/>
      <c r="I7" s="30"/>
      <c r="J7" s="30"/>
      <c r="K7" s="30"/>
      <c r="L7" s="30"/>
      <c r="M7" s="30"/>
      <c r="N7" s="30"/>
    </row>
    <row r="8" spans="1:14" s="31" customFormat="1" ht="15.75" thickBot="1">
      <c r="A8" s="432" t="s">
        <v>102</v>
      </c>
      <c r="B8" s="433" t="s">
        <v>103</v>
      </c>
      <c r="C8" s="432" t="s">
        <v>73</v>
      </c>
      <c r="D8" s="432" t="s">
        <v>104</v>
      </c>
      <c r="E8" s="432" t="s">
        <v>105</v>
      </c>
      <c r="F8" s="30"/>
      <c r="G8" s="30"/>
      <c r="H8" s="30"/>
      <c r="I8" s="30"/>
      <c r="J8" s="30"/>
      <c r="K8" s="30"/>
      <c r="L8" s="30"/>
      <c r="M8" s="30"/>
      <c r="N8" s="30"/>
    </row>
    <row r="9" spans="1:14" s="31" customFormat="1">
      <c r="A9" s="32"/>
      <c r="B9" s="33"/>
      <c r="C9" s="34"/>
      <c r="D9" s="34"/>
      <c r="E9" s="35"/>
      <c r="F9" s="30"/>
      <c r="G9" s="30"/>
      <c r="H9" s="30"/>
      <c r="I9" s="30"/>
      <c r="J9" s="30"/>
      <c r="K9" s="30"/>
      <c r="L9" s="30"/>
      <c r="M9" s="30"/>
      <c r="N9" s="30"/>
    </row>
    <row r="10" spans="1:14" s="31" customFormat="1" ht="15" customHeight="1">
      <c r="A10" s="36"/>
      <c r="B10" s="37"/>
      <c r="C10" s="38"/>
      <c r="D10" s="38"/>
      <c r="E10" s="39"/>
      <c r="F10" s="30"/>
      <c r="G10" s="30"/>
      <c r="H10" s="30"/>
      <c r="I10" s="30"/>
      <c r="J10" s="30"/>
      <c r="K10" s="30"/>
      <c r="L10" s="30"/>
      <c r="M10" s="30"/>
      <c r="N10" s="30"/>
    </row>
    <row r="11" spans="1:14" s="31" customFormat="1">
      <c r="A11" s="36"/>
      <c r="B11" s="37"/>
      <c r="C11" s="38"/>
      <c r="D11" s="38"/>
      <c r="E11" s="39"/>
      <c r="F11" s="30"/>
      <c r="G11" s="30"/>
      <c r="H11" s="30"/>
      <c r="I11" s="30"/>
      <c r="J11" s="30"/>
      <c r="K11" s="30"/>
      <c r="L11" s="30"/>
      <c r="M11" s="30"/>
      <c r="N11" s="30"/>
    </row>
    <row r="12" spans="1:14" s="31" customFormat="1" ht="15.75" thickBot="1">
      <c r="A12" s="40"/>
      <c r="B12" s="41"/>
      <c r="C12" s="42"/>
      <c r="D12" s="42"/>
      <c r="E12" s="43"/>
      <c r="F12" s="30"/>
      <c r="G12" s="30"/>
      <c r="H12" s="30"/>
      <c r="I12" s="30"/>
      <c r="J12" s="30"/>
      <c r="K12" s="30"/>
      <c r="L12" s="30"/>
      <c r="M12" s="30"/>
      <c r="N12" s="30"/>
    </row>
    <row r="13" spans="1:14" s="31" customFormat="1">
      <c r="A13" s="118"/>
      <c r="B13" s="118"/>
      <c r="C13" s="118"/>
      <c r="D13" s="118"/>
      <c r="E13" s="118"/>
      <c r="F13" s="30"/>
      <c r="G13" s="30"/>
      <c r="H13" s="30"/>
      <c r="I13" s="30"/>
      <c r="J13" s="30"/>
      <c r="K13" s="30"/>
      <c r="L13" s="30"/>
      <c r="M13" s="30"/>
      <c r="N13" s="30"/>
    </row>
    <row r="14" spans="1:14" s="31" customFormat="1" ht="15.75" thickBot="1">
      <c r="A14" s="96" t="str">
        <f>IFERROR("Al "&amp;DAY(Indice!B3)&amp;" de "&amp;VLOOKUP(MONTH(Indice!B3),Indice!S:T,2,0)&amp;" de "&amp;YEAR(Indice!B3-1),"Al dia... de mes… de año 2021…")</f>
        <v>Al dia... de mes… de año 2021…</v>
      </c>
      <c r="B14" s="434"/>
      <c r="C14" s="434"/>
      <c r="D14" s="434"/>
      <c r="E14" s="434"/>
      <c r="F14" s="30"/>
      <c r="G14" s="30"/>
      <c r="H14" s="30"/>
      <c r="I14" s="30"/>
      <c r="J14" s="30"/>
      <c r="K14" s="30"/>
      <c r="L14" s="30"/>
      <c r="M14" s="30"/>
      <c r="N14" s="30"/>
    </row>
    <row r="15" spans="1:14" s="31" customFormat="1" ht="28.5" customHeight="1" thickBot="1">
      <c r="A15" s="432" t="s">
        <v>102</v>
      </c>
      <c r="B15" s="433" t="s">
        <v>103</v>
      </c>
      <c r="C15" s="432" t="s">
        <v>73</v>
      </c>
      <c r="D15" s="432" t="s">
        <v>104</v>
      </c>
      <c r="E15" s="432" t="s">
        <v>105</v>
      </c>
      <c r="F15" s="30"/>
      <c r="G15" s="30"/>
      <c r="H15" s="30"/>
      <c r="I15" s="30"/>
      <c r="J15" s="30"/>
      <c r="K15" s="30"/>
      <c r="L15" s="30"/>
      <c r="M15" s="30"/>
      <c r="N15" s="30"/>
    </row>
    <row r="16" spans="1:14" s="31" customFormat="1">
      <c r="A16" s="32"/>
      <c r="B16" s="33"/>
      <c r="C16" s="34"/>
      <c r="D16" s="34"/>
      <c r="E16" s="35"/>
      <c r="F16" s="30"/>
      <c r="G16" s="30"/>
      <c r="H16" s="30"/>
      <c r="I16" s="30"/>
      <c r="J16" s="30"/>
      <c r="K16" s="30"/>
      <c r="L16" s="30"/>
      <c r="M16" s="30"/>
      <c r="N16" s="30"/>
    </row>
    <row r="17" spans="1:14" s="31" customFormat="1">
      <c r="A17" s="36"/>
      <c r="B17" s="37"/>
      <c r="C17" s="38"/>
      <c r="D17" s="38"/>
      <c r="E17" s="39"/>
      <c r="F17" s="30"/>
      <c r="G17" s="30"/>
      <c r="H17" s="30"/>
      <c r="I17" s="30"/>
      <c r="J17" s="30"/>
      <c r="K17" s="30"/>
      <c r="L17" s="30"/>
      <c r="M17" s="30"/>
      <c r="N17" s="30"/>
    </row>
    <row r="18" spans="1:14" s="31" customFormat="1">
      <c r="A18" s="36"/>
      <c r="B18" s="37"/>
      <c r="C18" s="38"/>
      <c r="D18" s="38"/>
      <c r="E18" s="39"/>
      <c r="F18" s="30"/>
      <c r="G18" s="30"/>
      <c r="H18" s="30"/>
      <c r="I18" s="30"/>
      <c r="J18" s="30"/>
      <c r="K18" s="30"/>
      <c r="L18" s="30"/>
      <c r="M18" s="30"/>
      <c r="N18" s="30"/>
    </row>
    <row r="19" spans="1:14" s="31" customFormat="1" ht="15.75" thickBot="1">
      <c r="A19" s="40"/>
      <c r="B19" s="41"/>
      <c r="C19" s="42"/>
      <c r="D19" s="42"/>
      <c r="E19" s="43"/>
      <c r="F19" s="30"/>
      <c r="G19" s="30"/>
      <c r="H19" s="30"/>
      <c r="I19" s="30"/>
      <c r="J19" s="30"/>
      <c r="K19" s="30"/>
      <c r="L19" s="30"/>
      <c r="M19" s="30"/>
      <c r="N19" s="30"/>
    </row>
    <row r="20" spans="1:14" s="31" customFormat="1">
      <c r="A20" s="30"/>
      <c r="B20" s="30"/>
      <c r="C20" s="30"/>
      <c r="D20" s="30"/>
      <c r="E20" s="30"/>
      <c r="F20" s="30"/>
      <c r="G20" s="30"/>
      <c r="H20" s="30"/>
      <c r="I20" s="30"/>
      <c r="J20" s="30"/>
      <c r="K20" s="30"/>
      <c r="L20" s="30"/>
      <c r="M20" s="30"/>
      <c r="N20" s="30"/>
    </row>
    <row r="21" spans="1:14" s="31" customFormat="1">
      <c r="A21" s="30"/>
      <c r="B21" s="30"/>
      <c r="C21" s="30"/>
      <c r="D21" s="30"/>
      <c r="E21" s="30"/>
      <c r="F21" s="30"/>
      <c r="G21" s="30"/>
      <c r="H21" s="30"/>
      <c r="I21" s="30"/>
      <c r="J21" s="30"/>
      <c r="K21" s="30"/>
      <c r="L21" s="30"/>
      <c r="M21" s="30"/>
      <c r="N21" s="30"/>
    </row>
    <row r="22" spans="1:14" s="31" customFormat="1">
      <c r="A22" s="30"/>
      <c r="B22" s="30"/>
      <c r="C22" s="30"/>
      <c r="D22" s="30"/>
      <c r="E22" s="30"/>
      <c r="F22" s="30"/>
      <c r="G22" s="30"/>
      <c r="H22" s="30"/>
      <c r="I22" s="30"/>
      <c r="J22" s="30"/>
      <c r="K22" s="30"/>
      <c r="L22" s="30"/>
      <c r="M22" s="30"/>
      <c r="N22" s="30"/>
    </row>
    <row r="23" spans="1:14" s="31" customFormat="1">
      <c r="A23" s="30"/>
      <c r="B23" s="30"/>
      <c r="C23" s="30"/>
      <c r="D23" s="30"/>
      <c r="E23" s="30"/>
      <c r="F23" s="30"/>
      <c r="G23" s="30"/>
      <c r="H23" s="30"/>
      <c r="I23" s="30"/>
      <c r="J23" s="30"/>
      <c r="K23" s="30"/>
      <c r="L23" s="30"/>
      <c r="M23" s="30"/>
      <c r="N23" s="30"/>
    </row>
    <row r="24" spans="1:14" s="31" customFormat="1">
      <c r="A24" s="30"/>
      <c r="B24" s="30"/>
      <c r="C24" s="30"/>
      <c r="D24" s="30"/>
      <c r="E24" s="30"/>
      <c r="F24" s="30"/>
      <c r="G24" s="30"/>
      <c r="H24" s="30"/>
      <c r="I24" s="30"/>
      <c r="J24" s="30"/>
      <c r="K24" s="30"/>
      <c r="L24" s="30"/>
      <c r="M24" s="30"/>
      <c r="N24" s="30"/>
    </row>
    <row r="25" spans="1:14" s="31" customFormat="1">
      <c r="A25" s="30"/>
      <c r="B25" s="30"/>
      <c r="C25" s="30"/>
      <c r="D25" s="30"/>
      <c r="E25" s="30"/>
      <c r="F25" s="30"/>
      <c r="G25" s="30"/>
      <c r="H25" s="30"/>
      <c r="I25" s="30"/>
      <c r="J25" s="30"/>
      <c r="K25" s="30"/>
      <c r="L25" s="30"/>
      <c r="M25" s="30"/>
      <c r="N25" s="30"/>
    </row>
    <row r="26" spans="1:14" s="31" customFormat="1">
      <c r="A26" s="30"/>
      <c r="B26" s="30"/>
      <c r="C26" s="30"/>
      <c r="D26" s="30"/>
      <c r="E26" s="30"/>
      <c r="F26" s="30"/>
      <c r="G26" s="30"/>
      <c r="H26" s="30"/>
      <c r="I26" s="30"/>
      <c r="J26" s="30"/>
      <c r="K26" s="30"/>
      <c r="L26" s="30"/>
      <c r="M26" s="30"/>
      <c r="N26" s="30"/>
    </row>
    <row r="27" spans="1:14" s="31" customFormat="1">
      <c r="A27" s="30"/>
      <c r="B27" s="30"/>
      <c r="C27" s="30"/>
      <c r="D27" s="30"/>
      <c r="E27" s="30"/>
      <c r="F27" s="30"/>
      <c r="G27" s="30"/>
      <c r="H27" s="30"/>
      <c r="I27" s="30"/>
      <c r="J27" s="30"/>
      <c r="K27" s="30"/>
      <c r="L27" s="30"/>
      <c r="M27" s="30"/>
      <c r="N27" s="30"/>
    </row>
    <row r="28" spans="1:14" s="31" customFormat="1">
      <c r="A28" s="30"/>
      <c r="B28" s="30"/>
      <c r="C28" s="30"/>
      <c r="D28" s="30"/>
      <c r="E28" s="30"/>
      <c r="F28" s="30"/>
      <c r="G28" s="30"/>
      <c r="H28" s="30"/>
      <c r="I28" s="30"/>
      <c r="J28" s="30"/>
      <c r="K28" s="30"/>
      <c r="L28" s="30"/>
      <c r="M28" s="30"/>
      <c r="N28" s="30"/>
    </row>
    <row r="29" spans="1:14" s="31" customFormat="1">
      <c r="A29" s="30"/>
      <c r="B29" s="30"/>
      <c r="C29" s="30"/>
      <c r="D29" s="30"/>
      <c r="E29" s="30"/>
      <c r="F29" s="30"/>
      <c r="G29" s="30"/>
      <c r="H29" s="30"/>
      <c r="I29" s="30"/>
      <c r="J29" s="30"/>
      <c r="K29" s="30"/>
      <c r="L29" s="30"/>
      <c r="M29" s="30"/>
      <c r="N29" s="30"/>
    </row>
    <row r="30" spans="1:14" s="31" customFormat="1">
      <c r="A30" s="30"/>
      <c r="B30" s="30"/>
      <c r="C30" s="30"/>
      <c r="D30" s="30"/>
      <c r="E30" s="30"/>
      <c r="F30" s="30"/>
      <c r="G30" s="30"/>
      <c r="H30" s="30"/>
      <c r="I30" s="30"/>
      <c r="J30" s="30"/>
      <c r="K30" s="30"/>
      <c r="L30" s="30"/>
      <c r="M30" s="30"/>
      <c r="N30" s="30"/>
    </row>
    <row r="31" spans="1:14" s="31" customFormat="1">
      <c r="A31" s="30"/>
      <c r="B31" s="30"/>
      <c r="C31" s="30"/>
      <c r="D31" s="30"/>
      <c r="E31" s="30"/>
      <c r="F31" s="30"/>
      <c r="G31" s="30"/>
      <c r="H31" s="30"/>
      <c r="I31" s="30"/>
      <c r="J31" s="30"/>
      <c r="K31" s="30"/>
      <c r="L31" s="30"/>
      <c r="M31" s="30"/>
      <c r="N31" s="30"/>
    </row>
    <row r="32" spans="1:14" s="31" customFormat="1">
      <c r="A32" s="30"/>
      <c r="B32" s="30"/>
      <c r="C32" s="30"/>
      <c r="D32" s="30"/>
      <c r="E32" s="30"/>
      <c r="F32" s="30"/>
      <c r="G32" s="30"/>
      <c r="H32" s="30"/>
      <c r="I32" s="30"/>
      <c r="J32" s="30"/>
      <c r="K32" s="30"/>
      <c r="L32" s="30"/>
      <c r="M32" s="30"/>
      <c r="N32" s="30"/>
    </row>
    <row r="33" spans="1:14" s="31" customFormat="1">
      <c r="A33" s="30"/>
      <c r="B33" s="30"/>
      <c r="C33" s="30"/>
      <c r="D33" s="30"/>
      <c r="E33" s="30"/>
      <c r="F33" s="30"/>
      <c r="G33" s="30"/>
      <c r="H33" s="30"/>
      <c r="I33" s="30"/>
      <c r="J33" s="30"/>
      <c r="K33" s="30"/>
      <c r="L33" s="30"/>
      <c r="M33" s="30"/>
      <c r="N33" s="30"/>
    </row>
    <row r="34" spans="1:14" s="31" customFormat="1">
      <c r="A34" s="30"/>
      <c r="B34" s="30"/>
      <c r="C34" s="30"/>
      <c r="D34" s="30"/>
      <c r="E34" s="30"/>
      <c r="F34" s="30"/>
      <c r="G34" s="30"/>
      <c r="H34" s="30"/>
      <c r="I34" s="30"/>
      <c r="J34" s="30"/>
      <c r="K34" s="30"/>
      <c r="L34" s="30"/>
      <c r="M34" s="30"/>
      <c r="N34" s="30"/>
    </row>
    <row r="35" spans="1:14" s="31" customFormat="1">
      <c r="A35" s="30"/>
      <c r="B35" s="30"/>
      <c r="C35" s="30"/>
      <c r="D35" s="30"/>
      <c r="E35" s="30"/>
      <c r="F35" s="30"/>
      <c r="G35" s="30"/>
      <c r="H35" s="30"/>
      <c r="I35" s="30"/>
      <c r="J35" s="30"/>
      <c r="K35" s="30"/>
      <c r="L35" s="30"/>
      <c r="M35" s="30"/>
      <c r="N35" s="30"/>
    </row>
    <row r="36" spans="1:14" s="31" customFormat="1">
      <c r="A36" s="30"/>
      <c r="B36" s="30"/>
      <c r="C36" s="30"/>
      <c r="D36" s="30"/>
      <c r="E36" s="30"/>
      <c r="F36" s="30"/>
      <c r="G36" s="30"/>
      <c r="H36" s="30"/>
      <c r="I36" s="30"/>
      <c r="J36" s="30"/>
      <c r="K36" s="30"/>
      <c r="L36" s="30"/>
      <c r="M36" s="30"/>
      <c r="N36" s="30"/>
    </row>
    <row r="37" spans="1:14" s="31" customFormat="1">
      <c r="A37" s="30"/>
      <c r="B37" s="30"/>
      <c r="C37" s="30"/>
      <c r="D37" s="30"/>
      <c r="E37" s="30"/>
      <c r="F37" s="30"/>
      <c r="G37" s="30"/>
      <c r="H37" s="30"/>
      <c r="I37" s="30"/>
      <c r="J37" s="30"/>
      <c r="K37" s="30"/>
      <c r="L37" s="30"/>
      <c r="M37" s="30"/>
      <c r="N37" s="30"/>
    </row>
    <row r="38" spans="1:14" s="31" customFormat="1">
      <c r="A38" s="30"/>
      <c r="B38" s="30"/>
      <c r="C38" s="30"/>
      <c r="D38" s="30"/>
      <c r="E38" s="30"/>
      <c r="F38" s="30"/>
      <c r="G38" s="30"/>
      <c r="H38" s="30"/>
      <c r="I38" s="30"/>
      <c r="J38" s="30"/>
      <c r="K38" s="30"/>
      <c r="L38" s="30"/>
      <c r="M38" s="30"/>
      <c r="N38" s="30"/>
    </row>
    <row r="39" spans="1:14" s="31" customFormat="1">
      <c r="A39" s="30"/>
      <c r="B39" s="30"/>
      <c r="C39" s="30"/>
      <c r="D39" s="30"/>
      <c r="E39" s="30"/>
      <c r="F39" s="30"/>
      <c r="G39" s="30"/>
      <c r="H39" s="30"/>
      <c r="I39" s="30"/>
      <c r="J39" s="30"/>
      <c r="K39" s="30"/>
      <c r="L39" s="30"/>
      <c r="M39" s="30"/>
      <c r="N39" s="30"/>
    </row>
    <row r="40" spans="1:14" s="31" customFormat="1">
      <c r="A40" s="30"/>
      <c r="B40" s="30"/>
      <c r="C40" s="30"/>
      <c r="D40" s="30"/>
      <c r="E40" s="30"/>
      <c r="F40" s="30"/>
      <c r="G40" s="30"/>
      <c r="H40" s="30"/>
      <c r="I40" s="30"/>
      <c r="J40" s="30"/>
      <c r="K40" s="30"/>
      <c r="L40" s="30"/>
      <c r="M40" s="30"/>
      <c r="N40" s="30"/>
    </row>
    <row r="41" spans="1:14" s="31" customFormat="1">
      <c r="A41" s="30"/>
      <c r="B41" s="30"/>
      <c r="C41" s="30"/>
      <c r="D41" s="30"/>
      <c r="E41" s="30"/>
      <c r="F41" s="30"/>
      <c r="G41" s="30"/>
      <c r="H41" s="30"/>
      <c r="I41" s="30"/>
      <c r="J41" s="30"/>
      <c r="K41" s="30"/>
      <c r="L41" s="30"/>
      <c r="M41" s="30"/>
      <c r="N41" s="30"/>
    </row>
    <row r="42" spans="1:14" s="31" customFormat="1">
      <c r="A42" s="30"/>
      <c r="B42" s="30"/>
      <c r="C42" s="30"/>
      <c r="D42" s="30"/>
      <c r="E42" s="30"/>
      <c r="F42" s="30"/>
      <c r="G42" s="30"/>
      <c r="H42" s="30"/>
      <c r="I42" s="30"/>
      <c r="J42" s="30"/>
      <c r="K42" s="30"/>
      <c r="L42" s="30"/>
      <c r="M42" s="30"/>
      <c r="N42" s="30"/>
    </row>
    <row r="43" spans="1:14" s="31" customFormat="1">
      <c r="A43" s="30"/>
      <c r="B43" s="30"/>
      <c r="C43" s="30"/>
      <c r="D43" s="30"/>
      <c r="E43" s="30"/>
      <c r="F43" s="30"/>
      <c r="G43" s="30"/>
      <c r="H43" s="30"/>
      <c r="I43" s="30"/>
      <c r="J43" s="30"/>
      <c r="K43" s="30"/>
      <c r="L43" s="30"/>
      <c r="M43" s="30"/>
      <c r="N43" s="30"/>
    </row>
    <row r="44" spans="1:14" s="31" customFormat="1">
      <c r="A44" s="30"/>
      <c r="B44" s="30"/>
      <c r="C44" s="30"/>
      <c r="D44" s="30"/>
      <c r="E44" s="30"/>
      <c r="F44" s="30"/>
      <c r="G44" s="30"/>
      <c r="H44" s="30"/>
      <c r="I44" s="30"/>
      <c r="J44" s="30"/>
      <c r="K44" s="30"/>
      <c r="L44" s="30"/>
      <c r="M44" s="30"/>
      <c r="N44" s="30"/>
    </row>
    <row r="45" spans="1:14" s="31" customFormat="1">
      <c r="A45" s="30"/>
      <c r="B45" s="30"/>
      <c r="C45" s="30"/>
      <c r="D45" s="30"/>
      <c r="E45" s="30"/>
      <c r="F45" s="30"/>
      <c r="G45" s="30"/>
      <c r="H45" s="30"/>
      <c r="I45" s="30"/>
      <c r="J45" s="30"/>
      <c r="K45" s="30"/>
      <c r="L45" s="30"/>
      <c r="M45" s="30"/>
      <c r="N45" s="30"/>
    </row>
    <row r="46" spans="1:14" s="31" customFormat="1">
      <c r="A46" s="30"/>
      <c r="B46" s="30"/>
      <c r="C46" s="30"/>
      <c r="D46" s="30"/>
      <c r="E46" s="30"/>
      <c r="F46" s="30"/>
      <c r="G46" s="30"/>
      <c r="H46" s="30"/>
      <c r="I46" s="30"/>
      <c r="J46" s="30"/>
      <c r="K46" s="30"/>
      <c r="L46" s="30"/>
      <c r="M46" s="30"/>
      <c r="N46" s="30"/>
    </row>
    <row r="47" spans="1:14" s="31" customFormat="1">
      <c r="A47" s="30"/>
      <c r="B47" s="30"/>
      <c r="C47" s="30"/>
      <c r="D47" s="30"/>
      <c r="E47" s="30"/>
      <c r="F47" s="30"/>
      <c r="G47" s="30"/>
      <c r="H47" s="30"/>
      <c r="I47" s="30"/>
      <c r="J47" s="30"/>
      <c r="K47" s="30"/>
      <c r="L47" s="30"/>
      <c r="M47" s="30"/>
      <c r="N47" s="30"/>
    </row>
    <row r="48" spans="1:14" s="31" customFormat="1">
      <c r="A48" s="30"/>
      <c r="B48" s="30"/>
      <c r="C48" s="30"/>
      <c r="D48" s="30"/>
      <c r="E48" s="30"/>
      <c r="F48" s="30"/>
      <c r="G48" s="30"/>
      <c r="H48" s="30"/>
      <c r="I48" s="30"/>
      <c r="J48" s="30"/>
      <c r="K48" s="30"/>
      <c r="L48" s="30"/>
      <c r="M48" s="30"/>
      <c r="N48" s="30"/>
    </row>
    <row r="49" spans="1:14" s="31" customFormat="1">
      <c r="A49" s="30"/>
      <c r="B49" s="30"/>
      <c r="C49" s="30"/>
      <c r="D49" s="30"/>
      <c r="E49" s="30"/>
      <c r="F49" s="30"/>
      <c r="G49" s="30"/>
      <c r="H49" s="30"/>
      <c r="I49" s="30"/>
      <c r="J49" s="30"/>
      <c r="K49" s="30"/>
      <c r="L49" s="30"/>
      <c r="M49" s="30"/>
      <c r="N49" s="30"/>
    </row>
    <row r="50" spans="1:14" s="31" customFormat="1">
      <c r="A50" s="30"/>
      <c r="B50" s="30"/>
      <c r="C50" s="30"/>
      <c r="D50" s="30"/>
      <c r="E50" s="30"/>
      <c r="F50" s="30"/>
      <c r="G50" s="30"/>
      <c r="H50" s="30"/>
      <c r="I50" s="30"/>
      <c r="J50" s="30"/>
      <c r="K50" s="30"/>
      <c r="L50" s="30"/>
      <c r="M50" s="30"/>
      <c r="N50" s="30"/>
    </row>
    <row r="51" spans="1:14" s="31" customFormat="1">
      <c r="A51" s="30"/>
      <c r="B51" s="30"/>
      <c r="C51" s="30"/>
      <c r="D51" s="30"/>
      <c r="E51" s="30"/>
      <c r="F51" s="30"/>
      <c r="G51" s="30"/>
      <c r="H51" s="30"/>
      <c r="I51" s="30"/>
      <c r="J51" s="30"/>
      <c r="K51" s="30"/>
      <c r="L51" s="30"/>
      <c r="M51" s="30"/>
      <c r="N51" s="30"/>
    </row>
    <row r="52" spans="1:14" s="31" customFormat="1">
      <c r="A52" s="30"/>
      <c r="B52" s="30"/>
      <c r="C52" s="30"/>
      <c r="D52" s="30"/>
      <c r="E52" s="30"/>
      <c r="F52" s="30"/>
      <c r="G52" s="30"/>
      <c r="H52" s="30"/>
      <c r="I52" s="30"/>
      <c r="J52" s="30"/>
      <c r="K52" s="30"/>
      <c r="L52" s="30"/>
      <c r="M52" s="30"/>
      <c r="N52" s="30"/>
    </row>
    <row r="53" spans="1:14" s="31" customFormat="1">
      <c r="A53" s="30"/>
      <c r="B53" s="30"/>
      <c r="C53" s="30"/>
      <c r="D53" s="30"/>
      <c r="E53" s="30"/>
      <c r="F53" s="30"/>
      <c r="G53" s="30"/>
      <c r="H53" s="30"/>
      <c r="I53" s="30"/>
      <c r="J53" s="30"/>
      <c r="K53" s="30"/>
      <c r="L53" s="30"/>
      <c r="M53" s="30"/>
      <c r="N53" s="30"/>
    </row>
    <row r="54" spans="1:14" s="31" customFormat="1">
      <c r="A54" s="30"/>
      <c r="B54" s="30"/>
      <c r="C54" s="30"/>
      <c r="D54" s="30"/>
      <c r="E54" s="30"/>
      <c r="F54" s="30"/>
      <c r="G54" s="30"/>
      <c r="H54" s="30"/>
      <c r="I54" s="30"/>
      <c r="J54" s="30"/>
      <c r="K54" s="30"/>
      <c r="L54" s="30"/>
      <c r="M54" s="30"/>
      <c r="N54" s="30"/>
    </row>
    <row r="55" spans="1:14" s="31" customFormat="1">
      <c r="A55" s="30"/>
      <c r="B55" s="30"/>
      <c r="C55" s="30"/>
      <c r="D55" s="30"/>
      <c r="E55" s="30"/>
      <c r="F55" s="30"/>
      <c r="G55" s="30"/>
      <c r="H55" s="30"/>
      <c r="I55" s="30"/>
      <c r="J55" s="30"/>
      <c r="K55" s="30"/>
      <c r="L55" s="30"/>
      <c r="M55" s="30"/>
      <c r="N55" s="30"/>
    </row>
    <row r="56" spans="1:14" s="31" customFormat="1">
      <c r="A56" s="30"/>
      <c r="B56" s="30"/>
      <c r="C56" s="30"/>
      <c r="D56" s="30"/>
      <c r="E56" s="30"/>
      <c r="F56" s="30"/>
      <c r="G56" s="30"/>
      <c r="H56" s="30"/>
      <c r="I56" s="30"/>
      <c r="J56" s="30"/>
      <c r="K56" s="30"/>
      <c r="L56" s="30"/>
      <c r="M56" s="30"/>
      <c r="N56" s="30"/>
    </row>
    <row r="57" spans="1:14" s="31" customFormat="1">
      <c r="A57" s="30"/>
      <c r="B57" s="30"/>
      <c r="C57" s="30"/>
      <c r="D57" s="30"/>
      <c r="E57" s="30"/>
      <c r="F57" s="30"/>
      <c r="G57" s="30"/>
      <c r="H57" s="30"/>
      <c r="I57" s="30"/>
      <c r="J57" s="30"/>
      <c r="K57" s="30"/>
      <c r="L57" s="30"/>
      <c r="M57" s="30"/>
      <c r="N57" s="30"/>
    </row>
    <row r="58" spans="1:14" s="31" customFormat="1">
      <c r="A58" s="30"/>
      <c r="B58" s="30"/>
      <c r="C58" s="30"/>
      <c r="D58" s="30"/>
      <c r="E58" s="30"/>
      <c r="F58" s="30"/>
      <c r="G58" s="30"/>
      <c r="H58" s="30"/>
      <c r="I58" s="30"/>
      <c r="J58" s="30"/>
      <c r="K58" s="30"/>
      <c r="L58" s="30"/>
      <c r="M58" s="30"/>
      <c r="N58" s="30"/>
    </row>
    <row r="59" spans="1:14" s="31" customFormat="1">
      <c r="A59" s="30"/>
      <c r="B59" s="30"/>
      <c r="C59" s="30"/>
      <c r="D59" s="30"/>
      <c r="E59" s="30"/>
      <c r="F59" s="30"/>
      <c r="G59" s="30"/>
      <c r="H59" s="30"/>
      <c r="I59" s="30"/>
      <c r="J59" s="30"/>
      <c r="K59" s="30"/>
      <c r="L59" s="30"/>
      <c r="M59" s="30"/>
      <c r="N59" s="30"/>
    </row>
  </sheetData>
  <mergeCells count="2">
    <mergeCell ref="A5:I5"/>
    <mergeCell ref="A3:E3"/>
  </mergeCells>
  <hyperlinks>
    <hyperlink ref="D1" location="Indice!A1" display="Indice" xr:uid="{00000000-0004-0000-2A00-000000000000}"/>
  </hyperlinks>
  <pageMargins left="0.7" right="0.7" top="0.75" bottom="0.75" header="0.3" footer="0.3"/>
  <pageSetup paperSize="9" orientation="portrait" verticalDpi="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0"/>
  <dimension ref="A1:N14"/>
  <sheetViews>
    <sheetView showGridLines="0" workbookViewId="0">
      <selection activeCell="B1" sqref="B1"/>
    </sheetView>
  </sheetViews>
  <sheetFormatPr baseColWidth="10" defaultColWidth="11.42578125" defaultRowHeight="15"/>
  <cols>
    <col min="1" max="1" width="43.85546875" style="12" customWidth="1"/>
    <col min="2" max="2" width="20.28515625" style="12" customWidth="1"/>
    <col min="3" max="3" width="19.140625" style="12" customWidth="1"/>
    <col min="4" max="4" width="2.85546875" style="12" hidden="1" customWidth="1"/>
    <col min="5" max="5" width="24.42578125" style="12" hidden="1" customWidth="1"/>
    <col min="6" max="6" width="12.85546875" style="12" hidden="1" customWidth="1"/>
    <col min="7" max="7" width="11.42578125" style="12" hidden="1" customWidth="1"/>
    <col min="8" max="8" width="17.28515625" style="12" hidden="1" customWidth="1"/>
    <col min="9" max="9" width="11.42578125" style="12" hidden="1" customWidth="1"/>
    <col min="10" max="10" width="11.42578125" style="12"/>
    <col min="11" max="11" width="14.7109375" style="12" bestFit="1" customWidth="1"/>
    <col min="12" max="14" width="11.42578125" style="12"/>
    <col min="15" max="16384" width="11.42578125" style="62"/>
  </cols>
  <sheetData>
    <row r="1" spans="1:14" ht="17.25" customHeight="1">
      <c r="A1" s="277" t="str">
        <f>Indice!C1</f>
        <v>NICOLAS GONZALEZ ODDONE S.A.E.C.A</v>
      </c>
      <c r="B1" s="919" t="s">
        <v>84</v>
      </c>
      <c r="C1" s="295"/>
      <c r="E1" s="19" t="s">
        <v>84</v>
      </c>
    </row>
    <row r="3" spans="1:14" ht="16.5" customHeight="1">
      <c r="A3" s="276" t="s">
        <v>205</v>
      </c>
      <c r="B3" s="276"/>
      <c r="C3" s="276"/>
      <c r="D3" s="55"/>
      <c r="E3" s="55"/>
      <c r="F3" s="55"/>
      <c r="G3" s="55"/>
      <c r="H3" s="55"/>
      <c r="I3" s="55"/>
    </row>
    <row r="4" spans="1:14" ht="15" customHeight="1">
      <c r="B4" s="52"/>
    </row>
    <row r="5" spans="1:14" ht="15" customHeight="1">
      <c r="A5" s="196" t="s">
        <v>582</v>
      </c>
      <c r="B5" s="804">
        <v>44561</v>
      </c>
      <c r="C5" s="804">
        <v>44196</v>
      </c>
    </row>
    <row r="6" spans="1:14" s="12" customFormat="1" ht="15" customHeight="1">
      <c r="A6" s="118" t="s">
        <v>615</v>
      </c>
      <c r="B6" s="463">
        <f>3792182+817074</f>
        <v>4609256</v>
      </c>
      <c r="C6" s="463">
        <v>3792182</v>
      </c>
      <c r="D6" s="69"/>
      <c r="E6" s="69"/>
      <c r="F6" s="69"/>
      <c r="G6" s="69"/>
      <c r="H6" s="69"/>
      <c r="I6" s="69"/>
    </row>
    <row r="7" spans="1:14" s="373" customFormat="1" ht="15" customHeight="1">
      <c r="A7" s="118" t="s">
        <v>616</v>
      </c>
      <c r="B7" s="463">
        <f>1355574+292074</f>
        <v>1647648</v>
      </c>
      <c r="C7" s="463">
        <v>1355574</v>
      </c>
      <c r="D7" s="381"/>
      <c r="E7" s="381"/>
      <c r="F7" s="381"/>
      <c r="G7" s="381"/>
      <c r="H7" s="381"/>
      <c r="I7" s="381"/>
    </row>
    <row r="8" spans="1:14" s="373" customFormat="1" ht="15" customHeight="1">
      <c r="A8" s="118" t="s">
        <v>617</v>
      </c>
      <c r="B8" s="463">
        <f>1201220+314104</f>
        <v>1515324</v>
      </c>
      <c r="C8" s="463">
        <v>1201220</v>
      </c>
      <c r="D8" s="381"/>
      <c r="E8" s="381"/>
      <c r="F8" s="381"/>
      <c r="G8" s="381"/>
      <c r="H8" s="381"/>
      <c r="I8" s="381"/>
    </row>
    <row r="9" spans="1:14" s="373" customFormat="1" ht="15" customHeight="1">
      <c r="A9" s="462" t="s">
        <v>614</v>
      </c>
      <c r="B9" s="464">
        <f>SUM(B6:B8)</f>
        <v>7772228</v>
      </c>
      <c r="C9" s="464">
        <v>6348976</v>
      </c>
      <c r="D9" s="381"/>
      <c r="E9" s="381"/>
      <c r="F9" s="381"/>
      <c r="G9" s="381"/>
      <c r="H9" s="381"/>
      <c r="I9" s="381"/>
    </row>
    <row r="10" spans="1:14" ht="15" customHeight="1">
      <c r="A10" s="235" t="s">
        <v>297</v>
      </c>
      <c r="B10" s="892">
        <v>111952781789</v>
      </c>
      <c r="C10" s="1145">
        <v>102604200814</v>
      </c>
    </row>
    <row r="11" spans="1:14" ht="18" customHeight="1">
      <c r="A11" s="191" t="s">
        <v>846</v>
      </c>
      <c r="B11" s="464">
        <f>IFERROR(B10/B9,0)</f>
        <v>14404.207106250615</v>
      </c>
      <c r="C11" s="464">
        <f>IFERROR(C10/C9,0)</f>
        <v>16160.747940140269</v>
      </c>
      <c r="D11" s="69"/>
      <c r="E11" s="69"/>
      <c r="F11" s="69"/>
      <c r="G11" s="69"/>
      <c r="H11" s="69"/>
      <c r="I11" s="69"/>
      <c r="K11" s="74"/>
      <c r="L11" s="74"/>
    </row>
    <row r="12" spans="1:14" ht="12.75" customHeight="1">
      <c r="A12" s="111"/>
      <c r="B12" s="111"/>
      <c r="C12" s="111"/>
    </row>
    <row r="13" spans="1:14" s="355" customFormat="1" ht="66.75" customHeight="1">
      <c r="A13" s="1276" t="s">
        <v>639</v>
      </c>
      <c r="B13" s="1276"/>
      <c r="C13" s="1276"/>
      <c r="D13" s="1276"/>
      <c r="E13" s="1276"/>
      <c r="F13" s="1276"/>
      <c r="G13" s="1276"/>
      <c r="N13" s="373"/>
    </row>
    <row r="14" spans="1:14" s="355" customFormat="1" ht="15" customHeight="1">
      <c r="A14" s="1277"/>
      <c r="B14" s="1277"/>
      <c r="C14" s="1277"/>
      <c r="D14" s="1277"/>
      <c r="E14" s="1277"/>
      <c r="F14" s="1277"/>
      <c r="G14" s="1277"/>
      <c r="N14" s="373"/>
    </row>
  </sheetData>
  <mergeCells count="2">
    <mergeCell ref="A13:G13"/>
    <mergeCell ref="A14:G14"/>
  </mergeCells>
  <hyperlinks>
    <hyperlink ref="E1" location="ER!A1" display="ER" xr:uid="{00000000-0004-0000-2900-000000000000}"/>
    <hyperlink ref="B1" location="ER!A1" display="ER" xr:uid="{FBB21BC4-2A67-4D1A-A489-898359C3D506}"/>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2"/>
  <dimension ref="A1:N15"/>
  <sheetViews>
    <sheetView showGridLines="0" workbookViewId="0">
      <selection activeCell="B18" sqref="B18"/>
    </sheetView>
  </sheetViews>
  <sheetFormatPr baseColWidth="10" defaultRowHeight="15"/>
  <cols>
    <col min="1" max="1" width="28.140625" style="12" customWidth="1"/>
    <col min="2" max="4" width="24.42578125" style="12" customWidth="1"/>
    <col min="5" max="5" width="6.85546875" style="12" customWidth="1"/>
    <col min="6" max="6" width="12.85546875" style="12" hidden="1" customWidth="1"/>
    <col min="7" max="7" width="11.28515625" style="12" hidden="1" customWidth="1"/>
    <col min="8" max="8" width="17.28515625" style="12" hidden="1" customWidth="1"/>
    <col min="9" max="14" width="11.42578125" style="12"/>
  </cols>
  <sheetData>
    <row r="1" spans="1:14" ht="17.25" customHeight="1">
      <c r="A1" s="277" t="str">
        <f>Indice!C1</f>
        <v>NICOLAS GONZALEZ ODDONE S.A.E.C.A</v>
      </c>
      <c r="B1" s="277"/>
      <c r="D1" s="288" t="s">
        <v>234</v>
      </c>
      <c r="E1" s="19"/>
    </row>
    <row r="3" spans="1:14" ht="18.75" customHeight="1">
      <c r="A3" s="276" t="s">
        <v>235</v>
      </c>
      <c r="B3" s="276"/>
      <c r="C3" s="276"/>
      <c r="D3" s="276"/>
      <c r="E3" s="276"/>
      <c r="F3" s="55"/>
      <c r="G3" s="55"/>
      <c r="H3" s="55"/>
      <c r="I3" s="56"/>
    </row>
    <row r="4" spans="1:14" s="355" customFormat="1" ht="23.25">
      <c r="A4" s="334" t="s">
        <v>613</v>
      </c>
      <c r="B4" s="172"/>
      <c r="C4" s="172"/>
      <c r="D4" s="172"/>
      <c r="E4" s="172"/>
      <c r="F4" s="378"/>
      <c r="G4" s="378"/>
      <c r="H4" s="378"/>
      <c r="I4" s="378"/>
      <c r="J4" s="373"/>
      <c r="K4" s="373"/>
      <c r="L4" s="373"/>
      <c r="M4" s="373"/>
      <c r="N4" s="373"/>
    </row>
    <row r="5" spans="1:14" ht="27.75" customHeight="1">
      <c r="A5" s="1279" t="s">
        <v>106</v>
      </c>
      <c r="B5" s="1279"/>
      <c r="C5" s="1279"/>
      <c r="D5" s="1279"/>
      <c r="E5" s="1279"/>
      <c r="F5" s="1279"/>
      <c r="G5" s="1279"/>
      <c r="H5" s="1279"/>
      <c r="I5" s="1279"/>
    </row>
    <row r="6" spans="1:14" s="31" customFormat="1" ht="15" customHeight="1">
      <c r="A6" s="1275" t="str">
        <f>IFERROR("Los principales contratos suscriptos por la Sociedad, vigentes al  "&amp;DAY(Indice!B3)&amp;" de "&amp;VLOOKUP(MONTH(Indice!B3),Indice!S:T,2,0)&amp;" de "&amp;YEAR(Indice!B3-1)&amp;" son:","Los principales contratos suscriptos por la Sociedad, vigentes al … de …  2021 son:")</f>
        <v>Los principales contratos suscriptos por la Sociedad, vigentes al … de …  2021 son:</v>
      </c>
      <c r="B6" s="1275"/>
      <c r="C6" s="1275"/>
      <c r="D6" s="1275"/>
      <c r="E6" s="1275"/>
      <c r="F6" s="1275"/>
      <c r="G6" s="1275"/>
      <c r="H6" s="1275"/>
      <c r="I6" s="1275"/>
      <c r="J6" s="30"/>
      <c r="K6" s="30"/>
      <c r="L6" s="30"/>
      <c r="M6" s="30"/>
      <c r="N6" s="30"/>
    </row>
    <row r="7" spans="1:14" s="31" customFormat="1">
      <c r="A7" s="118" t="s">
        <v>847</v>
      </c>
      <c r="B7" s="420"/>
      <c r="C7" s="420"/>
      <c r="D7" s="420"/>
      <c r="E7" s="420"/>
      <c r="F7" s="420"/>
      <c r="G7" s="420"/>
      <c r="H7" s="420"/>
      <c r="I7" s="420"/>
      <c r="J7" s="30"/>
      <c r="K7" s="30"/>
      <c r="L7" s="30"/>
      <c r="M7" s="30"/>
      <c r="N7" s="30"/>
    </row>
    <row r="8" spans="1:14" s="30" customFormat="1">
      <c r="A8" s="118" t="s">
        <v>848</v>
      </c>
      <c r="B8" s="420"/>
      <c r="C8" s="420"/>
      <c r="D8" s="420"/>
      <c r="E8" s="420"/>
      <c r="F8" s="420"/>
      <c r="G8" s="420"/>
      <c r="H8" s="420"/>
      <c r="I8" s="420"/>
    </row>
    <row r="9" spans="1:14" s="31" customFormat="1">
      <c r="A9" s="420"/>
      <c r="B9" s="420"/>
      <c r="C9" s="420"/>
      <c r="D9" s="420"/>
      <c r="E9" s="420"/>
      <c r="F9" s="420"/>
      <c r="G9" s="420"/>
      <c r="H9" s="420"/>
      <c r="I9" s="420"/>
      <c r="J9" s="30"/>
      <c r="K9" s="30"/>
      <c r="L9" s="30"/>
      <c r="M9" s="30"/>
      <c r="N9" s="30"/>
    </row>
    <row r="10" spans="1:14" s="31" customFormat="1">
      <c r="A10" s="365"/>
      <c r="B10" s="420"/>
      <c r="C10" s="420"/>
      <c r="D10" s="420"/>
      <c r="E10" s="420"/>
      <c r="F10" s="420"/>
      <c r="G10" s="420"/>
      <c r="H10" s="420"/>
      <c r="I10" s="420"/>
      <c r="J10" s="30"/>
      <c r="K10" s="30"/>
      <c r="L10" s="30"/>
      <c r="M10" s="30"/>
      <c r="N10" s="30"/>
    </row>
    <row r="11" spans="1:14" s="31" customFormat="1">
      <c r="A11" s="1280" t="str">
        <f>IFERROR("Al  "&amp;DAY(Indice!B3)&amp;" de "&amp;VLOOKUP(MONTH(Indice!B3),Indice!S:T,2,0)&amp;" de "&amp;YEAR(Indice!B3-1)&amp;" no existen situaciones contingentes, ni reclamos que pudieran resultar en la generación de obligaciones para la Sociedad adicionales a las que se presentan en estos estados financieros.","Al … de …………... 2021 no existen situaciones contingentes, ni reclamos que pudieran resultar en la generación de obligaciones para la Sociedad adicionales a las que se presentan en estos estados financieros.")</f>
        <v>Al … de …………... 2021 no existen situaciones contingentes, ni reclamos que pudieran resultar en la generación de obligaciones para la Sociedad adicionales a las que se presentan en estos estados financieros.</v>
      </c>
      <c r="B11" s="1280"/>
      <c r="C11" s="1280"/>
      <c r="D11" s="1280"/>
      <c r="E11" s="1280"/>
      <c r="F11" s="1280"/>
      <c r="G11" s="1280"/>
      <c r="H11" s="1280"/>
      <c r="I11" s="420"/>
      <c r="J11" s="30"/>
      <c r="K11" s="30"/>
      <c r="L11" s="30"/>
      <c r="M11" s="30"/>
      <c r="N11" s="30"/>
    </row>
    <row r="12" spans="1:14" s="31" customFormat="1" ht="16.5" customHeight="1">
      <c r="A12" s="1280"/>
      <c r="B12" s="1280"/>
      <c r="C12" s="1280"/>
      <c r="D12" s="1280"/>
      <c r="E12" s="1280"/>
      <c r="F12" s="1280"/>
      <c r="G12" s="1280"/>
      <c r="H12" s="1280"/>
      <c r="I12" s="421"/>
      <c r="J12" s="30"/>
      <c r="K12" s="30"/>
      <c r="L12" s="30"/>
      <c r="M12" s="30"/>
      <c r="N12" s="30"/>
    </row>
    <row r="13" spans="1:14" s="31" customFormat="1">
      <c r="A13" s="420"/>
      <c r="B13" s="420"/>
      <c r="C13" s="420"/>
      <c r="D13" s="420"/>
      <c r="E13" s="420"/>
      <c r="F13" s="420"/>
      <c r="G13" s="420"/>
      <c r="H13" s="420"/>
      <c r="I13" s="420"/>
      <c r="J13" s="30"/>
      <c r="K13" s="30"/>
      <c r="L13" s="30"/>
      <c r="M13" s="30"/>
      <c r="N13" s="30"/>
    </row>
    <row r="14" spans="1:14" s="31" customFormat="1">
      <c r="A14" s="420"/>
      <c r="B14" s="420"/>
      <c r="C14" s="420"/>
      <c r="D14" s="420"/>
      <c r="E14" s="420"/>
      <c r="F14" s="420"/>
      <c r="G14" s="420"/>
      <c r="H14" s="420"/>
      <c r="I14" s="420"/>
      <c r="J14" s="30"/>
      <c r="K14" s="30"/>
      <c r="L14" s="30"/>
      <c r="M14" s="30"/>
      <c r="N14" s="30"/>
    </row>
    <row r="15" spans="1:14" s="31" customFormat="1" ht="21.2" customHeight="1">
      <c r="A15" s="1278" t="s">
        <v>256</v>
      </c>
      <c r="B15" s="1278"/>
      <c r="C15" s="1278"/>
      <c r="D15" s="1278"/>
      <c r="E15" s="1278"/>
      <c r="F15" s="1278"/>
      <c r="G15" s="1278"/>
      <c r="H15" s="1278"/>
      <c r="I15" s="422"/>
      <c r="J15" s="30"/>
      <c r="K15" s="30"/>
      <c r="L15" s="30"/>
      <c r="M15" s="30"/>
      <c r="N15" s="30"/>
    </row>
  </sheetData>
  <mergeCells count="4">
    <mergeCell ref="A15:H15"/>
    <mergeCell ref="A5:I5"/>
    <mergeCell ref="A6:I6"/>
    <mergeCell ref="A11:H12"/>
  </mergeCells>
  <hyperlinks>
    <hyperlink ref="D1" location="Indice!A1" display="Indice" xr:uid="{00000000-0004-0000-2B00-000000000000}"/>
  </hyperlinks>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3"/>
  <dimension ref="A1:AY26"/>
  <sheetViews>
    <sheetView showGridLines="0" workbookViewId="0">
      <selection activeCell="C12" sqref="C12"/>
    </sheetView>
  </sheetViews>
  <sheetFormatPr baseColWidth="10" defaultRowHeight="15"/>
  <cols>
    <col min="1" max="1" width="47.85546875" style="12" customWidth="1"/>
    <col min="2" max="2" width="16.140625" style="12" customWidth="1"/>
    <col min="3" max="3" width="15.28515625" style="12" customWidth="1"/>
    <col min="4" max="7" width="11.42578125" style="12" hidden="1" customWidth="1"/>
    <col min="8" max="51" width="11.42578125" style="12"/>
  </cols>
  <sheetData>
    <row r="1" spans="1:51" ht="18" customHeight="1">
      <c r="A1" s="277" t="str">
        <f>Indice!C1</f>
        <v>NICOLAS GONZALEZ ODDONE S.A.E.C.A</v>
      </c>
      <c r="B1" s="347"/>
      <c r="C1" s="347"/>
      <c r="D1" s="423" t="s">
        <v>306</v>
      </c>
      <c r="E1" s="347"/>
      <c r="F1" s="347"/>
      <c r="G1" s="347"/>
    </row>
    <row r="2" spans="1:51">
      <c r="A2" s="347"/>
      <c r="B2" s="347"/>
      <c r="C2" s="347"/>
      <c r="D2" s="347"/>
      <c r="E2" s="347"/>
      <c r="F2" s="347"/>
      <c r="G2" s="347"/>
    </row>
    <row r="3" spans="1:51" ht="18" customHeight="1">
      <c r="A3" s="1209" t="s">
        <v>241</v>
      </c>
      <c r="B3" s="1209"/>
      <c r="C3" s="1209"/>
      <c r="D3" s="1209"/>
      <c r="E3" s="1209"/>
      <c r="F3" s="1209"/>
      <c r="G3" s="1209"/>
    </row>
    <row r="4" spans="1:51">
      <c r="A4" s="111" t="s">
        <v>133</v>
      </c>
      <c r="B4" s="347"/>
      <c r="C4" s="347"/>
      <c r="D4" s="347"/>
      <c r="E4" s="347"/>
      <c r="F4" s="347"/>
      <c r="G4" s="347"/>
    </row>
    <row r="5" spans="1:51" s="355" customFormat="1">
      <c r="A5" s="144"/>
      <c r="B5" s="347"/>
      <c r="C5" s="347"/>
      <c r="D5" s="347"/>
      <c r="E5" s="347"/>
      <c r="F5" s="347"/>
      <c r="G5" s="347"/>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row>
    <row r="6" spans="1:51" s="355" customFormat="1" ht="23.25">
      <c r="A6" s="334" t="s">
        <v>613</v>
      </c>
      <c r="B6" s="347"/>
      <c r="C6" s="347"/>
      <c r="D6" s="347"/>
      <c r="E6" s="347"/>
      <c r="F6" s="347"/>
      <c r="G6" s="347"/>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row>
    <row r="7" spans="1:51" ht="59.25" customHeight="1">
      <c r="A7" s="1281" t="s">
        <v>951</v>
      </c>
      <c r="B7" s="1281"/>
      <c r="C7" s="1281"/>
      <c r="D7" s="1281"/>
      <c r="E7" s="1281"/>
      <c r="F7" s="1281"/>
      <c r="G7" s="1281"/>
      <c r="H7" s="57"/>
      <c r="I7" s="57"/>
      <c r="J7" s="57"/>
      <c r="K7" s="57"/>
    </row>
    <row r="8" spans="1:51" ht="55.5" customHeight="1">
      <c r="A8" s="1282" t="s">
        <v>242</v>
      </c>
      <c r="B8" s="1282"/>
      <c r="C8" s="1282"/>
      <c r="D8" s="1282"/>
      <c r="E8" s="1282"/>
      <c r="F8" s="1282"/>
      <c r="G8" s="1282"/>
      <c r="H8" s="57"/>
      <c r="I8" s="57"/>
      <c r="J8" s="57"/>
      <c r="K8" s="57"/>
    </row>
    <row r="9" spans="1:51">
      <c r="A9" s="424"/>
      <c r="B9" s="347"/>
      <c r="C9" s="347"/>
      <c r="D9" s="347"/>
      <c r="E9" s="347"/>
      <c r="F9" s="347"/>
      <c r="G9" s="347"/>
    </row>
    <row r="10" spans="1:51" s="12" customFormat="1" ht="21.75" customHeight="1">
      <c r="A10" s="1282" t="s">
        <v>243</v>
      </c>
      <c r="B10" s="1282"/>
      <c r="C10" s="1282"/>
      <c r="D10" s="1282"/>
      <c r="E10" s="1282"/>
      <c r="F10" s="1282"/>
      <c r="G10" s="1282"/>
      <c r="H10" s="58"/>
      <c r="I10" s="58"/>
      <c r="J10" s="58"/>
      <c r="K10" s="58"/>
    </row>
    <row r="11" spans="1:51">
      <c r="A11" s="347"/>
      <c r="B11" s="347"/>
      <c r="C11" s="347"/>
      <c r="D11" s="347"/>
      <c r="E11" s="347"/>
      <c r="F11" s="347"/>
      <c r="G11" s="347"/>
    </row>
    <row r="12" spans="1:51" s="65" customFormat="1" ht="15" customHeight="1">
      <c r="A12" s="425"/>
      <c r="B12" s="803">
        <v>44469</v>
      </c>
      <c r="C12" s="803">
        <v>44104</v>
      </c>
      <c r="D12" s="347"/>
      <c r="E12" s="347"/>
      <c r="F12" s="347"/>
      <c r="G12" s="347"/>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row>
    <row r="13" spans="1:51">
      <c r="A13" s="430" t="s">
        <v>244</v>
      </c>
      <c r="B13" s="426"/>
      <c r="C13" s="426"/>
      <c r="D13" s="347"/>
      <c r="E13" s="347"/>
      <c r="F13" s="347"/>
      <c r="G13" s="347"/>
    </row>
    <row r="14" spans="1:51">
      <c r="A14" s="430" t="s">
        <v>245</v>
      </c>
      <c r="B14" s="426"/>
      <c r="C14" s="426"/>
      <c r="D14" s="347"/>
      <c r="E14" s="347"/>
      <c r="F14" s="347"/>
      <c r="G14" s="347"/>
    </row>
    <row r="15" spans="1:51">
      <c r="A15" s="430" t="s">
        <v>76</v>
      </c>
      <c r="B15" s="426"/>
      <c r="C15" s="426"/>
      <c r="D15" s="347"/>
      <c r="E15" s="347"/>
      <c r="F15" s="347"/>
      <c r="G15" s="347"/>
    </row>
    <row r="16" spans="1:51">
      <c r="A16" s="430" t="s">
        <v>246</v>
      </c>
      <c r="B16" s="426"/>
      <c r="C16" s="426"/>
      <c r="D16" s="347"/>
      <c r="E16" s="347"/>
      <c r="F16" s="347"/>
      <c r="G16" s="347"/>
    </row>
    <row r="17" spans="1:7">
      <c r="A17" s="430" t="s">
        <v>247</v>
      </c>
      <c r="B17" s="427"/>
      <c r="C17" s="426"/>
      <c r="D17" s="347"/>
      <c r="E17" s="347"/>
      <c r="F17" s="347"/>
      <c r="G17" s="347"/>
    </row>
    <row r="18" spans="1:7">
      <c r="A18" s="430" t="s">
        <v>75</v>
      </c>
      <c r="B18" s="427"/>
      <c r="C18" s="426"/>
      <c r="D18" s="347"/>
      <c r="E18" s="347"/>
      <c r="F18" s="347"/>
      <c r="G18" s="347"/>
    </row>
    <row r="19" spans="1:7">
      <c r="A19" s="430" t="s">
        <v>248</v>
      </c>
      <c r="B19" s="427"/>
      <c r="C19" s="426"/>
      <c r="D19" s="347"/>
      <c r="E19" s="347"/>
      <c r="F19" s="347"/>
      <c r="G19" s="347"/>
    </row>
    <row r="20" spans="1:7">
      <c r="A20" s="430" t="s">
        <v>249</v>
      </c>
      <c r="B20" s="427"/>
      <c r="C20" s="426"/>
      <c r="D20" s="347"/>
      <c r="E20" s="347"/>
      <c r="F20" s="347"/>
      <c r="G20" s="347"/>
    </row>
    <row r="21" spans="1:7">
      <c r="A21" s="430" t="s">
        <v>250</v>
      </c>
      <c r="B21" s="427"/>
      <c r="C21" s="426"/>
      <c r="D21" s="347"/>
      <c r="E21" s="347"/>
      <c r="F21" s="347"/>
      <c r="G21" s="347"/>
    </row>
    <row r="22" spans="1:7">
      <c r="A22" s="430" t="s">
        <v>251</v>
      </c>
      <c r="B22" s="427"/>
      <c r="C22" s="426"/>
      <c r="D22" s="347"/>
      <c r="E22" s="347"/>
      <c r="F22" s="347"/>
      <c r="G22" s="347"/>
    </row>
    <row r="23" spans="1:7">
      <c r="A23" s="430" t="s">
        <v>252</v>
      </c>
      <c r="B23" s="427"/>
      <c r="C23" s="426"/>
      <c r="D23" s="347"/>
      <c r="E23" s="347"/>
      <c r="F23" s="347"/>
      <c r="G23" s="347"/>
    </row>
    <row r="24" spans="1:7" ht="24">
      <c r="A24" s="430" t="s">
        <v>253</v>
      </c>
      <c r="B24" s="427"/>
      <c r="C24" s="426"/>
      <c r="D24" s="347"/>
      <c r="E24" s="347"/>
      <c r="F24" s="347"/>
      <c r="G24" s="347"/>
    </row>
    <row r="25" spans="1:7">
      <c r="A25" s="430" t="s">
        <v>254</v>
      </c>
      <c r="B25" s="427"/>
      <c r="C25" s="426"/>
      <c r="D25" s="347"/>
      <c r="E25" s="347"/>
      <c r="F25" s="347"/>
      <c r="G25" s="347"/>
    </row>
    <row r="26" spans="1:7">
      <c r="A26" s="431" t="s">
        <v>1</v>
      </c>
      <c r="B26" s="428"/>
      <c r="C26" s="429"/>
      <c r="D26" s="347"/>
      <c r="E26" s="347"/>
      <c r="F26" s="347"/>
      <c r="G26" s="347"/>
    </row>
  </sheetData>
  <mergeCells count="4">
    <mergeCell ref="A3:G3"/>
    <mergeCell ref="A7:G7"/>
    <mergeCell ref="A8:G8"/>
    <mergeCell ref="A10:G10"/>
  </mergeCells>
  <hyperlinks>
    <hyperlink ref="D1" location="Indice!A1" display="Índice" xr:uid="{00000000-0004-0000-2C00-000000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4"/>
  <dimension ref="A1:N9"/>
  <sheetViews>
    <sheetView showGridLines="0" workbookViewId="0">
      <selection activeCell="B11" sqref="B11"/>
    </sheetView>
  </sheetViews>
  <sheetFormatPr baseColWidth="10" defaultRowHeight="15"/>
  <cols>
    <col min="1" max="1" width="36.5703125" style="12" customWidth="1"/>
    <col min="2" max="5" width="24.42578125" style="12" customWidth="1"/>
    <col min="6" max="6" width="8.28515625" style="12" customWidth="1"/>
    <col min="7" max="7" width="11.42578125" style="12" hidden="1" customWidth="1"/>
    <col min="8" max="8" width="17.28515625" style="12" hidden="1" customWidth="1"/>
    <col min="9" max="9" width="3.5703125" style="12" hidden="1" customWidth="1"/>
    <col min="10" max="14" width="11.42578125" style="12"/>
  </cols>
  <sheetData>
    <row r="1" spans="1:14" ht="19.5" customHeight="1">
      <c r="A1" s="277" t="str">
        <f>Indice!C1</f>
        <v>NICOLAS GONZALEZ ODDONE S.A.E.C.A</v>
      </c>
      <c r="C1" s="288" t="s">
        <v>234</v>
      </c>
      <c r="E1" s="19"/>
    </row>
    <row r="2" spans="1:14">
      <c r="A2" s="111"/>
      <c r="C2" s="13"/>
    </row>
    <row r="4" spans="1:14" ht="18" customHeight="1">
      <c r="A4" s="276" t="s">
        <v>255</v>
      </c>
      <c r="B4" s="276"/>
      <c r="C4" s="276"/>
      <c r="D4" s="276"/>
      <c r="E4" s="276"/>
      <c r="F4" s="276"/>
      <c r="G4" s="276"/>
      <c r="H4" s="276"/>
      <c r="I4" s="276"/>
    </row>
    <row r="5" spans="1:14" s="30" customFormat="1" ht="44.25" customHeight="1">
      <c r="A5" s="1280"/>
      <c r="B5" s="1280"/>
      <c r="C5" s="1280"/>
      <c r="D5" s="1280"/>
      <c r="E5" s="1280"/>
      <c r="F5" s="1280"/>
      <c r="G5" s="1280"/>
      <c r="H5" s="1280"/>
      <c r="I5" s="1280"/>
    </row>
    <row r="6" spans="1:14" s="31" customFormat="1" ht="27.75" customHeight="1">
      <c r="A6" s="247"/>
      <c r="J6" s="30"/>
      <c r="K6" s="30"/>
      <c r="L6" s="30"/>
      <c r="M6" s="30"/>
      <c r="N6" s="30"/>
    </row>
    <row r="7" spans="1:14" s="31" customFormat="1">
      <c r="A7" s="30"/>
      <c r="B7" s="30"/>
      <c r="C7" s="30"/>
      <c r="D7" s="30"/>
      <c r="E7" s="30"/>
      <c r="F7" s="30"/>
      <c r="G7" s="30"/>
      <c r="H7" s="30"/>
      <c r="I7" s="30"/>
      <c r="J7" s="30"/>
      <c r="K7" s="30"/>
      <c r="L7" s="30"/>
      <c r="M7" s="30"/>
      <c r="N7" s="30"/>
    </row>
    <row r="8" spans="1:14" s="31" customFormat="1">
      <c r="A8" s="1283"/>
      <c r="B8" s="1283"/>
      <c r="C8" s="1283"/>
      <c r="D8" s="1283"/>
      <c r="E8" s="1283"/>
      <c r="F8" s="1283"/>
      <c r="G8" s="1283"/>
      <c r="H8" s="1283"/>
      <c r="I8" s="1283"/>
      <c r="J8" s="30"/>
      <c r="K8" s="30"/>
      <c r="L8" s="30"/>
      <c r="M8" s="30"/>
      <c r="N8" s="30"/>
    </row>
    <row r="9" spans="1:14" s="31" customFormat="1">
      <c r="A9" s="30"/>
      <c r="B9" s="30"/>
      <c r="C9" s="30"/>
      <c r="D9" s="30"/>
      <c r="E9" s="30"/>
      <c r="F9" s="30"/>
      <c r="G9" s="30"/>
      <c r="H9" s="30"/>
      <c r="I9" s="30"/>
      <c r="J9" s="30"/>
      <c r="K9" s="30"/>
      <c r="L9" s="30"/>
      <c r="M9" s="30"/>
      <c r="N9" s="30"/>
    </row>
  </sheetData>
  <mergeCells count="2">
    <mergeCell ref="A5:I5"/>
    <mergeCell ref="A8:I8"/>
  </mergeCells>
  <hyperlinks>
    <hyperlink ref="C1" location="Indice!A1" display="Indice" xr:uid="{00000000-0004-0000-2D00-000000000000}"/>
  </hyperlinks>
  <pageMargins left="0.7" right="0.7" top="0.75" bottom="0.75" header="0.3" footer="0.3"/>
  <pageSetup paperSize="9" orientation="portrait" verticalDpi="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166"/>
  <sheetViews>
    <sheetView showGridLines="0" tabSelected="1" topLeftCell="A95" workbookViewId="0">
      <selection activeCell="A104" sqref="A104"/>
    </sheetView>
  </sheetViews>
  <sheetFormatPr baseColWidth="10" defaultRowHeight="15"/>
  <cols>
    <col min="1" max="1" width="64.140625" style="355" customWidth="1"/>
    <col min="2" max="2" width="18.7109375" style="355" customWidth="1"/>
    <col min="3" max="3" width="18.140625" style="913" customWidth="1"/>
    <col min="4" max="4" width="0.5703125" style="355" customWidth="1"/>
    <col min="5" max="5" width="13.28515625" style="355" bestFit="1" customWidth="1"/>
    <col min="6" max="6" width="14.28515625" style="355" bestFit="1" customWidth="1"/>
    <col min="7" max="7" width="12.7109375" style="355" bestFit="1" customWidth="1"/>
    <col min="8" max="8" width="13.7109375" style="355" bestFit="1" customWidth="1"/>
    <col min="9" max="16384" width="11.42578125" style="355"/>
  </cols>
  <sheetData>
    <row r="1" spans="1:8" ht="18.75" customHeight="1">
      <c r="A1" s="277" t="s">
        <v>324</v>
      </c>
      <c r="C1" s="934" t="s">
        <v>234</v>
      </c>
      <c r="H1" s="18"/>
    </row>
    <row r="3" spans="1:8" ht="16.5" customHeight="1">
      <c r="A3" s="935" t="s">
        <v>890</v>
      </c>
      <c r="B3" s="935"/>
      <c r="C3" s="936"/>
      <c r="D3" s="936"/>
      <c r="E3" s="937"/>
      <c r="F3" s="937"/>
      <c r="G3" s="937"/>
    </row>
    <row r="4" spans="1:8">
      <c r="A4" s="938" t="s">
        <v>144</v>
      </c>
      <c r="B4" s="939"/>
      <c r="D4" s="939"/>
      <c r="E4" s="939"/>
      <c r="F4" s="939"/>
      <c r="G4" s="939"/>
    </row>
    <row r="5" spans="1:8">
      <c r="A5" s="938"/>
      <c r="B5" s="939"/>
      <c r="D5" s="939"/>
      <c r="E5" s="939"/>
      <c r="F5" s="939"/>
      <c r="G5" s="939"/>
    </row>
    <row r="6" spans="1:8" ht="12.75" customHeight="1">
      <c r="A6" s="940"/>
      <c r="B6" s="941">
        <v>44561</v>
      </c>
      <c r="C6" s="942">
        <v>44196</v>
      </c>
      <c r="D6" s="943"/>
      <c r="E6" s="943"/>
      <c r="F6" s="943"/>
      <c r="G6" s="939"/>
    </row>
    <row r="7" spans="1:8" ht="12.75" customHeight="1">
      <c r="A7" s="944" t="s">
        <v>1033</v>
      </c>
      <c r="B7" s="945"/>
      <c r="C7" s="945"/>
      <c r="D7" s="943"/>
      <c r="E7" s="943"/>
      <c r="F7" s="943"/>
      <c r="G7" s="939"/>
    </row>
    <row r="8" spans="1:8" ht="12.75" customHeight="1">
      <c r="A8" s="943" t="s">
        <v>849</v>
      </c>
      <c r="B8" s="946"/>
      <c r="C8" s="946"/>
      <c r="D8" s="943"/>
      <c r="E8" s="943"/>
      <c r="F8" s="943"/>
      <c r="G8" s="939"/>
    </row>
    <row r="9" spans="1:8" ht="12.75" customHeight="1">
      <c r="A9" s="943" t="s">
        <v>850</v>
      </c>
      <c r="B9" s="946"/>
      <c r="C9" s="946"/>
      <c r="D9" s="943"/>
      <c r="E9" s="943"/>
      <c r="F9" s="943"/>
      <c r="G9" s="939"/>
    </row>
    <row r="10" spans="1:8" ht="12.75" customHeight="1">
      <c r="A10" s="943" t="s">
        <v>851</v>
      </c>
      <c r="B10" s="946"/>
      <c r="C10" s="946"/>
      <c r="D10" s="943"/>
      <c r="E10" s="943"/>
      <c r="F10" s="943"/>
      <c r="G10" s="939"/>
    </row>
    <row r="11" spans="1:8" ht="12.75" customHeight="1">
      <c r="A11" s="943" t="s">
        <v>891</v>
      </c>
      <c r="B11" s="946"/>
      <c r="C11" s="946"/>
      <c r="D11" s="943"/>
      <c r="E11" s="943"/>
      <c r="F11" s="943"/>
      <c r="G11" s="939"/>
    </row>
    <row r="12" spans="1:8" ht="12.75" customHeight="1">
      <c r="A12" s="943" t="s">
        <v>892</v>
      </c>
      <c r="B12" s="946"/>
      <c r="C12" s="946"/>
      <c r="D12" s="943"/>
      <c r="E12" s="943"/>
      <c r="F12" s="943"/>
      <c r="G12" s="939"/>
    </row>
    <row r="13" spans="1:8" ht="12.75" customHeight="1">
      <c r="A13" s="947"/>
      <c r="B13" s="946"/>
      <c r="C13" s="946"/>
      <c r="D13" s="943"/>
      <c r="E13" s="943"/>
      <c r="F13" s="943"/>
      <c r="G13" s="939"/>
    </row>
    <row r="14" spans="1:8" ht="12.75" customHeight="1">
      <c r="A14" s="944" t="s">
        <v>1034</v>
      </c>
      <c r="B14" s="946"/>
      <c r="C14" s="946"/>
      <c r="D14" s="943"/>
      <c r="E14" s="943"/>
      <c r="F14" s="943"/>
      <c r="G14" s="939"/>
    </row>
    <row r="15" spans="1:8" ht="12.75" customHeight="1">
      <c r="A15" s="944"/>
      <c r="B15" s="946"/>
      <c r="C15" s="946"/>
      <c r="D15" s="943"/>
      <c r="E15" s="943"/>
      <c r="F15" s="943"/>
      <c r="G15" s="939"/>
    </row>
    <row r="16" spans="1:8" ht="12.75" customHeight="1">
      <c r="A16" s="943" t="s">
        <v>893</v>
      </c>
      <c r="B16" s="948" t="s">
        <v>894</v>
      </c>
      <c r="C16" s="946"/>
      <c r="D16" s="943"/>
      <c r="E16" s="943"/>
      <c r="F16" s="943"/>
      <c r="G16" s="939"/>
    </row>
    <row r="17" spans="1:7" ht="12.75" customHeight="1">
      <c r="A17" s="943" t="s">
        <v>895</v>
      </c>
      <c r="B17" s="948" t="s">
        <v>896</v>
      </c>
      <c r="C17" s="946"/>
      <c r="D17" s="943"/>
      <c r="E17" s="943"/>
      <c r="F17" s="943"/>
      <c r="G17" s="939"/>
    </row>
    <row r="18" spans="1:7" ht="12.75" customHeight="1">
      <c r="A18" s="943" t="s">
        <v>897</v>
      </c>
      <c r="B18" s="948" t="s">
        <v>898</v>
      </c>
      <c r="C18" s="946"/>
      <c r="D18" s="943"/>
      <c r="E18" s="943"/>
      <c r="F18" s="943"/>
      <c r="G18" s="939"/>
    </row>
    <row r="19" spans="1:7" ht="12.75" customHeight="1">
      <c r="A19" s="943" t="s">
        <v>899</v>
      </c>
      <c r="B19" s="948" t="s">
        <v>898</v>
      </c>
      <c r="C19" s="946"/>
      <c r="D19" s="943"/>
      <c r="E19" s="943"/>
      <c r="F19" s="943"/>
      <c r="G19" s="939"/>
    </row>
    <row r="20" spans="1:7" ht="12.75" customHeight="1">
      <c r="A20" s="943" t="s">
        <v>900</v>
      </c>
      <c r="B20" s="948" t="s">
        <v>898</v>
      </c>
      <c r="C20" s="946"/>
      <c r="D20" s="943"/>
      <c r="E20" s="943"/>
      <c r="F20" s="943"/>
      <c r="G20" s="939"/>
    </row>
    <row r="21" spans="1:7" ht="12.75" customHeight="1">
      <c r="A21" s="943" t="s">
        <v>901</v>
      </c>
      <c r="B21" s="948" t="s">
        <v>898</v>
      </c>
      <c r="C21" s="946"/>
      <c r="D21" s="943"/>
      <c r="E21" s="943"/>
      <c r="F21" s="943"/>
      <c r="G21" s="939"/>
    </row>
    <row r="22" spans="1:7" ht="12.75" customHeight="1">
      <c r="A22" s="943" t="s">
        <v>902</v>
      </c>
      <c r="B22" s="948" t="s">
        <v>898</v>
      </c>
      <c r="C22" s="946"/>
      <c r="D22" s="943"/>
      <c r="E22" s="943"/>
      <c r="F22" s="943"/>
      <c r="G22" s="939"/>
    </row>
    <row r="23" spans="1:7" ht="12.75" customHeight="1">
      <c r="A23" s="943" t="s">
        <v>1020</v>
      </c>
      <c r="B23" s="948" t="s">
        <v>903</v>
      </c>
      <c r="C23" s="946"/>
      <c r="D23" s="943"/>
      <c r="E23" s="943"/>
      <c r="F23" s="943"/>
      <c r="G23" s="939"/>
    </row>
    <row r="24" spans="1:7" ht="12.75" customHeight="1">
      <c r="A24" s="943" t="s">
        <v>904</v>
      </c>
      <c r="B24" s="948" t="s">
        <v>905</v>
      </c>
      <c r="C24" s="946"/>
      <c r="D24" s="943"/>
      <c r="E24" s="943"/>
      <c r="F24" s="943"/>
      <c r="G24" s="939"/>
    </row>
    <row r="25" spans="1:7" ht="12.75" customHeight="1">
      <c r="A25" s="947"/>
      <c r="B25" s="946"/>
      <c r="C25" s="946"/>
      <c r="D25" s="943"/>
      <c r="E25" s="943"/>
      <c r="F25" s="943"/>
      <c r="G25" s="939"/>
    </row>
    <row r="26" spans="1:7" ht="12.75" customHeight="1">
      <c r="A26" s="944" t="s">
        <v>1035</v>
      </c>
      <c r="B26" s="946"/>
      <c r="C26" s="946"/>
      <c r="D26" s="943"/>
      <c r="E26" s="943"/>
      <c r="F26" s="943"/>
      <c r="G26" s="939"/>
    </row>
    <row r="27" spans="1:7" ht="12.75" customHeight="1">
      <c r="A27" s="944" t="s">
        <v>1036</v>
      </c>
      <c r="B27" s="946"/>
      <c r="C27" s="946"/>
      <c r="D27" s="943"/>
      <c r="E27" s="943"/>
      <c r="F27" s="943"/>
      <c r="G27" s="939"/>
    </row>
    <row r="28" spans="1:7" ht="12.75" customHeight="1">
      <c r="A28" s="944" t="s">
        <v>1037</v>
      </c>
      <c r="B28" s="946"/>
      <c r="C28" s="946"/>
      <c r="D28" s="943"/>
      <c r="E28" s="943"/>
      <c r="F28" s="943"/>
      <c r="G28" s="939"/>
    </row>
    <row r="29" spans="1:7" ht="12.75" customHeight="1">
      <c r="A29" s="947"/>
      <c r="B29" s="946"/>
      <c r="C29" s="946"/>
      <c r="D29" s="943"/>
      <c r="E29" s="943"/>
      <c r="F29" s="943"/>
      <c r="G29" s="939"/>
    </row>
    <row r="30" spans="1:7" ht="12.75" customHeight="1">
      <c r="A30" s="943" t="s">
        <v>852</v>
      </c>
      <c r="B30" s="946"/>
      <c r="C30" s="946"/>
      <c r="D30" s="943"/>
      <c r="E30" s="943"/>
      <c r="F30" s="943"/>
      <c r="G30" s="939"/>
    </row>
    <row r="31" spans="1:7" ht="12.75" customHeight="1">
      <c r="A31" s="943" t="s">
        <v>853</v>
      </c>
      <c r="B31" s="946"/>
      <c r="C31" s="946"/>
      <c r="D31" s="943"/>
      <c r="E31" s="943"/>
      <c r="F31" s="943"/>
      <c r="G31" s="939"/>
    </row>
    <row r="32" spans="1:7" ht="12.75" customHeight="1">
      <c r="A32" s="943" t="s">
        <v>854</v>
      </c>
      <c r="B32" s="946"/>
      <c r="C32" s="946"/>
      <c r="D32" s="943"/>
      <c r="E32" s="943"/>
      <c r="F32" s="943"/>
      <c r="G32" s="939"/>
    </row>
    <row r="33" spans="1:7" ht="12.75" customHeight="1">
      <c r="A33" s="943" t="s">
        <v>855</v>
      </c>
      <c r="B33" s="946"/>
      <c r="C33" s="946"/>
      <c r="D33" s="943"/>
      <c r="E33" s="943"/>
      <c r="F33" s="943"/>
      <c r="G33" s="939"/>
    </row>
    <row r="34" spans="1:7" ht="12.75" customHeight="1">
      <c r="A34" s="943" t="s">
        <v>856</v>
      </c>
      <c r="B34" s="946"/>
      <c r="C34" s="946"/>
      <c r="D34" s="943"/>
      <c r="E34" s="943"/>
      <c r="F34" s="943"/>
      <c r="G34" s="939"/>
    </row>
    <row r="35" spans="1:7" ht="12.75" customHeight="1">
      <c r="A35" s="943" t="s">
        <v>906</v>
      </c>
      <c r="B35" s="946"/>
      <c r="C35" s="946"/>
      <c r="D35" s="943"/>
      <c r="E35" s="943"/>
      <c r="F35" s="943"/>
      <c r="G35" s="939"/>
    </row>
    <row r="36" spans="1:7" ht="12.75" customHeight="1">
      <c r="A36" s="943" t="s">
        <v>907</v>
      </c>
      <c r="B36" s="946"/>
      <c r="C36" s="946"/>
      <c r="D36" s="943"/>
      <c r="E36" s="943"/>
      <c r="F36" s="943"/>
      <c r="G36" s="939"/>
    </row>
    <row r="37" spans="1:7" ht="12.75" customHeight="1">
      <c r="A37" s="943" t="s">
        <v>908</v>
      </c>
      <c r="B37" s="946"/>
      <c r="C37" s="946"/>
      <c r="D37" s="943"/>
      <c r="E37" s="943"/>
      <c r="F37" s="943"/>
      <c r="G37" s="939"/>
    </row>
    <row r="38" spans="1:7" ht="12.75" customHeight="1">
      <c r="A38" s="943" t="s">
        <v>857</v>
      </c>
      <c r="B38" s="946"/>
      <c r="C38" s="946"/>
      <c r="D38" s="943"/>
      <c r="E38" s="943"/>
      <c r="F38" s="943"/>
      <c r="G38" s="939"/>
    </row>
    <row r="39" spans="1:7" ht="12.75" customHeight="1">
      <c r="A39" s="947"/>
      <c r="B39" s="946"/>
      <c r="C39" s="946"/>
      <c r="D39" s="943"/>
      <c r="E39" s="943"/>
      <c r="F39" s="943"/>
      <c r="G39" s="939"/>
    </row>
    <row r="40" spans="1:7" ht="12.75" customHeight="1">
      <c r="A40" s="947"/>
      <c r="B40" s="946"/>
      <c r="C40" s="946"/>
      <c r="D40" s="943"/>
      <c r="E40" s="943"/>
      <c r="F40" s="943"/>
      <c r="G40" s="939"/>
    </row>
    <row r="41" spans="1:7" ht="12.75" customHeight="1">
      <c r="A41" s="940" t="s">
        <v>909</v>
      </c>
      <c r="B41" s="946"/>
      <c r="C41" s="946"/>
      <c r="D41" s="943"/>
      <c r="E41" s="943"/>
      <c r="F41" s="943"/>
      <c r="G41" s="939"/>
    </row>
    <row r="42" spans="1:7" ht="12.75" customHeight="1">
      <c r="A42" s="947"/>
      <c r="B42" s="1112"/>
      <c r="C42" s="1112"/>
      <c r="D42" s="943"/>
      <c r="E42" s="943"/>
      <c r="F42" s="943"/>
      <c r="G42" s="939"/>
    </row>
    <row r="43" spans="1:7" ht="12.75" customHeight="1">
      <c r="A43" s="949" t="s">
        <v>910</v>
      </c>
      <c r="B43" s="1112"/>
      <c r="C43" s="1113"/>
      <c r="D43" s="943"/>
      <c r="E43" s="943"/>
      <c r="F43" s="943"/>
      <c r="G43" s="939"/>
    </row>
    <row r="44" spans="1:7" ht="8.25" customHeight="1">
      <c r="A44" s="949"/>
      <c r="B44" s="1113"/>
      <c r="C44" s="1113"/>
      <c r="D44" s="943"/>
      <c r="E44" s="943"/>
      <c r="F44" s="943"/>
      <c r="G44" s="939"/>
    </row>
    <row r="45" spans="1:7" ht="12.75" customHeight="1">
      <c r="A45" s="950" t="s">
        <v>1054</v>
      </c>
      <c r="B45" s="1114"/>
      <c r="C45" s="1114"/>
      <c r="D45" s="913"/>
      <c r="E45" s="116"/>
      <c r="F45" s="913"/>
      <c r="G45" s="939"/>
    </row>
    <row r="46" spans="1:7" ht="12.75" customHeight="1">
      <c r="A46" s="950" t="s">
        <v>1038</v>
      </c>
      <c r="B46" s="1115">
        <v>38942252593</v>
      </c>
      <c r="C46" s="1150">
        <v>20311610209</v>
      </c>
      <c r="D46" s="913"/>
      <c r="E46" s="116"/>
      <c r="F46" s="913"/>
      <c r="G46" s="939"/>
    </row>
    <row r="47" spans="1:7" ht="12.75" customHeight="1">
      <c r="A47" s="951"/>
      <c r="B47" s="1113"/>
      <c r="C47" s="1113"/>
      <c r="D47" s="913"/>
      <c r="E47" s="116"/>
      <c r="F47" s="913"/>
      <c r="G47" s="939"/>
    </row>
    <row r="48" spans="1:7" ht="12.75" customHeight="1">
      <c r="A48" s="950" t="s">
        <v>1055</v>
      </c>
      <c r="B48" s="1113"/>
      <c r="C48" s="1113"/>
      <c r="D48" s="913"/>
      <c r="E48" s="116"/>
      <c r="F48" s="913"/>
      <c r="G48" s="939"/>
    </row>
    <row r="49" spans="1:7" ht="12.75" customHeight="1">
      <c r="A49" s="950" t="s">
        <v>1039</v>
      </c>
      <c r="B49" s="1110">
        <v>12508433821</v>
      </c>
      <c r="C49" s="1151">
        <v>9636466541</v>
      </c>
      <c r="D49" s="913"/>
      <c r="E49" s="116"/>
      <c r="F49" s="913"/>
      <c r="G49" s="939"/>
    </row>
    <row r="50" spans="1:7" ht="12.75" customHeight="1">
      <c r="A50" s="951"/>
      <c r="B50" s="1113"/>
      <c r="C50" s="1113"/>
      <c r="D50" s="913"/>
      <c r="E50" s="116"/>
      <c r="F50" s="913"/>
      <c r="G50" s="939"/>
    </row>
    <row r="51" spans="1:7" ht="12.75" customHeight="1">
      <c r="A51" s="950" t="s">
        <v>1056</v>
      </c>
      <c r="B51" s="1113"/>
      <c r="C51" s="1113"/>
      <c r="D51" s="913"/>
      <c r="E51" s="913"/>
      <c r="F51" s="913"/>
      <c r="G51" s="939"/>
    </row>
    <row r="52" spans="1:7" ht="12.75" customHeight="1">
      <c r="A52" s="950" t="s">
        <v>1040</v>
      </c>
      <c r="B52" s="1110">
        <v>169587395</v>
      </c>
      <c r="C52" s="1151">
        <v>1610572</v>
      </c>
      <c r="D52" s="913"/>
      <c r="E52" s="913"/>
      <c r="F52" s="913"/>
      <c r="G52" s="939"/>
    </row>
    <row r="53" spans="1:7" ht="12.75" customHeight="1">
      <c r="A53" s="950"/>
      <c r="B53" s="1113"/>
      <c r="C53" s="1113"/>
      <c r="D53" s="913"/>
      <c r="E53" s="913"/>
      <c r="F53" s="913"/>
      <c r="G53" s="939"/>
    </row>
    <row r="54" spans="1:7" ht="12.75" hidden="1" customHeight="1">
      <c r="A54" s="950" t="s">
        <v>1057</v>
      </c>
      <c r="B54" s="1113"/>
      <c r="C54" s="1113"/>
      <c r="D54" s="913"/>
      <c r="E54" s="913"/>
      <c r="F54" s="913"/>
      <c r="G54" s="939"/>
    </row>
    <row r="55" spans="1:7" ht="12.75" hidden="1" customHeight="1">
      <c r="A55" s="950" t="s">
        <v>1041</v>
      </c>
      <c r="B55" s="1118">
        <v>0</v>
      </c>
      <c r="C55" s="1148">
        <v>0</v>
      </c>
      <c r="D55" s="913"/>
      <c r="E55" s="913"/>
      <c r="F55" s="913"/>
      <c r="G55" s="939"/>
    </row>
    <row r="56" spans="1:7" ht="12.75" customHeight="1">
      <c r="A56" s="950"/>
      <c r="B56" s="1113"/>
      <c r="C56" s="1113"/>
      <c r="D56" s="913"/>
      <c r="E56" s="913"/>
      <c r="F56" s="913"/>
      <c r="G56" s="939"/>
    </row>
    <row r="57" spans="1:7" ht="12.75" customHeight="1">
      <c r="A57" s="950" t="s">
        <v>1058</v>
      </c>
      <c r="B57" s="1113"/>
      <c r="C57" s="1113"/>
      <c r="D57" s="913"/>
      <c r="E57" s="913"/>
      <c r="F57" s="913"/>
      <c r="G57" s="939"/>
    </row>
    <row r="58" spans="1:7" ht="12.75" customHeight="1">
      <c r="A58" s="950" t="s">
        <v>1032</v>
      </c>
      <c r="B58" s="1115">
        <v>58402050</v>
      </c>
      <c r="C58" s="1149">
        <v>0</v>
      </c>
      <c r="D58" s="913"/>
      <c r="E58" s="913"/>
      <c r="F58" s="913"/>
      <c r="G58" s="939"/>
    </row>
    <row r="59" spans="1:7" ht="12.75" customHeight="1">
      <c r="A59" s="950"/>
      <c r="B59" s="1119"/>
      <c r="C59" s="1116"/>
      <c r="D59" s="913"/>
      <c r="E59" s="913"/>
      <c r="F59" s="913"/>
      <c r="G59" s="939"/>
    </row>
    <row r="60" spans="1:7" ht="12.75" customHeight="1">
      <c r="A60" s="952" t="s">
        <v>911</v>
      </c>
      <c r="B60" s="1119"/>
      <c r="C60" s="1116"/>
      <c r="D60" s="913"/>
      <c r="E60" s="913"/>
      <c r="F60" s="913"/>
      <c r="G60" s="939"/>
    </row>
    <row r="61" spans="1:7" ht="12.75" customHeight="1">
      <c r="A61" s="950" t="s">
        <v>912</v>
      </c>
      <c r="B61" s="1115">
        <v>0</v>
      </c>
      <c r="C61" s="1147">
        <v>1937977</v>
      </c>
      <c r="D61" s="913"/>
      <c r="E61" s="913"/>
      <c r="F61" s="913"/>
      <c r="G61" s="939"/>
    </row>
    <row r="62" spans="1:7" ht="12.75" customHeight="1">
      <c r="A62" s="950"/>
      <c r="B62" s="1113"/>
      <c r="C62" s="1113"/>
      <c r="D62" s="913"/>
      <c r="E62" s="913"/>
      <c r="F62" s="913"/>
      <c r="G62" s="939"/>
    </row>
    <row r="63" spans="1:7" ht="12.75" customHeight="1">
      <c r="A63" s="950" t="s">
        <v>913</v>
      </c>
      <c r="B63" s="1115"/>
      <c r="C63" s="1119"/>
      <c r="D63" s="913"/>
      <c r="E63" s="913"/>
      <c r="F63" s="913"/>
      <c r="G63" s="939"/>
    </row>
    <row r="64" spans="1:7" ht="12.75" customHeight="1">
      <c r="A64" s="950" t="s">
        <v>912</v>
      </c>
      <c r="B64" s="1115">
        <v>48666605</v>
      </c>
      <c r="C64" s="1147">
        <v>11712380</v>
      </c>
      <c r="D64" s="913"/>
      <c r="E64" s="913"/>
      <c r="F64" s="913"/>
      <c r="G64" s="939"/>
    </row>
    <row r="65" spans="1:7" ht="12.75" customHeight="1">
      <c r="A65" s="950"/>
      <c r="B65" s="1115"/>
      <c r="C65" s="1115"/>
      <c r="D65" s="913"/>
      <c r="E65" s="913"/>
      <c r="F65" s="913"/>
      <c r="G65" s="939"/>
    </row>
    <row r="66" spans="1:7" ht="12.75" customHeight="1">
      <c r="A66" s="950" t="s">
        <v>914</v>
      </c>
      <c r="B66" s="1115"/>
      <c r="C66" s="1115"/>
      <c r="D66" s="913"/>
      <c r="E66" s="913"/>
      <c r="F66" s="913"/>
      <c r="G66" s="939"/>
    </row>
    <row r="67" spans="1:7" ht="12.75" customHeight="1">
      <c r="A67" s="950" t="s">
        <v>912</v>
      </c>
      <c r="B67" s="1115">
        <v>3239105942</v>
      </c>
      <c r="C67" s="1147">
        <v>3534675943</v>
      </c>
      <c r="D67" s="913"/>
      <c r="E67" s="913"/>
      <c r="F67" s="913"/>
      <c r="G67" s="939"/>
    </row>
    <row r="68" spans="1:7" ht="12.75" customHeight="1">
      <c r="A68" s="950"/>
      <c r="B68" s="1115"/>
      <c r="C68" s="1115"/>
      <c r="D68" s="913"/>
      <c r="E68" s="913"/>
      <c r="F68" s="913"/>
      <c r="G68" s="939"/>
    </row>
    <row r="69" spans="1:7" ht="12.75" customHeight="1">
      <c r="A69" s="953" t="s">
        <v>915</v>
      </c>
      <c r="B69" s="1119"/>
      <c r="C69" s="1119"/>
      <c r="D69" s="913"/>
      <c r="E69" s="913"/>
      <c r="F69" s="913"/>
      <c r="G69" s="939"/>
    </row>
    <row r="70" spans="1:7" ht="12.75" customHeight="1">
      <c r="A70" s="954" t="s">
        <v>912</v>
      </c>
      <c r="B70" s="1115">
        <v>1010826</v>
      </c>
      <c r="C70" s="1147">
        <v>8634560</v>
      </c>
      <c r="D70" s="913"/>
      <c r="E70" s="913"/>
      <c r="F70" s="913"/>
      <c r="G70" s="939"/>
    </row>
    <row r="71" spans="1:7" ht="12.75" customHeight="1">
      <c r="A71" s="954"/>
      <c r="B71" s="1115"/>
      <c r="C71" s="1115"/>
      <c r="D71" s="913"/>
      <c r="E71" s="913"/>
      <c r="F71" s="913"/>
      <c r="G71" s="939"/>
    </row>
    <row r="72" spans="1:7" ht="12.75" customHeight="1">
      <c r="A72" s="953" t="s">
        <v>892</v>
      </c>
      <c r="B72" s="1110"/>
      <c r="C72" s="1115"/>
      <c r="D72" s="913"/>
      <c r="E72" s="913"/>
      <c r="F72" s="913"/>
      <c r="G72" s="939"/>
    </row>
    <row r="73" spans="1:7" ht="12.75" customHeight="1">
      <c r="A73" s="954" t="s">
        <v>912</v>
      </c>
      <c r="B73" s="1115">
        <v>6889947</v>
      </c>
      <c r="C73" s="1115">
        <v>0</v>
      </c>
      <c r="D73" s="913"/>
      <c r="E73" s="913"/>
      <c r="F73" s="913"/>
      <c r="G73" s="939"/>
    </row>
    <row r="74" spans="1:7" ht="12.75" customHeight="1">
      <c r="A74" s="954"/>
      <c r="B74" s="1115"/>
      <c r="C74" s="1115"/>
      <c r="D74" s="913"/>
      <c r="E74" s="913"/>
      <c r="F74" s="913"/>
      <c r="G74" s="939"/>
    </row>
    <row r="75" spans="1:7" ht="12.75" customHeight="1">
      <c r="A75" s="953" t="s">
        <v>916</v>
      </c>
      <c r="B75" s="1110"/>
      <c r="C75" s="1151"/>
      <c r="D75" s="913"/>
      <c r="E75" s="913"/>
      <c r="F75" s="913"/>
      <c r="G75" s="939"/>
    </row>
    <row r="76" spans="1:7" ht="12.75" customHeight="1">
      <c r="A76" s="954" t="s">
        <v>917</v>
      </c>
      <c r="B76" s="1115">
        <v>0</v>
      </c>
      <c r="C76" s="1151">
        <v>5502988</v>
      </c>
      <c r="D76" s="913"/>
      <c r="E76" s="913"/>
      <c r="F76" s="913"/>
      <c r="G76" s="939"/>
    </row>
    <row r="77" spans="1:7" ht="12.75" customHeight="1">
      <c r="A77" s="954"/>
      <c r="B77" s="1115"/>
      <c r="C77" s="1115"/>
      <c r="D77" s="913"/>
      <c r="E77" s="913"/>
      <c r="F77" s="116"/>
      <c r="G77" s="939"/>
    </row>
    <row r="78" spans="1:7" ht="12.75" customHeight="1">
      <c r="A78" s="953" t="s">
        <v>765</v>
      </c>
      <c r="B78" s="1110"/>
      <c r="C78" s="1115"/>
      <c r="D78" s="913"/>
      <c r="E78" s="913"/>
      <c r="F78" s="913"/>
      <c r="G78" s="939"/>
    </row>
    <row r="79" spans="1:7" ht="12.75" customHeight="1">
      <c r="A79" s="954" t="s">
        <v>918</v>
      </c>
      <c r="B79" s="1115">
        <v>102827</v>
      </c>
      <c r="C79" s="1151">
        <v>18251236</v>
      </c>
      <c r="D79" s="913"/>
      <c r="E79" s="913"/>
      <c r="F79" s="913"/>
      <c r="G79" s="939"/>
    </row>
    <row r="80" spans="1:7" ht="12.75" customHeight="1">
      <c r="A80" s="954"/>
      <c r="B80" s="1115"/>
      <c r="C80" s="1115"/>
      <c r="D80" s="913"/>
      <c r="E80" s="913"/>
      <c r="F80" s="116"/>
      <c r="G80" s="939"/>
    </row>
    <row r="81" spans="1:7" ht="12.75" customHeight="1">
      <c r="A81" s="537" t="s">
        <v>919</v>
      </c>
      <c r="B81" s="1115"/>
      <c r="C81" s="1115"/>
      <c r="D81" s="913"/>
      <c r="E81" s="913"/>
      <c r="F81" s="116"/>
      <c r="G81" s="939"/>
    </row>
    <row r="82" spans="1:7" ht="12.75" customHeight="1">
      <c r="A82" s="954" t="s">
        <v>918</v>
      </c>
      <c r="B82" s="1115">
        <v>1071588</v>
      </c>
      <c r="C82" s="1147">
        <v>6336541</v>
      </c>
      <c r="D82" s="913"/>
      <c r="E82" s="913"/>
      <c r="F82" s="913"/>
      <c r="G82" s="939"/>
    </row>
    <row r="83" spans="1:7" ht="12.75" customHeight="1">
      <c r="A83" s="913"/>
      <c r="B83" s="1115"/>
      <c r="C83" s="1115"/>
      <c r="D83" s="913"/>
      <c r="E83" s="913"/>
      <c r="F83" s="913"/>
      <c r="G83" s="939"/>
    </row>
    <row r="84" spans="1:7" ht="12.75" customHeight="1">
      <c r="A84" s="200" t="s">
        <v>920</v>
      </c>
      <c r="B84" s="1119"/>
      <c r="C84" s="1119"/>
      <c r="D84" s="913"/>
      <c r="E84" s="913"/>
      <c r="F84" s="913"/>
      <c r="G84" s="939"/>
    </row>
    <row r="85" spans="1:7">
      <c r="A85" s="955" t="s">
        <v>1000</v>
      </c>
      <c r="B85" s="1109"/>
      <c r="C85" s="1109"/>
      <c r="D85" s="913"/>
      <c r="E85" s="913"/>
      <c r="F85" s="913"/>
      <c r="G85" s="939"/>
    </row>
    <row r="86" spans="1:7">
      <c r="A86" s="950" t="s">
        <v>1001</v>
      </c>
      <c r="B86" s="1109"/>
      <c r="C86" s="1109"/>
      <c r="D86" s="913"/>
      <c r="E86" s="913"/>
      <c r="F86" s="913"/>
      <c r="G86" s="939"/>
    </row>
    <row r="87" spans="1:7">
      <c r="A87" s="950" t="s">
        <v>1002</v>
      </c>
      <c r="B87" s="1109"/>
      <c r="C87" s="1109"/>
      <c r="D87" s="913"/>
      <c r="E87" s="913"/>
      <c r="F87" s="913"/>
      <c r="G87" s="939"/>
    </row>
    <row r="88" spans="1:7">
      <c r="A88" s="950" t="s">
        <v>1003</v>
      </c>
      <c r="B88" s="1109"/>
      <c r="C88" s="1109"/>
      <c r="D88" s="913"/>
      <c r="E88" s="913"/>
      <c r="F88" s="913"/>
      <c r="G88" s="939"/>
    </row>
    <row r="89" spans="1:7">
      <c r="A89" s="950" t="s">
        <v>921</v>
      </c>
      <c r="B89" s="1109">
        <f>17477000000+10000000000-9299659201</f>
        <v>18177340799</v>
      </c>
      <c r="C89" s="1148">
        <v>6426083441</v>
      </c>
      <c r="D89" s="913"/>
      <c r="E89" s="913"/>
      <c r="F89" s="913"/>
      <c r="G89" s="939"/>
    </row>
    <row r="90" spans="1:7">
      <c r="A90" s="950"/>
      <c r="B90" s="1109"/>
      <c r="C90" s="1109"/>
      <c r="D90" s="913"/>
      <c r="E90" s="913"/>
      <c r="F90" s="913"/>
      <c r="G90" s="939"/>
    </row>
    <row r="91" spans="1:7">
      <c r="A91" s="956" t="s">
        <v>1022</v>
      </c>
      <c r="B91" s="1109"/>
      <c r="C91" s="1109"/>
      <c r="D91" s="913"/>
      <c r="E91" s="913"/>
      <c r="F91" s="913"/>
      <c r="G91" s="939"/>
    </row>
    <row r="92" spans="1:7">
      <c r="A92" s="950" t="s">
        <v>1004</v>
      </c>
      <c r="B92" s="1109"/>
      <c r="C92" s="1109"/>
      <c r="D92" s="913"/>
      <c r="E92" s="913"/>
      <c r="F92" s="913"/>
      <c r="G92" s="939"/>
    </row>
    <row r="93" spans="1:7">
      <c r="A93" s="950" t="s">
        <v>1005</v>
      </c>
      <c r="B93" s="1109"/>
      <c r="C93" s="1109"/>
      <c r="D93" s="913"/>
      <c r="E93" s="913"/>
      <c r="F93" s="913"/>
      <c r="G93" s="939"/>
    </row>
    <row r="94" spans="1:7">
      <c r="A94" s="950" t="s">
        <v>1006</v>
      </c>
      <c r="B94" s="1109"/>
      <c r="C94" s="1109"/>
      <c r="D94" s="913"/>
      <c r="E94" s="913"/>
      <c r="F94" s="913"/>
      <c r="G94" s="939"/>
    </row>
    <row r="95" spans="1:7">
      <c r="A95" s="950" t="s">
        <v>1007</v>
      </c>
      <c r="B95" s="1109"/>
      <c r="C95" s="1109"/>
      <c r="D95" s="913"/>
      <c r="E95" s="913"/>
      <c r="F95" s="913"/>
      <c r="G95" s="939"/>
    </row>
    <row r="96" spans="1:7">
      <c r="A96" s="950" t="s">
        <v>922</v>
      </c>
      <c r="B96" s="1109">
        <f>45006000000-789919966</f>
        <v>44216080034</v>
      </c>
      <c r="C96" s="1148">
        <v>36636368955</v>
      </c>
      <c r="D96" s="913"/>
      <c r="E96" s="913"/>
      <c r="F96" s="913"/>
      <c r="G96" s="939"/>
    </row>
    <row r="97" spans="1:8">
      <c r="A97" s="950"/>
      <c r="B97" s="1109"/>
      <c r="C97" s="1109"/>
      <c r="D97" s="1083"/>
      <c r="E97" s="1083"/>
      <c r="F97" s="1083"/>
      <c r="G97" s="939"/>
    </row>
    <row r="98" spans="1:8">
      <c r="A98" s="956" t="s">
        <v>1023</v>
      </c>
      <c r="B98" s="1109"/>
      <c r="C98" s="1109"/>
      <c r="D98" s="1083"/>
      <c r="E98" s="1083"/>
      <c r="F98" s="1083"/>
      <c r="G98" s="939"/>
    </row>
    <row r="99" spans="1:8">
      <c r="A99" s="950" t="s">
        <v>1024</v>
      </c>
      <c r="B99" s="1109"/>
      <c r="C99" s="1109"/>
      <c r="D99" s="1083"/>
      <c r="E99" s="1083"/>
      <c r="F99" s="1083"/>
      <c r="G99" s="939"/>
    </row>
    <row r="100" spans="1:8">
      <c r="A100" s="950" t="s">
        <v>1027</v>
      </c>
      <c r="B100" s="1109">
        <f>291000000-12941895</f>
        <v>278058105</v>
      </c>
      <c r="C100" s="1109">
        <v>0</v>
      </c>
      <c r="D100" s="1083"/>
      <c r="E100" s="1083"/>
      <c r="F100" s="1083"/>
      <c r="G100" s="939"/>
    </row>
    <row r="101" spans="1:8">
      <c r="A101" s="950" t="s">
        <v>1026</v>
      </c>
      <c r="B101" s="1109"/>
      <c r="C101" s="1109"/>
      <c r="D101" s="1083"/>
      <c r="E101" s="1083"/>
      <c r="F101" s="1083"/>
      <c r="G101" s="939"/>
    </row>
    <row r="102" spans="1:8">
      <c r="A102" s="950"/>
      <c r="B102" s="1109"/>
      <c r="C102" s="1109"/>
      <c r="D102" s="1083"/>
      <c r="E102" s="1083"/>
      <c r="F102" s="1083"/>
      <c r="G102" s="939"/>
    </row>
    <row r="103" spans="1:8">
      <c r="A103" s="956" t="s">
        <v>1085</v>
      </c>
      <c r="B103" s="1109"/>
      <c r="C103" s="1109"/>
      <c r="D103" s="1083"/>
      <c r="E103" s="1083"/>
      <c r="F103" s="1083"/>
      <c r="G103" s="939"/>
    </row>
    <row r="104" spans="1:8">
      <c r="A104" s="950" t="s">
        <v>1025</v>
      </c>
      <c r="B104" s="1109"/>
      <c r="C104" s="1109"/>
      <c r="D104" s="1083"/>
      <c r="E104" s="1083"/>
      <c r="F104" s="1083"/>
      <c r="G104" s="939"/>
    </row>
    <row r="105" spans="1:8">
      <c r="A105" s="950" t="s">
        <v>1028</v>
      </c>
      <c r="B105" s="1109"/>
      <c r="C105" s="1109"/>
      <c r="D105" s="1083"/>
      <c r="E105" s="1083"/>
      <c r="F105" s="1083"/>
      <c r="G105" s="939"/>
    </row>
    <row r="106" spans="1:8">
      <c r="A106" s="950" t="s">
        <v>1029</v>
      </c>
      <c r="B106" s="1109">
        <f>2020000000-11450278</f>
        <v>2008549722</v>
      </c>
      <c r="C106" s="1109">
        <v>0</v>
      </c>
      <c r="D106" s="1083"/>
      <c r="E106" s="1083"/>
      <c r="F106" s="1083"/>
      <c r="G106" s="939"/>
    </row>
    <row r="107" spans="1:8">
      <c r="A107" s="950"/>
      <c r="B107" s="1109"/>
      <c r="C107" s="1109"/>
      <c r="D107" s="1083"/>
      <c r="E107" s="1083"/>
      <c r="F107" s="1083"/>
      <c r="G107" s="939"/>
    </row>
    <row r="108" spans="1:8">
      <c r="A108" s="965" t="s">
        <v>923</v>
      </c>
      <c r="B108" s="1109"/>
      <c r="C108" s="1109"/>
      <c r="D108" s="913"/>
      <c r="E108" s="913"/>
      <c r="F108" s="913"/>
      <c r="G108" s="939"/>
    </row>
    <row r="109" spans="1:8">
      <c r="A109" s="1111" t="s">
        <v>1030</v>
      </c>
      <c r="B109" s="1109"/>
      <c r="C109" s="1109"/>
      <c r="D109" s="913"/>
      <c r="E109" s="913"/>
      <c r="F109" s="913"/>
      <c r="G109" s="939"/>
    </row>
    <row r="110" spans="1:8" ht="15.75" customHeight="1">
      <c r="A110" s="950" t="s">
        <v>1031</v>
      </c>
      <c r="B110" s="1109">
        <v>0</v>
      </c>
      <c r="C110" s="1148">
        <v>16500000</v>
      </c>
      <c r="D110" s="913"/>
      <c r="E110" s="913"/>
      <c r="F110" s="913"/>
      <c r="G110" s="939"/>
    </row>
    <row r="111" spans="1:8">
      <c r="A111" s="950"/>
      <c r="B111" s="1109"/>
      <c r="C111" s="1109"/>
      <c r="D111" s="913"/>
      <c r="E111" s="913"/>
      <c r="F111" s="913"/>
      <c r="G111" s="939"/>
      <c r="H111" s="649"/>
    </row>
    <row r="112" spans="1:8">
      <c r="A112" s="950" t="s">
        <v>1042</v>
      </c>
      <c r="B112" s="1110">
        <v>410104619</v>
      </c>
      <c r="C112" s="1151">
        <v>257653043</v>
      </c>
      <c r="D112" s="913"/>
      <c r="E112" s="913"/>
      <c r="F112" s="913"/>
      <c r="G112" s="939"/>
    </row>
    <row r="113" spans="1:7">
      <c r="A113" s="950"/>
      <c r="B113" s="1109"/>
      <c r="C113" s="1109"/>
      <c r="D113" s="913"/>
      <c r="E113" s="913"/>
      <c r="F113" s="913"/>
      <c r="G113" s="939"/>
    </row>
    <row r="114" spans="1:7">
      <c r="A114" s="950" t="s">
        <v>1043</v>
      </c>
      <c r="B114" s="1109"/>
      <c r="C114" s="1109"/>
      <c r="D114" s="913"/>
      <c r="E114" s="913"/>
      <c r="F114" s="913"/>
      <c r="G114" s="939"/>
    </row>
    <row r="115" spans="1:7">
      <c r="A115" s="950"/>
      <c r="B115" s="1109">
        <v>0</v>
      </c>
      <c r="C115" s="1148">
        <v>15275627</v>
      </c>
      <c r="D115" s="913"/>
      <c r="E115" s="913"/>
      <c r="F115" s="913"/>
      <c r="G115" s="939"/>
    </row>
    <row r="116" spans="1:7">
      <c r="A116" s="914"/>
      <c r="B116" s="1109"/>
      <c r="C116" s="1117"/>
      <c r="D116" s="913"/>
      <c r="E116" s="913"/>
      <c r="F116" s="913"/>
      <c r="G116" s="939"/>
    </row>
    <row r="117" spans="1:7">
      <c r="A117" s="958" t="s">
        <v>1021</v>
      </c>
      <c r="B117" s="1109"/>
      <c r="C117" s="1117"/>
      <c r="D117" s="913"/>
      <c r="E117" s="913"/>
      <c r="F117" s="913"/>
      <c r="G117" s="939"/>
    </row>
    <row r="118" spans="1:7">
      <c r="A118" s="914" t="s">
        <v>849</v>
      </c>
      <c r="B118" s="1109">
        <v>37046721</v>
      </c>
      <c r="C118" s="1148">
        <v>12985180</v>
      </c>
      <c r="D118" s="913"/>
      <c r="E118" s="913"/>
      <c r="F118" s="913"/>
      <c r="G118" s="939"/>
    </row>
    <row r="119" spans="1:7">
      <c r="A119" s="914" t="s">
        <v>850</v>
      </c>
      <c r="B119" s="1109">
        <v>61428374</v>
      </c>
      <c r="C119" s="1148">
        <v>103927286</v>
      </c>
      <c r="D119" s="913"/>
      <c r="E119" s="913"/>
      <c r="F119" s="913"/>
      <c r="G119" s="939"/>
    </row>
    <row r="120" spans="1:7">
      <c r="A120" s="914" t="s">
        <v>851</v>
      </c>
      <c r="B120" s="1109">
        <v>5627584</v>
      </c>
      <c r="C120" s="1148">
        <v>10943872</v>
      </c>
      <c r="D120" s="913"/>
      <c r="E120" s="913"/>
      <c r="F120" s="913"/>
      <c r="G120" s="939"/>
    </row>
    <row r="121" spans="1:7">
      <c r="A121" s="914" t="s">
        <v>863</v>
      </c>
      <c r="B121" s="1109">
        <v>20177723</v>
      </c>
      <c r="C121" s="1148">
        <v>78049958</v>
      </c>
      <c r="D121" s="913"/>
      <c r="E121" s="913"/>
      <c r="F121" s="913"/>
      <c r="G121" s="939"/>
    </row>
    <row r="122" spans="1:7">
      <c r="A122" s="914" t="s">
        <v>765</v>
      </c>
      <c r="B122" s="1109">
        <v>54056499</v>
      </c>
      <c r="C122" s="1148">
        <v>55520487</v>
      </c>
      <c r="D122" s="913"/>
      <c r="E122" s="913"/>
      <c r="F122" s="913"/>
      <c r="G122" s="939"/>
    </row>
    <row r="123" spans="1:7">
      <c r="A123" s="914" t="s">
        <v>864</v>
      </c>
      <c r="B123" s="1109">
        <v>39388477</v>
      </c>
      <c r="C123" s="1148">
        <v>37761131</v>
      </c>
      <c r="D123" s="913"/>
      <c r="E123" s="913"/>
      <c r="F123" s="913"/>
      <c r="G123" s="939"/>
    </row>
    <row r="124" spans="1:7">
      <c r="A124" s="914" t="s">
        <v>852</v>
      </c>
      <c r="B124" s="1109">
        <v>19684357</v>
      </c>
      <c r="C124" s="1148">
        <v>13338024</v>
      </c>
      <c r="D124" s="913"/>
      <c r="E124" s="913"/>
      <c r="F124" s="913"/>
      <c r="G124" s="939"/>
    </row>
    <row r="125" spans="1:7">
      <c r="A125" s="914" t="s">
        <v>853</v>
      </c>
      <c r="B125" s="1109">
        <v>10478151</v>
      </c>
      <c r="C125" s="1148">
        <v>2704952</v>
      </c>
      <c r="D125" s="913"/>
      <c r="E125" s="913"/>
      <c r="F125" s="913"/>
      <c r="G125" s="939"/>
    </row>
    <row r="126" spans="1:7">
      <c r="A126" s="914" t="s">
        <v>854</v>
      </c>
      <c r="B126" s="1109">
        <v>2514486</v>
      </c>
      <c r="C126" s="1148">
        <v>37058604</v>
      </c>
      <c r="D126" s="913"/>
      <c r="E126" s="913"/>
      <c r="F126" s="913"/>
      <c r="G126" s="939"/>
    </row>
    <row r="127" spans="1:7">
      <c r="A127" s="914" t="s">
        <v>855</v>
      </c>
      <c r="B127" s="1109">
        <v>1948258</v>
      </c>
      <c r="C127" s="1148">
        <v>1803481</v>
      </c>
      <c r="D127" s="913"/>
      <c r="E127" s="913"/>
      <c r="F127" s="913"/>
      <c r="G127" s="939"/>
    </row>
    <row r="128" spans="1:7">
      <c r="A128" s="914" t="s">
        <v>856</v>
      </c>
      <c r="B128" s="1109">
        <v>8564194</v>
      </c>
      <c r="C128" s="1148">
        <v>31689721</v>
      </c>
      <c r="D128" s="913"/>
      <c r="E128" s="913"/>
      <c r="F128" s="913"/>
      <c r="G128" s="939"/>
    </row>
    <row r="129" spans="1:7" hidden="1">
      <c r="A129" s="914" t="s">
        <v>857</v>
      </c>
      <c r="B129" s="1109">
        <v>0</v>
      </c>
      <c r="C129" s="1148">
        <v>0</v>
      </c>
      <c r="D129" s="913"/>
      <c r="E129" s="913"/>
      <c r="F129" s="913"/>
      <c r="G129" s="939"/>
    </row>
    <row r="130" spans="1:7">
      <c r="A130" s="914" t="s">
        <v>865</v>
      </c>
      <c r="B130" s="1109">
        <v>77260859</v>
      </c>
      <c r="C130" s="1148">
        <v>23632880</v>
      </c>
      <c r="D130" s="913"/>
      <c r="E130" s="913"/>
      <c r="F130" s="913"/>
      <c r="G130" s="939"/>
    </row>
    <row r="131" spans="1:7">
      <c r="A131" s="914" t="s">
        <v>866</v>
      </c>
      <c r="B131" s="1109">
        <v>53133673</v>
      </c>
      <c r="C131" s="1148">
        <v>829411</v>
      </c>
      <c r="D131" s="913"/>
      <c r="E131" s="913"/>
      <c r="F131" s="913"/>
      <c r="G131" s="939"/>
    </row>
    <row r="132" spans="1:7">
      <c r="A132" s="914" t="s">
        <v>867</v>
      </c>
      <c r="B132" s="1109">
        <v>338720042</v>
      </c>
      <c r="C132" s="1148">
        <v>80209796</v>
      </c>
      <c r="D132" s="913"/>
      <c r="E132" s="913"/>
      <c r="F132" s="913"/>
      <c r="G132" s="939"/>
    </row>
    <row r="133" spans="1:7">
      <c r="A133" s="914" t="s">
        <v>859</v>
      </c>
      <c r="B133" s="1109">
        <v>19576079409</v>
      </c>
      <c r="C133" s="1148">
        <v>14379837221</v>
      </c>
      <c r="D133" s="913"/>
      <c r="E133" s="116"/>
      <c r="F133" s="913"/>
      <c r="G133" s="939"/>
    </row>
    <row r="134" spans="1:7">
      <c r="A134" s="914" t="s">
        <v>869</v>
      </c>
      <c r="B134" s="1109">
        <v>8244193</v>
      </c>
      <c r="C134" s="1148">
        <v>14208257</v>
      </c>
      <c r="D134" s="913"/>
      <c r="E134" s="913"/>
      <c r="F134" s="913"/>
      <c r="G134" s="939"/>
    </row>
    <row r="135" spans="1:7">
      <c r="A135" s="914" t="s">
        <v>870</v>
      </c>
      <c r="B135" s="1109">
        <v>53851610</v>
      </c>
      <c r="C135" s="1148">
        <v>286364</v>
      </c>
      <c r="D135" s="913"/>
      <c r="E135" s="913"/>
      <c r="F135" s="913"/>
      <c r="G135" s="939"/>
    </row>
    <row r="136" spans="1:7">
      <c r="A136" s="914" t="s">
        <v>871</v>
      </c>
      <c r="B136" s="1109">
        <v>3620829631</v>
      </c>
      <c r="C136" s="1148">
        <v>2486701935</v>
      </c>
      <c r="D136" s="913"/>
      <c r="E136" s="116"/>
      <c r="F136" s="913"/>
      <c r="G136" s="939"/>
    </row>
    <row r="137" spans="1:7">
      <c r="A137" s="1086"/>
      <c r="B137" s="1109"/>
      <c r="C137" s="1117"/>
      <c r="D137" s="1083"/>
      <c r="E137" s="116"/>
      <c r="F137" s="1083"/>
      <c r="G137" s="939"/>
    </row>
    <row r="138" spans="1:7">
      <c r="A138" s="958" t="s">
        <v>1044</v>
      </c>
      <c r="B138" s="1109"/>
      <c r="C138" s="1117"/>
      <c r="D138" s="1083"/>
      <c r="E138" s="116"/>
      <c r="F138" s="1083"/>
      <c r="G138" s="939"/>
    </row>
    <row r="139" spans="1:7">
      <c r="A139" s="1086" t="s">
        <v>868</v>
      </c>
      <c r="B139" s="1152">
        <v>3369210637</v>
      </c>
      <c r="C139" s="1148">
        <v>1905619274</v>
      </c>
      <c r="D139" s="1083"/>
      <c r="E139" s="116"/>
      <c r="F139" s="1083"/>
      <c r="G139" s="939"/>
    </row>
    <row r="140" spans="1:7">
      <c r="B140" s="1153"/>
      <c r="C140" s="1109"/>
    </row>
    <row r="141" spans="1:7">
      <c r="A141" s="964" t="s">
        <v>583</v>
      </c>
      <c r="B141" s="1152"/>
      <c r="C141" s="1116"/>
      <c r="D141" s="913"/>
      <c r="E141" s="913"/>
      <c r="F141" s="913"/>
      <c r="G141" s="939"/>
    </row>
    <row r="142" spans="1:7">
      <c r="A142" s="959"/>
      <c r="B142" s="1152"/>
      <c r="C142" s="1116"/>
      <c r="D142" s="913"/>
      <c r="E142" s="913"/>
      <c r="F142" s="913"/>
      <c r="G142" s="939"/>
    </row>
    <row r="143" spans="1:7">
      <c r="A143" s="1060" t="s">
        <v>988</v>
      </c>
      <c r="B143" s="1152">
        <v>105909090</v>
      </c>
      <c r="C143" s="1148">
        <v>47525909</v>
      </c>
      <c r="D143" s="1059"/>
      <c r="E143" s="1059"/>
      <c r="F143" s="1059"/>
      <c r="G143" s="939"/>
    </row>
    <row r="144" spans="1:7">
      <c r="A144" s="914" t="s">
        <v>989</v>
      </c>
      <c r="B144" s="1154">
        <v>12545455</v>
      </c>
      <c r="C144" s="1120">
        <v>0</v>
      </c>
      <c r="D144" s="913"/>
      <c r="E144" s="913"/>
      <c r="F144" s="913"/>
      <c r="G144" s="939"/>
    </row>
    <row r="145" spans="1:7">
      <c r="A145" s="960" t="s">
        <v>9</v>
      </c>
      <c r="B145" s="1156">
        <f>SUM(B7:B144)</f>
        <v>147542356296</v>
      </c>
      <c r="C145" s="1155">
        <f>SUM(C7:C144)</f>
        <v>96213253756</v>
      </c>
      <c r="D145" s="913"/>
      <c r="E145" s="116"/>
      <c r="F145" s="913"/>
      <c r="G145" s="957"/>
    </row>
    <row r="146" spans="1:7">
      <c r="A146" s="493"/>
      <c r="B146" s="1085"/>
      <c r="C146" s="1085"/>
      <c r="D146" s="913"/>
      <c r="E146" s="913"/>
      <c r="F146" s="116"/>
      <c r="G146" s="939"/>
    </row>
    <row r="147" spans="1:7">
      <c r="A147" s="913"/>
      <c r="B147" s="1084"/>
      <c r="C147" s="197"/>
      <c r="D147" s="913"/>
      <c r="E147" s="116"/>
      <c r="F147" s="913"/>
      <c r="G147" s="939"/>
    </row>
    <row r="148" spans="1:7">
      <c r="A148" s="913"/>
      <c r="B148" s="1084"/>
      <c r="C148" s="1084"/>
      <c r="D148" s="913"/>
      <c r="E148" s="913"/>
      <c r="F148" s="913"/>
      <c r="G148" s="939"/>
    </row>
    <row r="149" spans="1:7">
      <c r="A149" s="913"/>
      <c r="B149" s="1084"/>
      <c r="C149" s="1084"/>
      <c r="D149" s="913"/>
      <c r="E149" s="913"/>
      <c r="F149" s="913"/>
      <c r="G149" s="939"/>
    </row>
    <row r="150" spans="1:7">
      <c r="A150" s="913"/>
      <c r="B150" s="913"/>
      <c r="D150" s="913"/>
      <c r="E150" s="913"/>
      <c r="F150" s="913"/>
      <c r="G150" s="939"/>
    </row>
    <row r="151" spans="1:7">
      <c r="A151" s="913"/>
      <c r="B151" s="913"/>
      <c r="D151" s="913"/>
      <c r="E151" s="913"/>
      <c r="F151" s="913"/>
      <c r="G151" s="939"/>
    </row>
    <row r="152" spans="1:7">
      <c r="A152" s="493"/>
      <c r="B152" s="913"/>
      <c r="D152" s="913"/>
      <c r="E152" s="913"/>
      <c r="F152" s="913"/>
      <c r="G152" s="939"/>
    </row>
    <row r="153" spans="1:7">
      <c r="A153" s="913"/>
      <c r="B153" s="913"/>
      <c r="D153" s="913"/>
      <c r="E153" s="913"/>
      <c r="F153" s="913"/>
      <c r="G153" s="939"/>
    </row>
    <row r="154" spans="1:7">
      <c r="A154" s="1284"/>
      <c r="B154" s="1284"/>
      <c r="C154" s="1284"/>
      <c r="D154" s="1284"/>
      <c r="E154" s="1284"/>
      <c r="F154" s="1284"/>
      <c r="G154" s="961"/>
    </row>
    <row r="155" spans="1:7">
      <c r="A155" s="76"/>
      <c r="B155" s="76"/>
      <c r="C155" s="76"/>
      <c r="D155" s="76"/>
      <c r="E155" s="76"/>
      <c r="F155" s="76"/>
      <c r="G155" s="961"/>
    </row>
    <row r="156" spans="1:7">
      <c r="A156" s="395"/>
      <c r="B156" s="549"/>
      <c r="C156" s="549"/>
      <c r="D156" s="76"/>
      <c r="E156" s="76"/>
      <c r="F156" s="76"/>
      <c r="G156" s="961"/>
    </row>
    <row r="157" spans="1:7">
      <c r="A157" s="962"/>
      <c r="B157" s="963"/>
      <c r="C157" s="76"/>
      <c r="D157" s="963"/>
      <c r="E157" s="963"/>
      <c r="F157" s="963"/>
      <c r="G157" s="961"/>
    </row>
    <row r="158" spans="1:7">
      <c r="A158" s="963"/>
      <c r="B158" s="963"/>
      <c r="C158" s="76"/>
      <c r="D158" s="963"/>
      <c r="E158" s="963"/>
      <c r="F158" s="963"/>
      <c r="G158" s="961"/>
    </row>
    <row r="159" spans="1:7">
      <c r="A159" s="963"/>
      <c r="B159" s="963"/>
      <c r="C159" s="76"/>
      <c r="D159" s="963"/>
      <c r="E159" s="963"/>
      <c r="F159" s="963"/>
      <c r="G159" s="961"/>
    </row>
    <row r="160" spans="1:7">
      <c r="A160" s="962"/>
      <c r="B160" s="963"/>
      <c r="C160" s="76"/>
      <c r="D160" s="963"/>
      <c r="E160" s="963"/>
      <c r="F160" s="963"/>
      <c r="G160" s="961"/>
    </row>
    <row r="161" spans="1:7">
      <c r="A161" s="963"/>
      <c r="B161" s="963"/>
      <c r="C161" s="76"/>
      <c r="D161" s="963"/>
      <c r="E161" s="963"/>
      <c r="F161" s="963"/>
      <c r="G161" s="961"/>
    </row>
    <row r="162" spans="1:7">
      <c r="A162" s="963"/>
      <c r="B162" s="963"/>
      <c r="C162" s="76"/>
      <c r="D162" s="963"/>
      <c r="E162" s="963"/>
      <c r="F162" s="963"/>
      <c r="G162" s="961"/>
    </row>
    <row r="163" spans="1:7">
      <c r="A163" s="962"/>
      <c r="B163" s="963"/>
      <c r="C163" s="76"/>
      <c r="D163" s="963"/>
      <c r="E163" s="963"/>
      <c r="F163" s="963"/>
      <c r="G163" s="961"/>
    </row>
    <row r="164" spans="1:7">
      <c r="A164" s="963"/>
      <c r="B164" s="963"/>
      <c r="C164" s="76"/>
      <c r="D164" s="963"/>
      <c r="E164" s="963"/>
      <c r="F164" s="963"/>
      <c r="G164" s="961"/>
    </row>
    <row r="165" spans="1:7">
      <c r="A165" s="963"/>
      <c r="B165" s="963"/>
      <c r="C165" s="76"/>
      <c r="D165" s="963"/>
      <c r="E165" s="963"/>
      <c r="F165" s="963"/>
      <c r="G165" s="961"/>
    </row>
    <row r="166" spans="1:7">
      <c r="A166" s="963"/>
      <c r="B166" s="963"/>
      <c r="C166" s="76"/>
      <c r="D166" s="963"/>
      <c r="E166" s="963"/>
      <c r="F166" s="963"/>
      <c r="G166" s="961"/>
    </row>
  </sheetData>
  <mergeCells count="1">
    <mergeCell ref="A154:F154"/>
  </mergeCells>
  <hyperlinks>
    <hyperlink ref="C1" location="Indice!A1" display="Indice" xr:uid="{77D851CA-061C-4EE7-A453-DBC7E486CD3A}"/>
  </hyperlinks>
  <pageMargins left="0.98425196850393704" right="0.39370078740157483" top="1.9685039370078741" bottom="0.74803149606299213" header="0.31496062992125984" footer="0.31496062992125984"/>
  <pageSetup scale="80" orientation="portrait" r:id="rId1"/>
  <ignoredErrors>
    <ignoredError sqref="C14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J53"/>
  <sheetViews>
    <sheetView showGridLines="0" zoomScaleNormal="100" zoomScaleSheetLayoutView="70" workbookViewId="0"/>
  </sheetViews>
  <sheetFormatPr baseColWidth="10" defaultColWidth="11.42578125" defaultRowHeight="12"/>
  <cols>
    <col min="1" max="1" width="64.28515625" style="9" customWidth="1"/>
    <col min="2" max="2" width="5.42578125" style="45" customWidth="1"/>
    <col min="3" max="3" width="17" style="189" customWidth="1"/>
    <col min="4" max="4" width="18.140625" style="189" customWidth="1"/>
    <col min="5" max="5" width="0.28515625" style="101" hidden="1" customWidth="1"/>
    <col min="6" max="6" width="0.28515625" style="101" customWidth="1"/>
    <col min="7" max="7" width="1" style="101" hidden="1" customWidth="1"/>
    <col min="8" max="8" width="14.28515625" style="116" bestFit="1" customWidth="1"/>
    <col min="9" max="9" width="14.85546875" style="116" bestFit="1" customWidth="1"/>
    <col min="10" max="10" width="14.28515625" style="101" bestFit="1" customWidth="1"/>
    <col min="11" max="16384" width="11.42578125" style="101"/>
  </cols>
  <sheetData>
    <row r="1" spans="1:10" ht="17.25" customHeight="1">
      <c r="A1" s="277" t="str">
        <f>Indice!C1</f>
        <v>NICOLAS GONZALEZ ODDONE S.A.E.C.A</v>
      </c>
      <c r="B1" s="311" t="s">
        <v>234</v>
      </c>
    </row>
    <row r="2" spans="1:10">
      <c r="A2" s="188"/>
      <c r="B2" s="86"/>
    </row>
    <row r="3" spans="1:10" ht="12.75">
      <c r="A3" s="1225" t="s">
        <v>166</v>
      </c>
      <c r="B3" s="1225"/>
      <c r="C3" s="1225"/>
      <c r="D3" s="1225"/>
      <c r="E3" s="1225"/>
      <c r="F3" s="1225"/>
      <c r="G3" s="1225"/>
    </row>
    <row r="4" spans="1:10" ht="15">
      <c r="A4" s="1226" t="s">
        <v>1048</v>
      </c>
      <c r="B4" s="1226"/>
      <c r="C4" s="1226"/>
      <c r="D4" s="1226"/>
      <c r="E4" s="1226"/>
      <c r="F4" s="1226"/>
      <c r="G4" s="1226"/>
    </row>
    <row r="5" spans="1:10">
      <c r="A5" s="1228" t="s">
        <v>152</v>
      </c>
      <c r="B5" s="1228"/>
      <c r="C5" s="1228"/>
      <c r="D5" s="1228"/>
      <c r="E5" s="1228"/>
      <c r="F5" s="1228"/>
      <c r="G5" s="1228"/>
    </row>
    <row r="6" spans="1:10">
      <c r="A6" s="98"/>
      <c r="B6" s="99"/>
      <c r="C6" s="190"/>
    </row>
    <row r="7" spans="1:10" ht="14.25">
      <c r="A7" s="310"/>
      <c r="B7" s="802" t="s">
        <v>126</v>
      </c>
      <c r="C7" s="801">
        <v>44561</v>
      </c>
      <c r="D7" s="801">
        <v>44196</v>
      </c>
    </row>
    <row r="8" spans="1:10">
      <c r="A8" s="883" t="s">
        <v>498</v>
      </c>
      <c r="B8" s="312">
        <v>25</v>
      </c>
      <c r="C8" s="241">
        <f>'Nota 25'!B13</f>
        <v>747926669419</v>
      </c>
      <c r="D8" s="241">
        <f>'Nota 25'!C13</f>
        <v>645487539874</v>
      </c>
    </row>
    <row r="9" spans="1:10">
      <c r="A9" s="883" t="s">
        <v>499</v>
      </c>
      <c r="B9" s="312">
        <v>25</v>
      </c>
      <c r="C9" s="241">
        <f>'Nota 25'!B20</f>
        <v>21878826748</v>
      </c>
      <c r="D9" s="241">
        <f>'Nota 25'!C20</f>
        <v>5722748282</v>
      </c>
    </row>
    <row r="10" spans="1:10">
      <c r="A10" s="883" t="s">
        <v>89</v>
      </c>
      <c r="B10" s="312">
        <v>26</v>
      </c>
      <c r="C10" s="241">
        <f>-'Nota 26'!B18</f>
        <v>-568678558083</v>
      </c>
      <c r="D10" s="241">
        <f>-'Nota 26'!C18</f>
        <v>-464266150699</v>
      </c>
      <c r="F10" s="129"/>
      <c r="J10" s="116"/>
    </row>
    <row r="11" spans="1:10">
      <c r="A11" s="261" t="s">
        <v>49</v>
      </c>
      <c r="B11" s="313"/>
      <c r="C11" s="242">
        <f>SUM(C8:C10)</f>
        <v>201126938084</v>
      </c>
      <c r="D11" s="242">
        <f>SUM(D8:D10)</f>
        <v>186944137457</v>
      </c>
    </row>
    <row r="12" spans="1:10" s="235" customFormat="1">
      <c r="A12" s="261"/>
      <c r="B12" s="313"/>
      <c r="C12" s="242"/>
      <c r="D12" s="242"/>
      <c r="H12" s="116"/>
      <c r="I12" s="116"/>
    </row>
    <row r="13" spans="1:10">
      <c r="A13" s="883" t="s">
        <v>143</v>
      </c>
      <c r="B13" s="312">
        <v>27</v>
      </c>
      <c r="C13" s="241">
        <f>-'Nota 27'!B34</f>
        <v>-89060694961</v>
      </c>
      <c r="D13" s="241">
        <f>-'Nota 27'!E34</f>
        <v>-74230286576</v>
      </c>
    </row>
    <row r="14" spans="1:10">
      <c r="A14" s="883" t="s">
        <v>145</v>
      </c>
      <c r="B14" s="312">
        <v>27</v>
      </c>
      <c r="C14" s="241">
        <f>+-'Nota 27'!C34</f>
        <v>-36245520863</v>
      </c>
      <c r="D14" s="241">
        <f>-'Nota 27'!F34</f>
        <v>-38866900438</v>
      </c>
    </row>
    <row r="15" spans="1:10">
      <c r="A15" s="883" t="s">
        <v>697</v>
      </c>
      <c r="B15" s="312">
        <v>28</v>
      </c>
      <c r="C15" s="243">
        <f>'Nota 28'!B47</f>
        <v>35940848327</v>
      </c>
      <c r="D15" s="243">
        <f>'Nota 28'!C47</f>
        <v>37296287863</v>
      </c>
    </row>
    <row r="16" spans="1:10" s="208" customFormat="1">
      <c r="A16" s="883" t="s">
        <v>698</v>
      </c>
      <c r="B16" s="312">
        <v>28</v>
      </c>
      <c r="C16" s="243">
        <f>'Nota 28'!F19</f>
        <v>-14131002074</v>
      </c>
      <c r="D16" s="243">
        <f>'Nota 28'!G19</f>
        <v>-12700629924</v>
      </c>
      <c r="H16" s="116"/>
      <c r="I16" s="116"/>
    </row>
    <row r="17" spans="1:10">
      <c r="A17" s="261" t="s">
        <v>90</v>
      </c>
      <c r="B17" s="313"/>
      <c r="C17" s="242">
        <f>SUM(C13:C16)</f>
        <v>-103496369571</v>
      </c>
      <c r="D17" s="242">
        <f>SUM(D13:D16)</f>
        <v>-88501529075</v>
      </c>
    </row>
    <row r="18" spans="1:10" s="235" customFormat="1">
      <c r="A18" s="261"/>
      <c r="B18" s="313"/>
      <c r="C18" s="242"/>
      <c r="D18" s="242"/>
      <c r="H18" s="116"/>
      <c r="I18" s="116"/>
    </row>
    <row r="19" spans="1:10">
      <c r="A19" s="883" t="s">
        <v>261</v>
      </c>
      <c r="B19" s="312">
        <v>29</v>
      </c>
      <c r="C19" s="243">
        <f>'Nota 29'!B15</f>
        <v>56155619718</v>
      </c>
      <c r="D19" s="243">
        <f>'Nota 29'!C15</f>
        <v>33388952543</v>
      </c>
      <c r="F19" s="129"/>
    </row>
    <row r="20" spans="1:10">
      <c r="A20" s="883" t="s">
        <v>260</v>
      </c>
      <c r="B20" s="312">
        <v>29</v>
      </c>
      <c r="C20" s="243">
        <f>'Nota 29'!F14</f>
        <v>-49233991494</v>
      </c>
      <c r="D20" s="243">
        <f>'Nota 29'!G14</f>
        <v>-24566789518</v>
      </c>
    </row>
    <row r="21" spans="1:10">
      <c r="A21" s="188" t="s">
        <v>42</v>
      </c>
      <c r="B21" s="312"/>
      <c r="C21" s="242">
        <f>SUM(C19:C20)</f>
        <v>6921628224</v>
      </c>
      <c r="D21" s="242">
        <f>SUM(D19:D20)</f>
        <v>8822163025</v>
      </c>
      <c r="J21" s="116"/>
    </row>
    <row r="22" spans="1:10" s="883" customFormat="1">
      <c r="A22" s="188"/>
      <c r="B22" s="312"/>
      <c r="C22" s="242"/>
      <c r="D22" s="242"/>
      <c r="H22" s="116"/>
      <c r="I22" s="116"/>
      <c r="J22" s="116"/>
    </row>
    <row r="23" spans="1:10" s="235" customFormat="1">
      <c r="A23" s="883" t="s">
        <v>93</v>
      </c>
      <c r="B23" s="312">
        <v>30</v>
      </c>
      <c r="C23" s="243">
        <f>+'Nota 30'!B10</f>
        <v>17655103884</v>
      </c>
      <c r="D23" s="243">
        <f>+'Nota 30'!C10</f>
        <v>2500387345</v>
      </c>
      <c r="H23" s="116"/>
      <c r="I23" s="116"/>
    </row>
    <row r="24" spans="1:10" s="235" customFormat="1">
      <c r="A24" s="883" t="s">
        <v>940</v>
      </c>
      <c r="B24" s="312" t="s">
        <v>701</v>
      </c>
      <c r="C24" s="243">
        <f>+'Nota 28'!B79</f>
        <v>1791059789</v>
      </c>
      <c r="D24" s="243">
        <f>'Nota 28'!C79</f>
        <v>2186416461</v>
      </c>
      <c r="H24" s="116"/>
      <c r="I24" s="116"/>
      <c r="J24" s="116"/>
    </row>
    <row r="25" spans="1:10" s="235" customFormat="1">
      <c r="A25" s="883" t="s">
        <v>860</v>
      </c>
      <c r="B25" s="312">
        <v>29.1</v>
      </c>
      <c r="C25" s="243">
        <f>'Nota 29'!B31</f>
        <v>13723559040</v>
      </c>
      <c r="D25" s="243">
        <f>'Nota 29'!C31</f>
        <v>2651712841</v>
      </c>
      <c r="H25" s="116"/>
      <c r="I25" s="116"/>
      <c r="J25" s="116"/>
    </row>
    <row r="26" spans="1:10" s="235" customFormat="1">
      <c r="A26" s="883" t="s">
        <v>950</v>
      </c>
      <c r="B26" s="312">
        <v>29.1</v>
      </c>
      <c r="C26" s="243">
        <f>'Nota 29'!F31</f>
        <v>-14833583358</v>
      </c>
      <c r="D26" s="243">
        <f>'Nota 29'!G31</f>
        <v>-327745747</v>
      </c>
      <c r="H26" s="116"/>
      <c r="I26" s="116"/>
      <c r="J26" s="116"/>
    </row>
    <row r="27" spans="1:10" s="531" customFormat="1">
      <c r="A27" s="883"/>
      <c r="B27" s="314"/>
      <c r="C27" s="243"/>
      <c r="D27" s="243"/>
      <c r="H27" s="116"/>
      <c r="I27" s="116"/>
      <c r="J27" s="116"/>
    </row>
    <row r="28" spans="1:10">
      <c r="A28" s="191" t="s">
        <v>553</v>
      </c>
      <c r="B28" s="312"/>
      <c r="C28" s="242">
        <f>+C11+C17+C21+C23+C24+C25+C26</f>
        <v>122888336092</v>
      </c>
      <c r="D28" s="242">
        <f>+D11+D17+D21+D23+D24+D25+D26</f>
        <v>114275542307</v>
      </c>
      <c r="J28" s="116"/>
    </row>
    <row r="29" spans="1:10" s="208" customFormat="1">
      <c r="A29" s="883"/>
      <c r="B29" s="312"/>
      <c r="C29" s="243"/>
      <c r="D29" s="243"/>
      <c r="H29" s="116"/>
      <c r="I29" s="116"/>
      <c r="J29" s="116"/>
    </row>
    <row r="30" spans="1:10">
      <c r="A30" s="191" t="s">
        <v>53</v>
      </c>
      <c r="B30" s="313"/>
      <c r="C30" s="242"/>
      <c r="D30" s="242"/>
    </row>
    <row r="31" spans="1:10">
      <c r="A31" s="884" t="s">
        <v>34</v>
      </c>
      <c r="B31" s="311">
        <v>32</v>
      </c>
      <c r="C31" s="243">
        <f>-'Nota 32'!B9</f>
        <v>-10935554303</v>
      </c>
      <c r="D31" s="243">
        <f>-'Nota 32'!C9</f>
        <v>-11671341493</v>
      </c>
    </row>
    <row r="32" spans="1:10" s="208" customFormat="1">
      <c r="A32" s="884"/>
      <c r="B32" s="311"/>
      <c r="C32" s="243"/>
      <c r="D32" s="243"/>
      <c r="H32" s="116"/>
      <c r="I32" s="116"/>
    </row>
    <row r="33" spans="1:9">
      <c r="A33" s="261" t="s">
        <v>262</v>
      </c>
      <c r="B33" s="313"/>
      <c r="C33" s="242">
        <f>+C28+C31</f>
        <v>111952781789</v>
      </c>
      <c r="D33" s="242">
        <f>+D28+D31</f>
        <v>102604200814</v>
      </c>
    </row>
    <row r="34" spans="1:9">
      <c r="A34" s="883" t="s">
        <v>50</v>
      </c>
      <c r="B34" s="312">
        <v>33</v>
      </c>
      <c r="C34" s="243">
        <v>0</v>
      </c>
      <c r="D34" s="243">
        <v>0</v>
      </c>
    </row>
    <row r="35" spans="1:9">
      <c r="A35" s="883" t="s">
        <v>51</v>
      </c>
      <c r="B35" s="312">
        <v>34</v>
      </c>
      <c r="C35" s="243">
        <f>'Nota 34'!B10</f>
        <v>0</v>
      </c>
      <c r="D35" s="243">
        <f>'Nota 34'!C10</f>
        <v>0</v>
      </c>
    </row>
    <row r="36" spans="1:9" s="208" customFormat="1">
      <c r="A36" s="883"/>
      <c r="B36" s="312"/>
      <c r="C36" s="243"/>
      <c r="D36" s="243">
        <v>0</v>
      </c>
      <c r="H36" s="116"/>
      <c r="I36" s="116"/>
    </row>
    <row r="37" spans="1:9">
      <c r="A37" s="129" t="s">
        <v>151</v>
      </c>
      <c r="B37" s="315"/>
      <c r="C37" s="242">
        <f>C33+C34+C35</f>
        <v>111952781789</v>
      </c>
      <c r="D37" s="242">
        <f>D33+D34+D35</f>
        <v>102604200814</v>
      </c>
    </row>
    <row r="38" spans="1:9">
      <c r="A38" s="129" t="s">
        <v>52</v>
      </c>
      <c r="B38" s="312">
        <v>35</v>
      </c>
      <c r="C38" s="687">
        <f>C37/'Nota 35'!B9</f>
        <v>14404.207106250615</v>
      </c>
      <c r="D38" s="687">
        <f>D37/'Nota 35'!C9</f>
        <v>16160.747940140269</v>
      </c>
    </row>
    <row r="39" spans="1:9">
      <c r="A39" s="884"/>
      <c r="C39" s="243"/>
      <c r="D39" s="244"/>
    </row>
    <row r="40" spans="1:9">
      <c r="A40" s="261"/>
      <c r="B40" s="90"/>
      <c r="C40" s="245"/>
      <c r="D40" s="245"/>
    </row>
    <row r="41" spans="1:9">
      <c r="A41" s="271" t="s">
        <v>257</v>
      </c>
    </row>
    <row r="42" spans="1:9">
      <c r="A42" s="884"/>
    </row>
    <row r="43" spans="1:9">
      <c r="A43" s="884"/>
    </row>
    <row r="47" spans="1:9">
      <c r="A47" s="192"/>
      <c r="B47" s="92"/>
      <c r="C47" s="1227"/>
      <c r="D47" s="1227"/>
    </row>
    <row r="48" spans="1:9">
      <c r="A48" s="97"/>
      <c r="B48" s="193"/>
      <c r="D48" s="194"/>
    </row>
    <row r="53" spans="1:4">
      <c r="A53" s="195"/>
      <c r="C53" s="1227"/>
      <c r="D53" s="1227"/>
    </row>
  </sheetData>
  <mergeCells count="5">
    <mergeCell ref="A3:G3"/>
    <mergeCell ref="A4:G4"/>
    <mergeCell ref="C53:D53"/>
    <mergeCell ref="C47:D47"/>
    <mergeCell ref="A5:G5"/>
  </mergeCells>
  <phoneticPr fontId="96" type="noConversion"/>
  <hyperlinks>
    <hyperlink ref="B8" location="'Nota 25'!A1" display="'Nota 25'!A1" xr:uid="{00000000-0004-0000-0400-000000000000}"/>
    <hyperlink ref="B10" location="'Nota 26'!A1" display="'Nota 26'!A1" xr:uid="{00000000-0004-0000-0400-000001000000}"/>
    <hyperlink ref="B13" location="'Nota 27'!A1" display="'Nota 27'!A1" xr:uid="{00000000-0004-0000-0400-000002000000}"/>
    <hyperlink ref="B14" location="'Nota 27'!A1" display="'Nota 27'!A1" xr:uid="{00000000-0004-0000-0400-000003000000}"/>
    <hyperlink ref="B15" location="'Nota 28'!A1" display="'Nota 28'!A1" xr:uid="{00000000-0004-0000-0400-000004000000}"/>
    <hyperlink ref="B20" location="'Nota 29'!A1" display="'Nota 29'!A1" xr:uid="{00000000-0004-0000-0400-000005000000}"/>
    <hyperlink ref="B19" location="'Nota 29'!A1" display="'Nota 29'!A1" xr:uid="{00000000-0004-0000-0400-000006000000}"/>
    <hyperlink ref="B31" location="'Nota 32'!A1" display="'Nota 32'!A1" xr:uid="{00000000-0004-0000-0400-000007000000}"/>
    <hyperlink ref="B34" location="'Nota 33'!A1" display="'Nota 33'!A1" xr:uid="{00000000-0004-0000-0400-000008000000}"/>
    <hyperlink ref="B35" location="'Nota 34'!A1" display="'Nota 34'!A1" xr:uid="{00000000-0004-0000-0400-000009000000}"/>
    <hyperlink ref="B38" location="'Nota 35'!A1" display="'Nota 35'!A1" xr:uid="{00000000-0004-0000-0400-00000A000000}"/>
    <hyperlink ref="B1" location="Indice!A1" display="Indice" xr:uid="{00000000-0004-0000-0400-00000B000000}"/>
    <hyperlink ref="B9" location="'Nota 25'!A1" display="'Nota 25'!A1" xr:uid="{00000000-0004-0000-0400-00000C000000}"/>
    <hyperlink ref="B16" location="'Nota 28'!A1" display="'Nota 28'!A1" xr:uid="{00000000-0004-0000-0400-00000D000000}"/>
    <hyperlink ref="B24" location="'Nota 28'!A1" display="'Nota 28'!A1" xr:uid="{00000000-0004-0000-0400-00000E000000}"/>
    <hyperlink ref="B25" location="'Nota 29'!A1" display="'Nota 29'!A1" xr:uid="{00000000-0004-0000-0400-00000F000000}"/>
    <hyperlink ref="B26" location="'Nota 29'!A1" display="'Nota 29'!A1" xr:uid="{00000000-0004-0000-0400-000010000000}"/>
    <hyperlink ref="B23" location="'Nota 30'!A1" display="'Nota 30'!A1" xr:uid="{00000000-0004-0000-0400-000011000000}"/>
  </hyperlinks>
  <printOptions horizontalCentered="1"/>
  <pageMargins left="0.31496062992125984"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I45"/>
  <sheetViews>
    <sheetView showGridLines="0" topLeftCell="A20" zoomScale="110" zoomScaleNormal="110" workbookViewId="0">
      <selection activeCell="A26" sqref="A26"/>
    </sheetView>
  </sheetViews>
  <sheetFormatPr baseColWidth="10" defaultColWidth="10.85546875" defaultRowHeight="12"/>
  <cols>
    <col min="1" max="1" width="54.5703125" style="235" customWidth="1"/>
    <col min="2" max="2" width="15.42578125" style="272" customWidth="1"/>
    <col min="3" max="3" width="15.5703125" style="272" customWidth="1"/>
    <col min="4" max="4" width="0.140625" style="235" customWidth="1"/>
    <col min="5" max="5" width="18.5703125" style="235" customWidth="1"/>
    <col min="6" max="6" width="2.28515625" style="235" customWidth="1"/>
    <col min="7" max="7" width="4.42578125" style="235" customWidth="1"/>
    <col min="8" max="8" width="21.42578125" style="235" customWidth="1"/>
    <col min="9" max="9" width="16.42578125" style="272" bestFit="1" customWidth="1"/>
    <col min="10" max="16384" width="10.85546875" style="235"/>
  </cols>
  <sheetData>
    <row r="1" spans="1:9" ht="15" customHeight="1">
      <c r="A1" s="277" t="str">
        <f>Indice!C1</f>
        <v>NICOLAS GONZALEZ ODDONE S.A.E.C.A</v>
      </c>
      <c r="B1" s="331"/>
      <c r="C1" s="331"/>
    </row>
    <row r="2" spans="1:9" ht="12.75">
      <c r="A2" s="328"/>
      <c r="B2" s="330"/>
      <c r="C2" s="330"/>
      <c r="I2" s="235"/>
    </row>
    <row r="3" spans="1:9" ht="12.75" hidden="1">
      <c r="A3" s="1229"/>
      <c r="B3" s="1229"/>
      <c r="C3" s="1229"/>
      <c r="I3" s="235"/>
    </row>
    <row r="4" spans="1:9" ht="12.75">
      <c r="A4" s="328"/>
      <c r="B4" s="330"/>
      <c r="C4" s="330"/>
      <c r="I4" s="235"/>
    </row>
    <row r="5" spans="1:9" ht="12.75">
      <c r="A5" s="1230" t="s">
        <v>572</v>
      </c>
      <c r="B5" s="1230"/>
      <c r="C5" s="1230"/>
      <c r="I5" s="235"/>
    </row>
    <row r="6" spans="1:9" ht="15">
      <c r="A6" s="1231" t="s">
        <v>1049</v>
      </c>
      <c r="B6" s="1231"/>
      <c r="C6" s="1231"/>
      <c r="I6" s="235"/>
    </row>
    <row r="7" spans="1:9">
      <c r="A7" s="1232" t="s">
        <v>167</v>
      </c>
      <c r="B7" s="1232"/>
      <c r="C7" s="1232"/>
      <c r="I7" s="235"/>
    </row>
    <row r="8" spans="1:9" ht="12.75">
      <c r="A8" s="1233"/>
      <c r="B8" s="1233"/>
      <c r="C8" s="1233"/>
      <c r="I8" s="235"/>
    </row>
    <row r="9" spans="1:9" ht="12.75">
      <c r="A9" s="329"/>
      <c r="B9" s="329"/>
      <c r="C9" s="329"/>
      <c r="I9" s="235"/>
    </row>
    <row r="10" spans="1:9">
      <c r="A10" s="509"/>
      <c r="B10" s="510">
        <v>44561</v>
      </c>
      <c r="C10" s="510">
        <v>44196</v>
      </c>
      <c r="I10" s="235"/>
    </row>
    <row r="11" spans="1:9">
      <c r="A11" s="1211" t="s">
        <v>133</v>
      </c>
      <c r="B11" s="1211"/>
      <c r="C11" s="1211"/>
      <c r="I11" s="235"/>
    </row>
    <row r="12" spans="1:9">
      <c r="A12" s="508"/>
      <c r="B12" s="508"/>
      <c r="C12" s="508"/>
      <c r="I12" s="235"/>
    </row>
    <row r="13" spans="1:9">
      <c r="A13" s="395" t="s">
        <v>154</v>
      </c>
    </row>
    <row r="14" spans="1:9">
      <c r="A14" s="522" t="s">
        <v>266</v>
      </c>
      <c r="B14" s="663">
        <v>772309796020</v>
      </c>
      <c r="C14" s="663">
        <v>644418286695</v>
      </c>
    </row>
    <row r="15" spans="1:9">
      <c r="A15" s="522" t="s">
        <v>35</v>
      </c>
      <c r="B15" s="663">
        <v>-757565042199</v>
      </c>
      <c r="C15" s="663">
        <v>-452764590414</v>
      </c>
      <c r="F15" s="273"/>
      <c r="H15" s="274"/>
    </row>
    <row r="16" spans="1:9" s="522" customFormat="1" ht="12" customHeight="1">
      <c r="A16" s="522" t="s">
        <v>722</v>
      </c>
      <c r="B16" s="663">
        <v>-58534402453</v>
      </c>
      <c r="C16" s="663">
        <v>-46551745118</v>
      </c>
      <c r="F16" s="273"/>
      <c r="H16" s="274"/>
      <c r="I16" s="272"/>
    </row>
    <row r="17" spans="1:9" s="522" customFormat="1" ht="12" hidden="1" customHeight="1">
      <c r="A17" s="522" t="s">
        <v>696</v>
      </c>
      <c r="B17" s="663">
        <v>0</v>
      </c>
      <c r="C17" s="663">
        <v>0</v>
      </c>
      <c r="F17" s="273"/>
      <c r="H17" s="274"/>
      <c r="I17" s="272"/>
    </row>
    <row r="18" spans="1:9">
      <c r="A18" s="522" t="s">
        <v>267</v>
      </c>
      <c r="B18" s="663">
        <v>-15300615881</v>
      </c>
      <c r="C18" s="663">
        <v>-13119208781</v>
      </c>
      <c r="F18" s="273"/>
    </row>
    <row r="19" spans="1:9">
      <c r="A19" s="522" t="s">
        <v>153</v>
      </c>
      <c r="B19" s="663">
        <v>-15621942151</v>
      </c>
      <c r="C19" s="663">
        <v>-6893619986</v>
      </c>
      <c r="F19" s="273"/>
    </row>
    <row r="20" spans="1:9">
      <c r="A20" s="277" t="s">
        <v>36</v>
      </c>
      <c r="B20" s="656">
        <f>SUM(B14:B19)</f>
        <v>-74712206664</v>
      </c>
      <c r="C20" s="656">
        <f>SUM(C14:C19)</f>
        <v>125089122396</v>
      </c>
    </row>
    <row r="21" spans="1:9">
      <c r="A21" s="522"/>
      <c r="B21" s="665"/>
      <c r="C21" s="655"/>
    </row>
    <row r="22" spans="1:9">
      <c r="A22" s="395" t="s">
        <v>155</v>
      </c>
      <c r="B22" s="665"/>
      <c r="C22" s="655"/>
    </row>
    <row r="23" spans="1:9" s="506" customFormat="1" ht="15.75" customHeight="1">
      <c r="A23" s="76" t="s">
        <v>685</v>
      </c>
      <c r="B23" s="663">
        <v>-9060708043</v>
      </c>
      <c r="C23" s="663">
        <v>-41267386833</v>
      </c>
      <c r="E23" s="864"/>
      <c r="I23" s="272"/>
    </row>
    <row r="24" spans="1:9" s="522" customFormat="1">
      <c r="A24" s="76" t="s">
        <v>723</v>
      </c>
      <c r="B24" s="663">
        <v>1217322720</v>
      </c>
      <c r="C24" s="663">
        <v>1247864543</v>
      </c>
      <c r="E24" s="864"/>
      <c r="I24" s="272"/>
    </row>
    <row r="25" spans="1:9">
      <c r="A25" s="522" t="s">
        <v>693</v>
      </c>
      <c r="B25" s="663">
        <v>4092711200</v>
      </c>
      <c r="C25" s="663">
        <v>2394626893</v>
      </c>
      <c r="E25" s="864"/>
      <c r="F25" s="273"/>
    </row>
    <row r="26" spans="1:9" s="507" customFormat="1">
      <c r="A26" s="507" t="s">
        <v>571</v>
      </c>
      <c r="B26" s="835">
        <v>-2311000000</v>
      </c>
      <c r="C26" s="1146">
        <v>-10000000000</v>
      </c>
    </row>
    <row r="27" spans="1:9" s="506" customFormat="1">
      <c r="A27" s="522" t="s">
        <v>1084</v>
      </c>
      <c r="B27" s="663">
        <v>127512315135</v>
      </c>
      <c r="C27" s="663">
        <v>-128101499644</v>
      </c>
      <c r="E27" s="864"/>
      <c r="F27" s="273"/>
      <c r="I27" s="272"/>
    </row>
    <row r="28" spans="1:9" hidden="1">
      <c r="A28" s="507" t="s">
        <v>571</v>
      </c>
      <c r="B28" s="663">
        <v>0</v>
      </c>
      <c r="C28" s="664">
        <v>0</v>
      </c>
    </row>
    <row r="29" spans="1:9" s="506" customFormat="1" ht="13.5">
      <c r="A29" s="507"/>
      <c r="B29" s="666"/>
      <c r="C29" s="667"/>
      <c r="I29" s="272"/>
    </row>
    <row r="30" spans="1:9">
      <c r="A30" s="277" t="s">
        <v>37</v>
      </c>
      <c r="B30" s="656">
        <f>SUM(B23:B29)</f>
        <v>121450641012</v>
      </c>
      <c r="C30" s="656">
        <f>SUM(C23:C29)</f>
        <v>-175726395041</v>
      </c>
    </row>
    <row r="31" spans="1:9">
      <c r="A31" s="522"/>
      <c r="B31" s="665"/>
      <c r="C31" s="655"/>
    </row>
    <row r="32" spans="1:9" s="260" customFormat="1">
      <c r="A32" s="657"/>
      <c r="B32" s="668"/>
      <c r="C32" s="669"/>
      <c r="D32" s="160"/>
      <c r="I32" s="87"/>
    </row>
    <row r="33" spans="1:9" s="506" customFormat="1">
      <c r="A33" s="120" t="s">
        <v>156</v>
      </c>
      <c r="B33" s="670"/>
      <c r="C33" s="671"/>
      <c r="D33" s="170"/>
      <c r="I33" s="272"/>
    </row>
    <row r="34" spans="1:9">
      <c r="A34" s="105" t="s">
        <v>694</v>
      </c>
      <c r="B34" s="659">
        <v>-14066732303</v>
      </c>
      <c r="C34" s="659">
        <v>38814555480</v>
      </c>
      <c r="D34" s="170"/>
    </row>
    <row r="35" spans="1:9" hidden="1">
      <c r="A35" s="105" t="s">
        <v>724</v>
      </c>
      <c r="B35" s="659">
        <v>0</v>
      </c>
      <c r="C35" s="659">
        <v>0</v>
      </c>
      <c r="D35" s="170"/>
    </row>
    <row r="36" spans="1:9">
      <c r="A36" s="105" t="s">
        <v>725</v>
      </c>
      <c r="B36" s="659">
        <v>-29242197232</v>
      </c>
      <c r="C36" s="659">
        <v>-25093455998</v>
      </c>
    </row>
    <row r="37" spans="1:9">
      <c r="A37" s="105" t="s">
        <v>695</v>
      </c>
      <c r="B37" s="659">
        <v>-3130767972</v>
      </c>
      <c r="C37" s="659">
        <v>-2150312619</v>
      </c>
    </row>
    <row r="38" spans="1:9">
      <c r="A38" s="660" t="s">
        <v>268</v>
      </c>
      <c r="B38" s="661">
        <f>SUM(B34:B37)</f>
        <v>-46439697507</v>
      </c>
      <c r="C38" s="755">
        <f>SUM(C34:C37)</f>
        <v>11570786863</v>
      </c>
    </row>
    <row r="39" spans="1:9">
      <c r="A39" s="522"/>
      <c r="B39" s="665"/>
      <c r="C39" s="672"/>
      <c r="E39" s="274"/>
    </row>
    <row r="40" spans="1:9">
      <c r="A40" s="522" t="s">
        <v>924</v>
      </c>
      <c r="B40" s="658">
        <f>+B38+B30+B20</f>
        <v>298736841</v>
      </c>
      <c r="C40" s="754">
        <f>+C20+C30+C38</f>
        <v>-39066485782</v>
      </c>
    </row>
    <row r="41" spans="1:9">
      <c r="A41" s="522" t="s">
        <v>726</v>
      </c>
      <c r="B41" s="658">
        <v>-1088983227</v>
      </c>
      <c r="C41" s="658">
        <v>6221747471</v>
      </c>
    </row>
    <row r="42" spans="1:9">
      <c r="A42" s="522" t="s">
        <v>727</v>
      </c>
      <c r="B42" s="658">
        <v>64916787922</v>
      </c>
      <c r="C42" s="658">
        <v>97761526232</v>
      </c>
    </row>
    <row r="43" spans="1:9">
      <c r="A43" s="662" t="s">
        <v>38</v>
      </c>
      <c r="B43" s="756">
        <f>SUM(B40:B42)</f>
        <v>64126541536</v>
      </c>
      <c r="C43" s="673">
        <f>SUM(C40:C42)</f>
        <v>64916787921</v>
      </c>
    </row>
    <row r="44" spans="1:9">
      <c r="A44" s="522"/>
    </row>
    <row r="45" spans="1:9">
      <c r="A45" s="966" t="s">
        <v>257</v>
      </c>
    </row>
  </sheetData>
  <mergeCells count="6">
    <mergeCell ref="A11:C11"/>
    <mergeCell ref="A3:C3"/>
    <mergeCell ref="A5:C5"/>
    <mergeCell ref="A6:C6"/>
    <mergeCell ref="A7:C7"/>
    <mergeCell ref="A8:C8"/>
  </mergeCells>
  <pageMargins left="0.70866141732283472" right="0.70866141732283472" top="0.74803149606299213" bottom="0.74803149606299213"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P95"/>
  <sheetViews>
    <sheetView showGridLines="0" topLeftCell="B52" zoomScaleNormal="100" workbookViewId="0">
      <selection activeCell="B72" sqref="B72"/>
    </sheetView>
  </sheetViews>
  <sheetFormatPr baseColWidth="10" defaultColWidth="11.42578125" defaultRowHeight="12"/>
  <cols>
    <col min="1" max="1" width="2.42578125" style="482" hidden="1" customWidth="1"/>
    <col min="2" max="2" width="131.42578125" style="482" customWidth="1"/>
    <col min="3" max="3" width="0.28515625" style="482" customWidth="1"/>
    <col min="4" max="4" width="3.140625" style="482" hidden="1" customWidth="1"/>
    <col min="5" max="5" width="1.140625" style="482" hidden="1" customWidth="1"/>
    <col min="6" max="7" width="11.42578125" style="482" hidden="1" customWidth="1"/>
    <col min="8" max="16384" width="11.42578125" style="482"/>
  </cols>
  <sheetData>
    <row r="1" spans="1:16" ht="16.5" customHeight="1">
      <c r="B1" s="486" t="s">
        <v>1074</v>
      </c>
      <c r="C1" s="487"/>
      <c r="D1" s="487"/>
      <c r="E1" s="487"/>
      <c r="F1" s="487"/>
      <c r="G1" s="487"/>
      <c r="H1" s="22"/>
      <c r="I1" s="22"/>
      <c r="J1" s="22"/>
      <c r="K1" s="1234"/>
      <c r="L1" s="1234"/>
      <c r="M1" s="1234"/>
      <c r="N1" s="357"/>
      <c r="O1" s="357"/>
      <c r="P1" s="357"/>
    </row>
    <row r="2" spans="1:16" ht="24">
      <c r="A2" s="401"/>
      <c r="B2" s="488" t="s">
        <v>1065</v>
      </c>
      <c r="C2" s="489"/>
      <c r="D2" s="489"/>
      <c r="E2" s="489"/>
      <c r="F2" s="489"/>
      <c r="G2" s="489"/>
      <c r="H2" s="22"/>
      <c r="I2" s="22"/>
      <c r="J2" s="22"/>
      <c r="K2" s="339"/>
      <c r="L2" s="339"/>
      <c r="M2" s="339"/>
      <c r="N2" s="357"/>
      <c r="O2" s="357"/>
      <c r="P2" s="357"/>
    </row>
    <row r="3" spans="1:16" ht="24">
      <c r="A3" s="401"/>
      <c r="B3" s="488" t="s">
        <v>1050</v>
      </c>
      <c r="C3" s="489"/>
      <c r="D3" s="489"/>
      <c r="E3" s="489"/>
      <c r="F3" s="489"/>
      <c r="G3" s="489"/>
      <c r="H3" s="22"/>
      <c r="I3" s="22"/>
      <c r="J3" s="22"/>
      <c r="K3" s="339"/>
      <c r="L3" s="339"/>
      <c r="M3" s="339"/>
      <c r="N3" s="357"/>
      <c r="O3" s="357"/>
      <c r="P3" s="357"/>
    </row>
    <row r="4" spans="1:16" ht="12.75">
      <c r="A4" s="401"/>
      <c r="B4" s="490"/>
      <c r="C4" s="489"/>
      <c r="D4" s="489"/>
      <c r="E4" s="489"/>
      <c r="F4" s="489"/>
      <c r="G4" s="489"/>
      <c r="H4" s="22"/>
      <c r="I4" s="22"/>
      <c r="J4" s="22"/>
      <c r="K4" s="339"/>
      <c r="L4" s="339"/>
      <c r="M4" s="339"/>
      <c r="N4" s="357"/>
      <c r="O4" s="357"/>
      <c r="P4" s="357"/>
    </row>
    <row r="5" spans="1:16" ht="12.75">
      <c r="B5" s="407"/>
      <c r="C5" s="22"/>
      <c r="D5" s="22"/>
      <c r="E5" s="22"/>
      <c r="F5" s="22"/>
      <c r="G5" s="22"/>
      <c r="H5" s="22"/>
      <c r="I5" s="22"/>
      <c r="J5" s="22"/>
      <c r="K5" s="339"/>
      <c r="L5" s="339"/>
      <c r="M5" s="339"/>
      <c r="N5" s="357"/>
      <c r="O5" s="357"/>
      <c r="P5" s="357"/>
    </row>
    <row r="6" spans="1:16" ht="14.25" customHeight="1">
      <c r="B6" s="491" t="s">
        <v>585</v>
      </c>
      <c r="C6" s="22"/>
      <c r="D6" s="22"/>
      <c r="E6" s="22"/>
      <c r="F6" s="22"/>
      <c r="G6" s="22"/>
      <c r="H6" s="22"/>
      <c r="I6" s="22"/>
      <c r="J6" s="22"/>
      <c r="K6" s="339"/>
      <c r="L6" s="339"/>
      <c r="M6" s="339"/>
      <c r="N6" s="357"/>
      <c r="O6" s="357"/>
      <c r="P6" s="357"/>
    </row>
    <row r="7" spans="1:16" s="357" customFormat="1" ht="12.75">
      <c r="B7" s="265"/>
      <c r="C7" s="22"/>
      <c r="D7" s="22"/>
      <c r="E7" s="22"/>
      <c r="F7" s="22"/>
      <c r="G7" s="22"/>
      <c r="H7" s="22"/>
      <c r="I7" s="22"/>
      <c r="J7" s="22"/>
      <c r="K7" s="339"/>
      <c r="L7" s="339"/>
      <c r="M7" s="339"/>
    </row>
    <row r="8" spans="1:16">
      <c r="B8" s="492" t="s">
        <v>670</v>
      </c>
    </row>
    <row r="9" spans="1:16">
      <c r="B9" s="492"/>
    </row>
    <row r="10" spans="1:16" ht="48">
      <c r="B10" s="1014" t="s">
        <v>943</v>
      </c>
    </row>
    <row r="11" spans="1:16">
      <c r="B11" s="484" t="s">
        <v>671</v>
      </c>
    </row>
    <row r="12" spans="1:16" ht="24">
      <c r="B12" s="1013" t="s">
        <v>953</v>
      </c>
    </row>
    <row r="13" spans="1:16" ht="24">
      <c r="B13" s="1013" t="s">
        <v>954</v>
      </c>
    </row>
    <row r="14" spans="1:16" ht="36">
      <c r="B14" s="1013" t="s">
        <v>955</v>
      </c>
    </row>
    <row r="15" spans="1:16" ht="36">
      <c r="B15" s="1013" t="s">
        <v>956</v>
      </c>
    </row>
    <row r="16" spans="1:16" ht="24">
      <c r="B16" s="1013" t="s">
        <v>957</v>
      </c>
    </row>
    <row r="17" spans="2:2" ht="84">
      <c r="B17" s="1055" t="s">
        <v>958</v>
      </c>
    </row>
    <row r="18" spans="2:2" ht="48">
      <c r="B18" s="1055" t="s">
        <v>959</v>
      </c>
    </row>
    <row r="19" spans="2:2" ht="36" customHeight="1">
      <c r="B19" s="1055" t="s">
        <v>960</v>
      </c>
    </row>
    <row r="20" spans="2:2" ht="60">
      <c r="B20" s="1055" t="s">
        <v>961</v>
      </c>
    </row>
    <row r="21" spans="2:2" ht="48">
      <c r="B21" s="1055" t="s">
        <v>962</v>
      </c>
    </row>
    <row r="22" spans="2:2" ht="60">
      <c r="B22" s="1055" t="s">
        <v>963</v>
      </c>
    </row>
    <row r="23" spans="2:2" ht="60">
      <c r="B23" s="1055" t="s">
        <v>968</v>
      </c>
    </row>
    <row r="24" spans="2:2" ht="60">
      <c r="B24" s="1055" t="s">
        <v>969</v>
      </c>
    </row>
    <row r="25" spans="2:2" ht="48">
      <c r="B25" s="1055" t="s">
        <v>964</v>
      </c>
    </row>
    <row r="26" spans="2:2" ht="48">
      <c r="B26" s="1055" t="s">
        <v>965</v>
      </c>
    </row>
    <row r="27" spans="2:2" ht="48">
      <c r="B27" s="1055" t="s">
        <v>966</v>
      </c>
    </row>
    <row r="28" spans="2:2" ht="36">
      <c r="B28" s="1055" t="s">
        <v>967</v>
      </c>
    </row>
    <row r="29" spans="2:2" ht="14.25" customHeight="1">
      <c r="B29" s="119"/>
    </row>
    <row r="30" spans="2:2" ht="14.25" customHeight="1">
      <c r="B30" s="248" t="s">
        <v>672</v>
      </c>
    </row>
    <row r="31" spans="2:2">
      <c r="B31" s="248"/>
    </row>
    <row r="32" spans="2:2" ht="19.5" customHeight="1">
      <c r="B32" s="119" t="s">
        <v>559</v>
      </c>
    </row>
    <row r="33" spans="2:2">
      <c r="B33" s="119"/>
    </row>
    <row r="34" spans="2:2">
      <c r="B34" s="119" t="s">
        <v>560</v>
      </c>
    </row>
    <row r="35" spans="2:2">
      <c r="B35" s="119"/>
    </row>
    <row r="36" spans="2:2">
      <c r="B36" s="119" t="s">
        <v>561</v>
      </c>
    </row>
    <row r="37" spans="2:2">
      <c r="B37" s="119"/>
    </row>
    <row r="38" spans="2:2">
      <c r="B38" s="119" t="s">
        <v>562</v>
      </c>
    </row>
    <row r="39" spans="2:2">
      <c r="B39" s="119"/>
    </row>
    <row r="40" spans="2:2">
      <c r="B40" s="119" t="s">
        <v>563</v>
      </c>
    </row>
    <row r="41" spans="2:2">
      <c r="B41" s="119"/>
    </row>
    <row r="42" spans="2:2">
      <c r="B42" s="119" t="s">
        <v>564</v>
      </c>
    </row>
    <row r="43" spans="2:2">
      <c r="B43" s="119"/>
    </row>
    <row r="44" spans="2:2" ht="24">
      <c r="B44" s="119" t="s">
        <v>557</v>
      </c>
    </row>
    <row r="45" spans="2:2">
      <c r="B45" s="119"/>
    </row>
    <row r="47" spans="2:2" s="1070" customFormat="1">
      <c r="B47" s="1077" t="s">
        <v>1075</v>
      </c>
    </row>
    <row r="48" spans="2:2">
      <c r="B48" s="254" t="s">
        <v>673</v>
      </c>
    </row>
    <row r="49" spans="2:2" ht="14.25" customHeight="1">
      <c r="B49" s="119"/>
    </row>
    <row r="50" spans="2:2" ht="24">
      <c r="B50" s="119" t="s">
        <v>558</v>
      </c>
    </row>
    <row r="51" spans="2:2">
      <c r="B51" s="119"/>
    </row>
    <row r="52" spans="2:2" ht="14.25">
      <c r="B52" s="1189" t="s">
        <v>640</v>
      </c>
    </row>
    <row r="53" spans="2:2" ht="14.25">
      <c r="B53" s="1190"/>
    </row>
    <row r="54" spans="2:2" ht="15" thickBot="1">
      <c r="B54" s="1190" t="s">
        <v>641</v>
      </c>
    </row>
    <row r="55" spans="2:2" ht="12.75">
      <c r="B55" s="1191" t="s">
        <v>642</v>
      </c>
    </row>
    <row r="56" spans="2:2" ht="15" thickBot="1">
      <c r="B56" s="1192" t="s">
        <v>643</v>
      </c>
    </row>
    <row r="57" spans="2:2">
      <c r="B57" s="1193" t="s">
        <v>644</v>
      </c>
    </row>
    <row r="58" spans="2:2">
      <c r="B58" s="1194" t="s">
        <v>1079</v>
      </c>
    </row>
    <row r="59" spans="2:2">
      <c r="B59" s="1194" t="s">
        <v>1080</v>
      </c>
    </row>
    <row r="60" spans="2:2">
      <c r="B60" s="1195" t="s">
        <v>1076</v>
      </c>
    </row>
    <row r="61" spans="2:2">
      <c r="B61" s="1194" t="s">
        <v>1078</v>
      </c>
    </row>
    <row r="62" spans="2:2">
      <c r="B62" s="1196" t="s">
        <v>645</v>
      </c>
    </row>
    <row r="63" spans="2:2">
      <c r="B63" s="1197" t="s">
        <v>646</v>
      </c>
    </row>
    <row r="64" spans="2:2">
      <c r="B64" s="1198" t="s">
        <v>1077</v>
      </c>
    </row>
    <row r="65" spans="2:2">
      <c r="B65" s="1198" t="s">
        <v>647</v>
      </c>
    </row>
    <row r="66" spans="2:2">
      <c r="B66" s="1198"/>
    </row>
    <row r="67" spans="2:2" ht="13.5" thickBot="1">
      <c r="B67" s="1199"/>
    </row>
    <row r="68" spans="2:2">
      <c r="B68" s="119"/>
    </row>
    <row r="69" spans="2:2">
      <c r="B69" s="119"/>
    </row>
    <row r="70" spans="2:2">
      <c r="B70" s="248"/>
    </row>
    <row r="71" spans="2:2">
      <c r="B71" s="248"/>
    </row>
    <row r="72" spans="2:2">
      <c r="B72" s="119"/>
    </row>
    <row r="73" spans="2:2">
      <c r="B73" s="119"/>
    </row>
    <row r="75" spans="2:2">
      <c r="B75" s="119"/>
    </row>
    <row r="76" spans="2:2">
      <c r="B76" s="119"/>
    </row>
    <row r="77" spans="2:2">
      <c r="B77" s="119"/>
    </row>
    <row r="78" spans="2:2">
      <c r="B78" s="119"/>
    </row>
    <row r="79" spans="2:2">
      <c r="B79" s="248"/>
    </row>
    <row r="80" spans="2:2">
      <c r="B80" s="119"/>
    </row>
    <row r="81" spans="2:2">
      <c r="B81" s="119"/>
    </row>
    <row r="82" spans="2:2">
      <c r="B82" s="119"/>
    </row>
    <row r="83" spans="2:2">
      <c r="B83" s="248"/>
    </row>
    <row r="84" spans="2:2">
      <c r="B84" s="119"/>
    </row>
    <row r="85" spans="2:2">
      <c r="B85" s="119"/>
    </row>
    <row r="86" spans="2:2">
      <c r="B86" s="119"/>
    </row>
    <row r="87" spans="2:2">
      <c r="B87" s="119"/>
    </row>
    <row r="88" spans="2:2">
      <c r="B88" s="119"/>
    </row>
    <row r="89" spans="2:2">
      <c r="B89" s="248"/>
    </row>
    <row r="90" spans="2:2">
      <c r="B90" s="248"/>
    </row>
    <row r="91" spans="2:2">
      <c r="B91" s="119"/>
    </row>
    <row r="92" spans="2:2">
      <c r="B92" s="248"/>
    </row>
    <row r="93" spans="2:2">
      <c r="B93" s="248"/>
    </row>
    <row r="94" spans="2:2">
      <c r="B94" s="119"/>
    </row>
    <row r="95" spans="2:2">
      <c r="B95" s="119"/>
    </row>
  </sheetData>
  <mergeCells count="1">
    <mergeCell ref="K1:M1"/>
  </mergeCells>
  <pageMargins left="0.70866141732283472" right="0.70866141732283472" top="0.74803149606299213" bottom="0.74803149606299213" header="0.31496062992125984" footer="0.31496062992125984"/>
  <pageSetup paperSize="5" scale="61"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N100"/>
  <sheetViews>
    <sheetView showGridLines="0" topLeftCell="A10" zoomScaleNormal="100" workbookViewId="0">
      <selection activeCell="D28" sqref="D28"/>
    </sheetView>
  </sheetViews>
  <sheetFormatPr baseColWidth="10" defaultColWidth="11.42578125" defaultRowHeight="12.75"/>
  <cols>
    <col min="1" max="1" width="12.85546875" style="356" customWidth="1"/>
    <col min="2" max="2" width="20" style="356" customWidth="1"/>
    <col min="3" max="3" width="15.42578125" style="356" customWidth="1"/>
    <col min="4" max="4" width="22.85546875" style="356" customWidth="1"/>
    <col min="5" max="5" width="9.42578125" style="356" customWidth="1"/>
    <col min="6" max="6" width="20.7109375" style="356" customWidth="1"/>
    <col min="7" max="7" width="12.42578125" style="356" customWidth="1"/>
    <col min="8" max="8" width="23.28515625" style="356" customWidth="1"/>
    <col min="9" max="9" width="0.28515625" style="356" customWidth="1"/>
    <col min="10" max="10" width="1.42578125" style="356" customWidth="1"/>
    <col min="11" max="11" width="11.42578125" style="356" hidden="1" customWidth="1"/>
    <col min="12" max="12" width="14.28515625" style="75" bestFit="1" customWidth="1"/>
    <col min="13" max="13" width="14.28515625" style="356" bestFit="1" customWidth="1"/>
    <col min="14" max="16384" width="11.42578125" style="356"/>
  </cols>
  <sheetData>
    <row r="1" spans="1:14" ht="16.5" customHeight="1">
      <c r="A1" s="277" t="str">
        <f>Indice!C1</f>
        <v>NICOLAS GONZALEZ ODDONE S.A.E.C.A</v>
      </c>
      <c r="B1" s="278"/>
      <c r="D1" s="316" t="s">
        <v>234</v>
      </c>
      <c r="I1" s="18"/>
    </row>
    <row r="2" spans="1:14" ht="15" customHeight="1"/>
    <row r="3" spans="1:14" ht="15" customHeight="1">
      <c r="A3" s="1207" t="s">
        <v>0</v>
      </c>
      <c r="B3" s="1207"/>
      <c r="C3" s="1207"/>
      <c r="D3" s="1207"/>
      <c r="E3" s="1207"/>
      <c r="F3" s="1207"/>
      <c r="G3" s="1207"/>
      <c r="H3" s="1207"/>
      <c r="I3" s="1207"/>
    </row>
    <row r="4" spans="1:14" ht="15" customHeight="1"/>
    <row r="5" spans="1:14" ht="15" customHeight="1">
      <c r="A5" s="1241" t="s">
        <v>674</v>
      </c>
      <c r="B5" s="1241"/>
      <c r="C5" s="1241"/>
      <c r="D5" s="1241"/>
      <c r="E5" s="1241"/>
      <c r="F5" s="1241"/>
      <c r="G5" s="1241"/>
      <c r="H5" s="1241"/>
      <c r="I5" s="1241"/>
      <c r="J5" s="120"/>
      <c r="K5" s="120"/>
      <c r="L5" s="116"/>
      <c r="M5" s="482"/>
      <c r="N5" s="482"/>
    </row>
    <row r="6" spans="1:14" s="482" customFormat="1" ht="60.75" customHeight="1">
      <c r="A6" s="1235" t="s">
        <v>577</v>
      </c>
      <c r="B6" s="1235"/>
      <c r="C6" s="1235"/>
      <c r="D6" s="1235"/>
      <c r="E6" s="1235"/>
      <c r="F6" s="1235"/>
      <c r="G6" s="1235"/>
      <c r="H6" s="1235"/>
      <c r="I6" s="1235"/>
      <c r="L6" s="116"/>
    </row>
    <row r="7" spans="1:14" s="482" customFormat="1" ht="37.5" customHeight="1">
      <c r="A7" s="1239" t="s">
        <v>1072</v>
      </c>
      <c r="B7" s="1239"/>
      <c r="C7" s="1239"/>
      <c r="D7" s="1239"/>
      <c r="E7" s="1239"/>
      <c r="F7" s="1239"/>
      <c r="G7" s="1239"/>
      <c r="H7" s="1239"/>
      <c r="I7" s="1239"/>
      <c r="L7" s="891"/>
    </row>
    <row r="8" spans="1:14" ht="15" customHeight="1">
      <c r="A8" s="1237" t="s">
        <v>65</v>
      </c>
      <c r="B8" s="1237"/>
      <c r="C8" s="1237"/>
      <c r="D8" s="1237"/>
      <c r="E8" s="1237"/>
      <c r="F8" s="1237"/>
      <c r="G8" s="1237"/>
      <c r="H8" s="1237"/>
      <c r="I8" s="1237"/>
      <c r="J8" s="120"/>
      <c r="K8" s="120"/>
      <c r="L8" s="116"/>
      <c r="M8" s="482"/>
      <c r="N8" s="482"/>
    </row>
    <row r="9" spans="1:14" ht="50.25" customHeight="1">
      <c r="A9" s="1238" t="s">
        <v>675</v>
      </c>
      <c r="B9" s="1238"/>
      <c r="C9" s="1238"/>
      <c r="D9" s="1238"/>
      <c r="E9" s="1238"/>
      <c r="F9" s="1238"/>
      <c r="G9" s="1238"/>
      <c r="H9" s="1238"/>
      <c r="I9" s="1238"/>
      <c r="J9" s="482"/>
      <c r="K9" s="482"/>
      <c r="L9" s="116"/>
      <c r="M9" s="482"/>
      <c r="N9" s="482"/>
    </row>
    <row r="10" spans="1:14" ht="15" customHeight="1">
      <c r="A10" s="1236"/>
      <c r="B10" s="1236"/>
      <c r="C10" s="1236"/>
      <c r="D10" s="1236"/>
      <c r="E10" s="1236"/>
      <c r="F10" s="1236"/>
      <c r="G10" s="1236"/>
      <c r="H10" s="1236"/>
      <c r="I10" s="1236"/>
      <c r="J10" s="482"/>
      <c r="K10" s="482"/>
      <c r="L10" s="116"/>
      <c r="M10" s="482"/>
      <c r="N10" s="482"/>
    </row>
    <row r="11" spans="1:14" ht="15" customHeight="1">
      <c r="A11" s="1237" t="s">
        <v>66</v>
      </c>
      <c r="B11" s="1237"/>
      <c r="C11" s="1237"/>
      <c r="D11" s="1237"/>
      <c r="E11" s="1237"/>
      <c r="F11" s="1237"/>
      <c r="G11" s="1237"/>
      <c r="H11" s="1237"/>
      <c r="I11" s="1237"/>
      <c r="J11" s="120"/>
      <c r="K11" s="120"/>
      <c r="L11" s="116"/>
      <c r="M11" s="482"/>
      <c r="N11" s="482"/>
    </row>
    <row r="12" spans="1:14" ht="15" customHeight="1">
      <c r="A12" s="1242" t="s">
        <v>676</v>
      </c>
      <c r="B12" s="1242"/>
      <c r="C12" s="1242"/>
      <c r="D12" s="1242"/>
      <c r="E12" s="1242"/>
      <c r="F12" s="1242"/>
      <c r="G12" s="1242"/>
      <c r="H12" s="1242"/>
      <c r="I12" s="1242"/>
      <c r="J12" s="482"/>
      <c r="K12" s="482"/>
      <c r="L12" s="116"/>
      <c r="M12" s="482"/>
      <c r="N12" s="482"/>
    </row>
    <row r="13" spans="1:14" ht="28.5" customHeight="1">
      <c r="A13" s="1242" t="s">
        <v>677</v>
      </c>
      <c r="B13" s="1242"/>
      <c r="C13" s="1242"/>
      <c r="D13" s="1242"/>
      <c r="E13" s="1242"/>
      <c r="F13" s="1242"/>
      <c r="G13" s="1242"/>
      <c r="H13" s="1242"/>
      <c r="I13" s="1242"/>
      <c r="J13" s="482"/>
      <c r="K13" s="482"/>
      <c r="L13" s="116"/>
      <c r="M13" s="482"/>
      <c r="N13" s="482"/>
    </row>
    <row r="14" spans="1:14" ht="15" customHeight="1">
      <c r="A14" s="79"/>
      <c r="B14" s="494"/>
      <c r="C14" s="803">
        <v>44561</v>
      </c>
      <c r="D14" s="494"/>
      <c r="E14" s="79"/>
      <c r="F14" s="494"/>
      <c r="G14" s="804">
        <v>44196</v>
      </c>
      <c r="H14" s="495"/>
      <c r="I14" s="79"/>
      <c r="J14" s="79"/>
      <c r="K14" s="79"/>
      <c r="L14" s="116"/>
      <c r="M14" s="482"/>
      <c r="N14" s="482"/>
    </row>
    <row r="15" spans="1:14" ht="15" customHeight="1">
      <c r="A15" s="111"/>
      <c r="B15" s="707" t="s">
        <v>67</v>
      </c>
      <c r="C15" s="696" t="s">
        <v>739</v>
      </c>
      <c r="D15" s="729" t="s">
        <v>619</v>
      </c>
      <c r="E15" s="531"/>
      <c r="F15" s="707" t="s">
        <v>67</v>
      </c>
      <c r="G15" s="696" t="s">
        <v>740</v>
      </c>
      <c r="H15" s="729" t="s">
        <v>620</v>
      </c>
      <c r="I15" s="482"/>
      <c r="J15" s="482"/>
      <c r="K15" s="482"/>
      <c r="L15" s="116"/>
      <c r="M15" s="482"/>
      <c r="N15" s="482"/>
    </row>
    <row r="16" spans="1:14" ht="15" customHeight="1">
      <c r="A16" s="238" t="s">
        <v>624</v>
      </c>
      <c r="B16" s="111" t="s">
        <v>568</v>
      </c>
      <c r="C16" s="497" t="s">
        <v>569</v>
      </c>
      <c r="D16" s="112">
        <v>0</v>
      </c>
      <c r="E16" s="111"/>
      <c r="F16" s="111" t="s">
        <v>568</v>
      </c>
      <c r="G16" s="497" t="s">
        <v>569</v>
      </c>
      <c r="H16" s="244">
        <v>141891416</v>
      </c>
      <c r="I16" s="79"/>
      <c r="J16" s="79"/>
      <c r="K16" s="499"/>
      <c r="L16" s="116"/>
      <c r="M16" s="482"/>
      <c r="N16" s="482"/>
    </row>
    <row r="17" spans="1:14" ht="15" customHeight="1">
      <c r="A17" s="238" t="s">
        <v>624</v>
      </c>
      <c r="B17" s="111" t="s">
        <v>566</v>
      </c>
      <c r="C17" s="307" t="s">
        <v>565</v>
      </c>
      <c r="D17" s="197">
        <v>250815404787</v>
      </c>
      <c r="E17" s="111"/>
      <c r="F17" s="111" t="s">
        <v>566</v>
      </c>
      <c r="G17" s="307" t="s">
        <v>565</v>
      </c>
      <c r="H17" s="244">
        <v>392560970518</v>
      </c>
      <c r="I17" s="79"/>
      <c r="J17" s="79"/>
      <c r="K17" s="499"/>
      <c r="L17" s="116"/>
      <c r="M17" s="116"/>
      <c r="N17" s="482"/>
    </row>
    <row r="18" spans="1:14" ht="15" customHeight="1">
      <c r="A18" s="238" t="s">
        <v>625</v>
      </c>
      <c r="B18" s="111" t="s">
        <v>566</v>
      </c>
      <c r="C18" s="307" t="s">
        <v>565</v>
      </c>
      <c r="D18" s="197">
        <v>2797573424</v>
      </c>
      <c r="E18" s="111"/>
      <c r="F18" s="111" t="s">
        <v>566</v>
      </c>
      <c r="G18" s="307" t="s">
        <v>565</v>
      </c>
      <c r="H18" s="244">
        <v>4854660818</v>
      </c>
      <c r="I18" s="79"/>
      <c r="J18" s="79"/>
      <c r="K18" s="499"/>
      <c r="L18" s="116"/>
      <c r="M18" s="482"/>
      <c r="N18" s="482"/>
    </row>
    <row r="19" spans="1:14" ht="15" customHeight="1">
      <c r="A19" s="238" t="s">
        <v>626</v>
      </c>
      <c r="B19" s="111" t="s">
        <v>566</v>
      </c>
      <c r="C19" s="307" t="s">
        <v>565</v>
      </c>
      <c r="D19" s="197">
        <v>252919787519</v>
      </c>
      <c r="E19" s="111"/>
      <c r="F19" s="111" t="s">
        <v>566</v>
      </c>
      <c r="G19" s="307" t="s">
        <v>565</v>
      </c>
      <c r="H19" s="186">
        <v>192070643761</v>
      </c>
      <c r="I19" s="79"/>
      <c r="J19" s="79"/>
      <c r="K19" s="499"/>
      <c r="L19" s="116"/>
      <c r="M19" s="482"/>
      <c r="N19" s="482"/>
    </row>
    <row r="20" spans="1:14" ht="15" customHeight="1">
      <c r="A20" s="238" t="s">
        <v>874</v>
      </c>
      <c r="B20" s="111" t="s">
        <v>566</v>
      </c>
      <c r="C20" s="307" t="s">
        <v>565</v>
      </c>
      <c r="D20" s="197">
        <v>1894758025</v>
      </c>
      <c r="E20" s="79"/>
      <c r="F20" s="111" t="s">
        <v>566</v>
      </c>
      <c r="G20" s="307" t="s">
        <v>565</v>
      </c>
      <c r="H20" s="197">
        <v>4885020676</v>
      </c>
      <c r="I20" s="197">
        <v>4885020676</v>
      </c>
      <c r="J20" s="79"/>
      <c r="K20" s="499"/>
      <c r="L20" s="116"/>
      <c r="M20" s="482"/>
      <c r="N20" s="482"/>
    </row>
    <row r="21" spans="1:14" ht="15" customHeight="1">
      <c r="A21" s="496"/>
      <c r="B21" s="79"/>
      <c r="C21" s="79"/>
      <c r="D21" s="899"/>
      <c r="E21" s="79"/>
      <c r="F21" s="79"/>
      <c r="G21" s="79"/>
      <c r="H21" s="498"/>
      <c r="I21" s="79"/>
      <c r="J21" s="79"/>
      <c r="K21" s="499"/>
      <c r="L21" s="116"/>
      <c r="M21" s="482"/>
      <c r="N21" s="482"/>
    </row>
    <row r="22" spans="1:14" ht="15" customHeight="1">
      <c r="A22" s="496"/>
      <c r="B22" s="1236" t="s">
        <v>635</v>
      </c>
      <c r="C22" s="1236"/>
      <c r="D22" s="1236"/>
      <c r="E22" s="1236"/>
      <c r="F22" s="1236"/>
      <c r="G22" s="1236"/>
      <c r="H22" s="1236"/>
      <c r="I22" s="1236"/>
      <c r="J22" s="1236"/>
      <c r="K22" s="499"/>
      <c r="L22" s="116"/>
      <c r="M22" s="482"/>
      <c r="N22" s="482"/>
    </row>
    <row r="23" spans="1:14" ht="15" customHeight="1">
      <c r="A23" s="496"/>
      <c r="B23" s="500"/>
      <c r="C23" s="500"/>
      <c r="D23" s="500"/>
      <c r="E23" s="500"/>
      <c r="F23" s="500"/>
      <c r="G23" s="500"/>
      <c r="H23" s="500"/>
      <c r="I23" s="500"/>
      <c r="J23" s="500"/>
      <c r="K23" s="499"/>
      <c r="L23" s="116"/>
      <c r="M23" s="482"/>
      <c r="N23" s="482"/>
    </row>
    <row r="24" spans="1:14" ht="15" customHeight="1">
      <c r="A24" s="79"/>
      <c r="B24" s="494"/>
      <c r="C24" s="803">
        <v>44561</v>
      </c>
      <c r="D24" s="494"/>
      <c r="E24" s="79"/>
      <c r="F24" s="494"/>
      <c r="G24" s="804">
        <v>44196</v>
      </c>
      <c r="H24" s="495"/>
      <c r="I24" s="79"/>
      <c r="J24" s="79"/>
      <c r="K24" s="499"/>
      <c r="L24" s="116"/>
      <c r="M24" s="482"/>
      <c r="N24" s="482"/>
    </row>
    <row r="25" spans="1:14" ht="15" customHeight="1">
      <c r="A25" s="111"/>
      <c r="B25" s="707" t="s">
        <v>67</v>
      </c>
      <c r="C25" s="696" t="s">
        <v>739</v>
      </c>
      <c r="D25" s="729" t="s">
        <v>621</v>
      </c>
      <c r="E25" s="531"/>
      <c r="F25" s="707" t="s">
        <v>67</v>
      </c>
      <c r="G25" s="696" t="s">
        <v>739</v>
      </c>
      <c r="H25" s="729" t="s">
        <v>622</v>
      </c>
      <c r="I25" s="79"/>
      <c r="J25" s="79"/>
      <c r="K25" s="499"/>
      <c r="L25" s="116"/>
      <c r="M25" s="482"/>
      <c r="N25" s="482"/>
    </row>
    <row r="26" spans="1:14" ht="15" customHeight="1">
      <c r="A26" s="238" t="s">
        <v>623</v>
      </c>
      <c r="B26" s="111" t="s">
        <v>568</v>
      </c>
      <c r="C26" s="497" t="s">
        <v>569</v>
      </c>
      <c r="D26" s="112">
        <v>0</v>
      </c>
      <c r="E26" s="111"/>
      <c r="F26" s="111" t="s">
        <v>568</v>
      </c>
      <c r="G26" s="497" t="s">
        <v>569</v>
      </c>
      <c r="H26" s="186">
        <v>8466</v>
      </c>
      <c r="I26" s="79"/>
      <c r="J26" s="79"/>
      <c r="K26" s="499"/>
      <c r="L26" s="116"/>
      <c r="M26" s="482"/>
      <c r="N26" s="482"/>
    </row>
    <row r="27" spans="1:14" ht="15" customHeight="1">
      <c r="A27" s="238" t="s">
        <v>623</v>
      </c>
      <c r="B27" s="111" t="s">
        <v>566</v>
      </c>
      <c r="C27" s="307" t="s">
        <v>565</v>
      </c>
      <c r="D27" s="112">
        <v>6864</v>
      </c>
      <c r="E27" s="111"/>
      <c r="F27" s="111" t="s">
        <v>566</v>
      </c>
      <c r="G27" s="307" t="s">
        <v>565</v>
      </c>
      <c r="H27" s="186">
        <v>6892</v>
      </c>
      <c r="I27" s="79"/>
      <c r="J27" s="79"/>
      <c r="K27" s="499"/>
      <c r="L27" s="116"/>
      <c r="M27" s="482"/>
      <c r="N27" s="482"/>
    </row>
    <row r="28" spans="1:14" ht="15" customHeight="1">
      <c r="A28" s="532" t="s">
        <v>567</v>
      </c>
      <c r="B28" s="111" t="s">
        <v>566</v>
      </c>
      <c r="C28" s="307" t="s">
        <v>565</v>
      </c>
      <c r="D28" s="112">
        <v>6880</v>
      </c>
      <c r="E28" s="111"/>
      <c r="F28" s="111" t="s">
        <v>566</v>
      </c>
      <c r="G28" s="307" t="s">
        <v>565</v>
      </c>
      <c r="H28" s="186">
        <v>6942</v>
      </c>
      <c r="I28" s="501"/>
      <c r="J28" s="482"/>
      <c r="K28" s="482"/>
      <c r="L28" s="116"/>
      <c r="M28" s="482"/>
      <c r="N28" s="482"/>
    </row>
    <row r="29" spans="1:14" ht="15" customHeight="1">
      <c r="A29" s="533"/>
      <c r="B29" s="111"/>
      <c r="C29" s="307"/>
      <c r="D29" s="111"/>
      <c r="E29" s="111"/>
      <c r="F29" s="111"/>
      <c r="G29" s="307"/>
      <c r="H29" s="186"/>
      <c r="I29" s="501"/>
      <c r="J29" s="482"/>
      <c r="K29" s="482"/>
      <c r="L29" s="116"/>
      <c r="M29" s="482"/>
      <c r="N29" s="482"/>
    </row>
    <row r="30" spans="1:14" ht="15" customHeight="1">
      <c r="A30" s="1237" t="s">
        <v>30</v>
      </c>
      <c r="B30" s="1237"/>
      <c r="C30" s="1237"/>
      <c r="D30" s="1237"/>
      <c r="E30" s="1237"/>
      <c r="F30" s="1237"/>
      <c r="G30" s="1237"/>
      <c r="H30" s="1237"/>
      <c r="I30" s="1237"/>
      <c r="J30" s="120"/>
      <c r="K30" s="120"/>
      <c r="L30" s="116"/>
      <c r="M30" s="482"/>
      <c r="N30" s="482"/>
    </row>
    <row r="31" spans="1:14" ht="28.5" customHeight="1">
      <c r="A31" s="1235" t="s">
        <v>1051</v>
      </c>
      <c r="B31" s="1235"/>
      <c r="C31" s="1235"/>
      <c r="D31" s="1235"/>
      <c r="E31" s="1235"/>
      <c r="F31" s="1235"/>
      <c r="G31" s="1235"/>
      <c r="H31" s="1235"/>
      <c r="I31" s="1235"/>
      <c r="J31" s="482"/>
      <c r="K31" s="482"/>
      <c r="L31" s="116"/>
      <c r="M31" s="482"/>
      <c r="N31" s="482"/>
    </row>
    <row r="32" spans="1:14" ht="18" customHeight="1">
      <c r="A32" s="501"/>
      <c r="B32" s="501"/>
      <c r="C32" s="501"/>
      <c r="D32" s="501"/>
      <c r="E32" s="501"/>
      <c r="F32" s="501"/>
      <c r="G32" s="501"/>
      <c r="H32" s="501"/>
      <c r="I32" s="501"/>
      <c r="J32" s="482"/>
      <c r="K32" s="482"/>
      <c r="L32" s="116"/>
      <c r="M32" s="482"/>
      <c r="N32" s="482"/>
    </row>
    <row r="33" spans="1:14" ht="15" customHeight="1">
      <c r="A33" s="1241" t="s">
        <v>96</v>
      </c>
      <c r="B33" s="1241"/>
      <c r="C33" s="1241"/>
      <c r="D33" s="1241"/>
      <c r="E33" s="1241"/>
      <c r="F33" s="1241"/>
      <c r="G33" s="1241"/>
      <c r="H33" s="1241"/>
      <c r="I33" s="1241"/>
      <c r="J33" s="120"/>
      <c r="K33" s="120"/>
      <c r="L33" s="116"/>
      <c r="M33" s="482"/>
      <c r="N33" s="482"/>
    </row>
    <row r="34" spans="1:14" ht="49.5" customHeight="1">
      <c r="A34" s="1235" t="s">
        <v>842</v>
      </c>
      <c r="B34" s="1243"/>
      <c r="C34" s="1243"/>
      <c r="D34" s="1243"/>
      <c r="E34" s="1243"/>
      <c r="F34" s="1243"/>
      <c r="G34" s="1243"/>
      <c r="H34" s="1243"/>
      <c r="I34" s="1243"/>
      <c r="J34" s="120"/>
      <c r="K34" s="120"/>
      <c r="L34" s="116"/>
      <c r="M34" s="482"/>
      <c r="N34" s="482"/>
    </row>
    <row r="35" spans="1:14" ht="27" customHeight="1">
      <c r="A35" s="1240" t="s">
        <v>230</v>
      </c>
      <c r="B35" s="1240"/>
      <c r="C35" s="1240"/>
      <c r="D35" s="1240"/>
      <c r="E35" s="1240"/>
      <c r="F35" s="1240"/>
      <c r="G35" s="1240"/>
      <c r="H35" s="1240"/>
      <c r="I35" s="1240"/>
      <c r="J35" s="120"/>
      <c r="K35" s="120"/>
      <c r="L35" s="116"/>
      <c r="M35" s="482"/>
      <c r="N35" s="482"/>
    </row>
    <row r="36" spans="1:14" ht="15" customHeight="1">
      <c r="A36" s="1236"/>
      <c r="B36" s="1236"/>
      <c r="C36" s="1236"/>
      <c r="D36" s="1236"/>
      <c r="E36" s="1236"/>
      <c r="F36" s="1236"/>
      <c r="G36" s="1236"/>
      <c r="H36" s="1236"/>
      <c r="I36" s="1236"/>
      <c r="J36" s="482"/>
      <c r="K36" s="482"/>
      <c r="L36" s="116"/>
      <c r="M36" s="482"/>
      <c r="N36" s="482"/>
    </row>
    <row r="37" spans="1:14" ht="15" customHeight="1">
      <c r="A37" s="1237" t="s">
        <v>95</v>
      </c>
      <c r="B37" s="1237"/>
      <c r="C37" s="1237"/>
      <c r="D37" s="1237"/>
      <c r="E37" s="1237"/>
      <c r="F37" s="1237"/>
      <c r="G37" s="1237"/>
      <c r="H37" s="1237"/>
      <c r="I37" s="1237"/>
      <c r="J37" s="120"/>
      <c r="K37" s="120"/>
      <c r="L37" s="116"/>
      <c r="M37" s="482"/>
      <c r="N37" s="482"/>
    </row>
    <row r="38" spans="1:14" ht="43.5" customHeight="1">
      <c r="A38" s="1235" t="s">
        <v>627</v>
      </c>
      <c r="B38" s="1235"/>
      <c r="C38" s="1235"/>
      <c r="D38" s="1235"/>
      <c r="E38" s="1235"/>
      <c r="F38" s="1235"/>
      <c r="G38" s="1235"/>
      <c r="H38" s="1235"/>
      <c r="I38" s="1235"/>
      <c r="J38" s="482"/>
      <c r="K38" s="482"/>
      <c r="L38" s="116"/>
      <c r="M38" s="482"/>
      <c r="N38" s="482"/>
    </row>
    <row r="39" spans="1:14" ht="15" customHeight="1">
      <c r="A39" s="1237" t="s">
        <v>628</v>
      </c>
      <c r="B39" s="1236"/>
      <c r="C39" s="1236"/>
      <c r="D39" s="1236"/>
      <c r="E39" s="1236"/>
      <c r="F39" s="1236"/>
      <c r="G39" s="1236"/>
      <c r="H39" s="1236"/>
      <c r="I39" s="1236"/>
      <c r="J39" s="482"/>
      <c r="K39" s="482"/>
      <c r="L39" s="116"/>
      <c r="M39" s="482"/>
      <c r="N39" s="482"/>
    </row>
    <row r="40" spans="1:14" ht="15" customHeight="1">
      <c r="A40" s="1236" t="s">
        <v>629</v>
      </c>
      <c r="B40" s="1236"/>
      <c r="C40" s="1236"/>
      <c r="D40" s="1236"/>
      <c r="E40" s="1236"/>
      <c r="F40" s="1236"/>
      <c r="G40" s="1236"/>
      <c r="H40" s="1236"/>
      <c r="I40" s="1236"/>
      <c r="J40" s="482"/>
      <c r="K40" s="482"/>
      <c r="L40" s="116"/>
      <c r="M40" s="482"/>
      <c r="N40" s="482"/>
    </row>
    <row r="41" spans="1:14" ht="15" customHeight="1">
      <c r="A41" s="1236" t="s">
        <v>630</v>
      </c>
      <c r="B41" s="1236"/>
      <c r="C41" s="1236"/>
      <c r="D41" s="1236"/>
      <c r="E41" s="1236"/>
      <c r="F41" s="1236"/>
      <c r="G41" s="1236"/>
      <c r="H41" s="1236"/>
      <c r="I41" s="1236"/>
      <c r="J41" s="482"/>
      <c r="K41" s="482"/>
      <c r="L41" s="116"/>
      <c r="M41" s="482"/>
      <c r="N41" s="482"/>
    </row>
    <row r="42" spans="1:14" ht="15" customHeight="1">
      <c r="A42" s="1236" t="s">
        <v>631</v>
      </c>
      <c r="B42" s="1236"/>
      <c r="C42" s="1236"/>
      <c r="D42" s="1236"/>
      <c r="E42" s="1236"/>
      <c r="F42" s="1236"/>
      <c r="G42" s="1236"/>
      <c r="H42" s="1236"/>
      <c r="I42" s="1236"/>
      <c r="J42" s="482"/>
      <c r="K42" s="482"/>
      <c r="L42" s="116"/>
      <c r="M42" s="482"/>
      <c r="N42" s="482"/>
    </row>
    <row r="43" spans="1:14" ht="15" customHeight="1">
      <c r="A43" s="1236" t="s">
        <v>632</v>
      </c>
      <c r="B43" s="1236"/>
      <c r="C43" s="1236"/>
      <c r="D43" s="1236"/>
      <c r="E43" s="1236"/>
      <c r="F43" s="1236"/>
      <c r="G43" s="1236"/>
      <c r="H43" s="1236"/>
      <c r="I43" s="1236"/>
      <c r="J43" s="482"/>
      <c r="K43" s="482"/>
      <c r="L43" s="116"/>
      <c r="M43" s="482"/>
      <c r="N43" s="482"/>
    </row>
    <row r="44" spans="1:14" ht="15" customHeight="1">
      <c r="A44" s="1236" t="s">
        <v>633</v>
      </c>
      <c r="B44" s="1236"/>
      <c r="C44" s="1236"/>
      <c r="D44" s="1236"/>
      <c r="E44" s="1236"/>
      <c r="F44" s="1236"/>
      <c r="G44" s="1236"/>
      <c r="H44" s="1236"/>
      <c r="I44" s="1236"/>
      <c r="J44" s="482"/>
      <c r="K44" s="482"/>
      <c r="L44" s="116"/>
      <c r="M44" s="482"/>
      <c r="N44" s="482"/>
    </row>
    <row r="45" spans="1:14" ht="15" customHeight="1">
      <c r="A45" s="1236" t="s">
        <v>634</v>
      </c>
      <c r="B45" s="1236"/>
      <c r="C45" s="1236"/>
      <c r="D45" s="1236"/>
      <c r="E45" s="1236"/>
      <c r="F45" s="1236"/>
      <c r="G45" s="1236"/>
      <c r="H45" s="1236"/>
      <c r="I45" s="1236"/>
      <c r="J45" s="482"/>
      <c r="K45" s="482"/>
      <c r="L45" s="116"/>
      <c r="M45" s="482"/>
      <c r="N45" s="482"/>
    </row>
    <row r="46" spans="1:14" ht="10.5" customHeight="1">
      <c r="A46" s="500"/>
      <c r="B46" s="500"/>
      <c r="C46" s="500"/>
      <c r="D46" s="500"/>
      <c r="E46" s="500"/>
      <c r="F46" s="500"/>
      <c r="G46" s="500"/>
      <c r="H46" s="500"/>
      <c r="I46" s="500"/>
      <c r="J46" s="482"/>
      <c r="K46" s="482"/>
      <c r="L46" s="116"/>
      <c r="M46" s="482"/>
      <c r="N46" s="482"/>
    </row>
    <row r="47" spans="1:14" ht="15" customHeight="1">
      <c r="A47" s="1237" t="s">
        <v>307</v>
      </c>
      <c r="B47" s="1237"/>
      <c r="C47" s="1237"/>
      <c r="D47" s="1237"/>
      <c r="E47" s="1237"/>
      <c r="F47" s="1237"/>
      <c r="G47" s="1237"/>
      <c r="H47" s="1237"/>
      <c r="I47" s="1237"/>
      <c r="J47" s="120"/>
      <c r="K47" s="120"/>
      <c r="L47" s="116"/>
      <c r="M47" s="482"/>
      <c r="N47" s="482"/>
    </row>
    <row r="48" spans="1:14" ht="43.5" customHeight="1">
      <c r="A48" s="1235" t="s">
        <v>578</v>
      </c>
      <c r="B48" s="1235"/>
      <c r="C48" s="1235"/>
      <c r="D48" s="1235"/>
      <c r="E48" s="1235"/>
      <c r="F48" s="1235"/>
      <c r="G48" s="1235"/>
      <c r="H48" s="1235"/>
      <c r="I48" s="1235"/>
      <c r="J48" s="120"/>
      <c r="K48" s="120"/>
      <c r="L48" s="116"/>
      <c r="M48" s="482"/>
      <c r="N48" s="482"/>
    </row>
    <row r="49" spans="1:14" ht="12.75" customHeight="1">
      <c r="A49" s="482" t="s">
        <v>841</v>
      </c>
      <c r="B49" s="482"/>
      <c r="C49" s="482"/>
      <c r="D49" s="482"/>
      <c r="E49" s="482"/>
      <c r="F49" s="482"/>
      <c r="G49" s="482"/>
      <c r="H49" s="482"/>
      <c r="I49" s="482"/>
      <c r="J49" s="482"/>
      <c r="K49" s="482"/>
      <c r="L49" s="116"/>
      <c r="M49" s="482"/>
      <c r="N49" s="482"/>
    </row>
    <row r="50" spans="1:14" ht="13.5" customHeight="1">
      <c r="A50" s="500"/>
      <c r="B50" s="500"/>
      <c r="C50" s="500"/>
      <c r="D50" s="500"/>
      <c r="E50" s="500"/>
      <c r="F50" s="500"/>
      <c r="G50" s="500"/>
      <c r="H50" s="500"/>
      <c r="I50" s="500"/>
      <c r="J50" s="482"/>
      <c r="K50" s="482"/>
      <c r="L50" s="116"/>
      <c r="M50" s="482"/>
      <c r="N50" s="482"/>
    </row>
    <row r="51" spans="1:14" ht="15" customHeight="1">
      <c r="A51" s="1237" t="s">
        <v>308</v>
      </c>
      <c r="B51" s="1237"/>
      <c r="C51" s="1237"/>
      <c r="D51" s="1237"/>
      <c r="E51" s="1237"/>
      <c r="F51" s="1237"/>
      <c r="G51" s="1237"/>
      <c r="H51" s="1237"/>
      <c r="I51" s="1237"/>
      <c r="J51" s="120"/>
      <c r="K51" s="120"/>
      <c r="L51" s="116"/>
      <c r="M51" s="482"/>
      <c r="N51" s="482"/>
    </row>
    <row r="52" spans="1:14" ht="27" customHeight="1">
      <c r="A52" s="1235" t="s">
        <v>97</v>
      </c>
      <c r="B52" s="1235"/>
      <c r="C52" s="1235"/>
      <c r="D52" s="1235"/>
      <c r="E52" s="1235"/>
      <c r="F52" s="1235"/>
      <c r="G52" s="1235"/>
      <c r="H52" s="1235"/>
      <c r="I52" s="1235"/>
      <c r="J52" s="482"/>
      <c r="K52" s="482"/>
      <c r="L52" s="116"/>
      <c r="M52" s="482"/>
      <c r="N52" s="482"/>
    </row>
    <row r="53" spans="1:14" ht="15" customHeight="1">
      <c r="A53" s="501"/>
      <c r="B53" s="501"/>
      <c r="C53" s="501"/>
      <c r="D53" s="501"/>
      <c r="E53" s="501"/>
      <c r="F53" s="501"/>
      <c r="G53" s="501"/>
      <c r="H53" s="501"/>
      <c r="I53" s="501"/>
      <c r="J53" s="482"/>
      <c r="K53" s="482"/>
      <c r="L53" s="116"/>
      <c r="M53" s="482"/>
      <c r="N53" s="482"/>
    </row>
    <row r="54" spans="1:14" ht="15" customHeight="1">
      <c r="A54" s="1237" t="s">
        <v>309</v>
      </c>
      <c r="B54" s="1237"/>
      <c r="C54" s="1237"/>
      <c r="D54" s="1237"/>
      <c r="E54" s="1237"/>
      <c r="F54" s="1237"/>
      <c r="G54" s="1237"/>
      <c r="H54" s="1237"/>
      <c r="I54" s="1237"/>
      <c r="J54" s="1236"/>
      <c r="K54" s="1236"/>
      <c r="L54" s="116"/>
      <c r="M54" s="482"/>
      <c r="N54" s="482"/>
    </row>
    <row r="55" spans="1:14" ht="15.75" customHeight="1">
      <c r="A55" s="1235" t="s">
        <v>98</v>
      </c>
      <c r="B55" s="1235"/>
      <c r="C55" s="1235"/>
      <c r="D55" s="1235"/>
      <c r="E55" s="1235"/>
      <c r="F55" s="1235"/>
      <c r="G55" s="1235"/>
      <c r="H55" s="1235"/>
      <c r="I55" s="1235"/>
      <c r="J55" s="1236"/>
      <c r="K55" s="1236"/>
      <c r="L55" s="116"/>
      <c r="M55" s="482"/>
      <c r="N55" s="482"/>
    </row>
    <row r="56" spans="1:14" ht="15" customHeight="1">
      <c r="A56" s="1236"/>
      <c r="B56" s="1236"/>
      <c r="C56" s="1236"/>
      <c r="D56" s="1236"/>
      <c r="E56" s="1236"/>
      <c r="F56" s="1236"/>
      <c r="G56" s="1236"/>
      <c r="H56" s="1236"/>
      <c r="I56" s="1236"/>
      <c r="J56" s="1236"/>
      <c r="K56" s="1236"/>
      <c r="L56" s="116"/>
      <c r="M56" s="482"/>
      <c r="N56" s="482"/>
    </row>
    <row r="57" spans="1:14" ht="15" customHeight="1">
      <c r="A57" s="1237" t="s">
        <v>310</v>
      </c>
      <c r="B57" s="1237"/>
      <c r="C57" s="1237"/>
      <c r="D57" s="1237"/>
      <c r="E57" s="1237"/>
      <c r="F57" s="1237"/>
      <c r="G57" s="1237"/>
      <c r="H57" s="1237"/>
      <c r="I57" s="1237"/>
      <c r="J57" s="1236"/>
      <c r="K57" s="1236"/>
      <c r="L57" s="116"/>
      <c r="M57" s="482"/>
      <c r="N57" s="482"/>
    </row>
    <row r="58" spans="1:14" ht="36.75" customHeight="1">
      <c r="A58" s="1235" t="s">
        <v>570</v>
      </c>
      <c r="B58" s="1235"/>
      <c r="C58" s="1235"/>
      <c r="D58" s="1235"/>
      <c r="E58" s="1235"/>
      <c r="F58" s="1235"/>
      <c r="G58" s="1235"/>
      <c r="H58" s="1235"/>
      <c r="I58" s="1235"/>
      <c r="J58" s="1236"/>
      <c r="K58" s="1236"/>
      <c r="L58" s="116"/>
      <c r="M58" s="482"/>
      <c r="N58" s="482"/>
    </row>
    <row r="59" spans="1:14" ht="25.5" customHeight="1">
      <c r="A59" s="1235" t="s">
        <v>99</v>
      </c>
      <c r="B59" s="1235"/>
      <c r="C59" s="1235"/>
      <c r="D59" s="1235"/>
      <c r="E59" s="1235"/>
      <c r="F59" s="1235"/>
      <c r="G59" s="1235"/>
      <c r="H59" s="1235"/>
      <c r="I59" s="1235"/>
      <c r="J59" s="1236"/>
      <c r="K59" s="1236"/>
      <c r="L59" s="116"/>
      <c r="M59" s="482"/>
      <c r="N59" s="482"/>
    </row>
    <row r="60" spans="1:14" ht="15" customHeight="1">
      <c r="A60" s="1235" t="s">
        <v>678</v>
      </c>
      <c r="B60" s="1235"/>
      <c r="C60" s="1235"/>
      <c r="D60" s="1235"/>
      <c r="E60" s="1235"/>
      <c r="F60" s="1235"/>
      <c r="G60" s="1235"/>
      <c r="H60" s="1235"/>
      <c r="I60" s="1235"/>
      <c r="J60" s="500"/>
      <c r="K60" s="500"/>
      <c r="L60" s="116"/>
      <c r="M60" s="482"/>
      <c r="N60" s="482"/>
    </row>
    <row r="61" spans="1:14" ht="15" customHeight="1">
      <c r="A61" s="1236"/>
      <c r="B61" s="1236"/>
      <c r="C61" s="1236"/>
      <c r="D61" s="1236"/>
      <c r="E61" s="1236"/>
      <c r="F61" s="1236"/>
      <c r="G61" s="1236"/>
      <c r="H61" s="1236"/>
      <c r="I61" s="1236"/>
      <c r="J61" s="1236"/>
      <c r="K61" s="1236"/>
      <c r="L61" s="116"/>
      <c r="M61" s="482"/>
      <c r="N61" s="482"/>
    </row>
    <row r="62" spans="1:14" ht="15" customHeight="1">
      <c r="A62" s="1237" t="s">
        <v>311</v>
      </c>
      <c r="B62" s="1237"/>
      <c r="C62" s="1237"/>
      <c r="D62" s="1237"/>
      <c r="E62" s="1237"/>
      <c r="F62" s="1237"/>
      <c r="G62" s="1237"/>
      <c r="H62" s="1237"/>
      <c r="I62" s="1237"/>
      <c r="J62" s="1236"/>
      <c r="K62" s="1236"/>
      <c r="L62" s="116"/>
      <c r="M62" s="482"/>
      <c r="N62" s="482"/>
    </row>
    <row r="63" spans="1:14" s="482" customFormat="1" ht="15" customHeight="1">
      <c r="A63" s="1235" t="s">
        <v>679</v>
      </c>
      <c r="B63" s="1235"/>
      <c r="C63" s="1235"/>
      <c r="D63" s="1235"/>
      <c r="E63" s="1235"/>
      <c r="F63" s="1235"/>
      <c r="G63" s="1235"/>
      <c r="H63" s="1235"/>
      <c r="I63" s="1235"/>
      <c r="J63" s="1236"/>
      <c r="K63" s="1236"/>
      <c r="L63" s="116"/>
    </row>
    <row r="64" spans="1:14" s="328" customFormat="1" ht="15" customHeight="1">
      <c r="A64" s="502"/>
      <c r="B64" s="502"/>
      <c r="C64" s="502"/>
      <c r="D64" s="502"/>
      <c r="E64" s="502"/>
      <c r="F64" s="502"/>
      <c r="G64" s="502"/>
      <c r="H64" s="502"/>
      <c r="I64" s="502"/>
      <c r="J64" s="503"/>
      <c r="K64" s="503"/>
      <c r="L64" s="836"/>
      <c r="M64" s="76"/>
      <c r="N64" s="76"/>
    </row>
    <row r="65" spans="1:14" s="328" customFormat="1" ht="15" customHeight="1">
      <c r="A65" s="1237" t="s">
        <v>680</v>
      </c>
      <c r="B65" s="1237"/>
      <c r="C65" s="1237"/>
      <c r="D65" s="1237"/>
      <c r="E65" s="1237"/>
      <c r="F65" s="1237"/>
      <c r="G65" s="1237"/>
      <c r="H65" s="1237"/>
      <c r="I65" s="1237"/>
      <c r="J65" s="503"/>
      <c r="K65" s="503"/>
      <c r="L65" s="836"/>
      <c r="M65" s="76"/>
      <c r="N65" s="76"/>
    </row>
    <row r="66" spans="1:14" s="328" customFormat="1" ht="35.25" customHeight="1">
      <c r="A66" s="1235" t="s">
        <v>576</v>
      </c>
      <c r="B66" s="1235"/>
      <c r="C66" s="1235"/>
      <c r="D66" s="1235"/>
      <c r="E66" s="1235"/>
      <c r="F66" s="1235"/>
      <c r="G66" s="1235"/>
      <c r="H66" s="1235"/>
      <c r="I66" s="1235"/>
      <c r="J66" s="503"/>
      <c r="K66" s="503"/>
      <c r="L66" s="836"/>
      <c r="M66" s="76"/>
      <c r="N66" s="76"/>
    </row>
    <row r="67" spans="1:14" ht="1.5" customHeight="1">
      <c r="A67" s="482"/>
      <c r="B67" s="482"/>
      <c r="C67" s="482"/>
      <c r="D67" s="482"/>
      <c r="E67" s="482"/>
      <c r="F67" s="482"/>
      <c r="G67" s="482"/>
      <c r="H67" s="482"/>
      <c r="I67" s="482"/>
      <c r="J67" s="1236"/>
      <c r="K67" s="1236"/>
      <c r="L67" s="116"/>
      <c r="M67" s="482"/>
      <c r="N67" s="482"/>
    </row>
    <row r="68" spans="1:14" ht="15" hidden="1" customHeight="1">
      <c r="A68" s="501"/>
      <c r="B68" s="501"/>
      <c r="C68" s="501"/>
      <c r="D68" s="501"/>
      <c r="E68" s="501"/>
      <c r="F68" s="501"/>
      <c r="G68" s="501"/>
      <c r="H68" s="501"/>
      <c r="I68" s="501"/>
      <c r="J68" s="500"/>
      <c r="K68" s="500"/>
      <c r="L68" s="116"/>
      <c r="M68" s="482"/>
      <c r="N68" s="482"/>
    </row>
    <row r="69" spans="1:14" ht="15.75" customHeight="1">
      <c r="A69" s="501"/>
      <c r="B69" s="501"/>
      <c r="C69" s="501"/>
      <c r="D69" s="501"/>
      <c r="E69" s="501"/>
      <c r="F69" s="501"/>
      <c r="G69" s="501"/>
      <c r="H69" s="501"/>
      <c r="I69" s="501"/>
      <c r="J69" s="500"/>
      <c r="K69" s="500"/>
      <c r="L69" s="116"/>
      <c r="M69" s="482"/>
      <c r="N69" s="482"/>
    </row>
    <row r="70" spans="1:14" ht="15" customHeight="1">
      <c r="A70" s="1237" t="s">
        <v>681</v>
      </c>
      <c r="B70" s="1237"/>
      <c r="C70" s="1237"/>
      <c r="D70" s="1237"/>
      <c r="E70" s="1237"/>
      <c r="F70" s="1237"/>
      <c r="G70" s="1237"/>
      <c r="H70" s="1237"/>
      <c r="I70" s="1237"/>
      <c r="J70" s="1236"/>
      <c r="K70" s="1236"/>
      <c r="L70" s="116"/>
      <c r="M70" s="482"/>
      <c r="N70" s="482"/>
    </row>
    <row r="71" spans="1:14" ht="28.5" customHeight="1">
      <c r="A71" s="1235" t="s">
        <v>944</v>
      </c>
      <c r="B71" s="1235"/>
      <c r="C71" s="1235"/>
      <c r="D71" s="1235"/>
      <c r="E71" s="1235"/>
      <c r="F71" s="1235"/>
      <c r="G71" s="1235"/>
      <c r="H71" s="1235"/>
      <c r="I71" s="1235"/>
      <c r="J71" s="500"/>
      <c r="K71" s="500"/>
      <c r="L71" s="116"/>
      <c r="M71" s="482"/>
      <c r="N71" s="482"/>
    </row>
    <row r="72" spans="1:14" ht="15" customHeight="1">
      <c r="A72" s="501"/>
      <c r="B72" s="501"/>
      <c r="C72" s="501"/>
      <c r="D72" s="501"/>
      <c r="E72" s="501"/>
      <c r="F72" s="501"/>
      <c r="G72" s="501"/>
      <c r="H72" s="501"/>
      <c r="I72" s="501"/>
      <c r="J72" s="500"/>
      <c r="K72" s="500"/>
      <c r="L72" s="116"/>
      <c r="M72" s="482"/>
      <c r="N72" s="482"/>
    </row>
    <row r="73" spans="1:14" ht="16.5" customHeight="1">
      <c r="A73" s="1213" t="s">
        <v>682</v>
      </c>
      <c r="B73" s="1213"/>
      <c r="C73" s="1213"/>
      <c r="D73" s="1213"/>
      <c r="E73" s="1213"/>
      <c r="F73" s="1213"/>
      <c r="G73" s="1213"/>
      <c r="H73" s="1213"/>
      <c r="I73" s="1213"/>
      <c r="J73" s="129"/>
      <c r="K73" s="129"/>
      <c r="L73" s="116"/>
      <c r="M73" s="482"/>
      <c r="N73" s="482"/>
    </row>
    <row r="74" spans="1:14" ht="16.5" customHeight="1">
      <c r="A74" s="483" t="s">
        <v>834</v>
      </c>
      <c r="B74" s="483"/>
      <c r="C74" s="483"/>
      <c r="D74" s="483"/>
      <c r="E74" s="483"/>
      <c r="F74" s="504"/>
      <c r="G74" s="504"/>
      <c r="H74" s="504"/>
      <c r="I74" s="504"/>
      <c r="J74" s="129"/>
      <c r="K74" s="129"/>
      <c r="L74" s="116"/>
      <c r="M74" s="482"/>
      <c r="N74" s="482"/>
    </row>
    <row r="75" spans="1:14" ht="16.5" customHeight="1">
      <c r="A75" s="890" t="s">
        <v>835</v>
      </c>
      <c r="B75" s="890"/>
      <c r="C75" s="890"/>
      <c r="D75" s="890"/>
      <c r="E75" s="890"/>
      <c r="F75" s="890"/>
      <c r="G75" s="890"/>
      <c r="H75" s="483"/>
      <c r="I75" s="483"/>
      <c r="J75" s="482"/>
      <c r="K75" s="482"/>
      <c r="L75" s="116"/>
      <c r="M75" s="482"/>
      <c r="N75" s="482"/>
    </row>
    <row r="76" spans="1:14" ht="16.5" customHeight="1">
      <c r="A76" s="105" t="s">
        <v>683</v>
      </c>
      <c r="B76" s="874"/>
      <c r="C76" s="874"/>
      <c r="D76" s="874"/>
      <c r="E76" s="874"/>
      <c r="F76" s="874"/>
      <c r="G76" s="874"/>
      <c r="H76" s="504"/>
      <c r="I76" s="504"/>
      <c r="J76" s="129"/>
      <c r="K76" s="129"/>
      <c r="L76" s="116"/>
      <c r="M76" s="482"/>
      <c r="N76" s="482"/>
    </row>
    <row r="77" spans="1:14" ht="16.5" customHeight="1">
      <c r="A77" s="875" t="s">
        <v>836</v>
      </c>
      <c r="B77" s="875"/>
      <c r="C77" s="875"/>
      <c r="D77" s="875"/>
      <c r="E77" s="875"/>
      <c r="F77" s="875"/>
      <c r="G77" s="875"/>
      <c r="H77" s="504"/>
      <c r="I77" s="504"/>
      <c r="J77" s="129"/>
      <c r="K77" s="129"/>
      <c r="L77" s="116"/>
      <c r="M77" s="482"/>
      <c r="N77" s="482"/>
    </row>
    <row r="78" spans="1:14" ht="16.5" customHeight="1">
      <c r="A78" s="875" t="s">
        <v>837</v>
      </c>
      <c r="B78" s="875"/>
      <c r="C78" s="875"/>
      <c r="D78" s="875"/>
      <c r="E78" s="875"/>
      <c r="F78" s="875"/>
      <c r="G78" s="875"/>
      <c r="H78" s="504"/>
      <c r="I78" s="504"/>
      <c r="J78" s="129"/>
      <c r="K78" s="129"/>
      <c r="L78" s="116"/>
      <c r="M78" s="482"/>
      <c r="N78" s="482"/>
    </row>
    <row r="79" spans="1:14" ht="21.75" customHeight="1">
      <c r="A79" s="1246" t="s">
        <v>862</v>
      </c>
      <c r="B79" s="1246"/>
      <c r="C79" s="1246"/>
      <c r="D79" s="1246"/>
      <c r="E79" s="1246"/>
      <c r="F79" s="1246"/>
      <c r="G79" s="1246"/>
      <c r="H79" s="1246"/>
      <c r="I79" s="885"/>
      <c r="J79" s="129"/>
      <c r="K79" s="129"/>
      <c r="L79" s="116"/>
      <c r="M79" s="883"/>
      <c r="N79" s="883"/>
    </row>
    <row r="80" spans="1:14" ht="16.5" customHeight="1">
      <c r="A80" s="890"/>
      <c r="B80" s="890"/>
      <c r="C80" s="890"/>
      <c r="D80" s="890"/>
      <c r="E80" s="890"/>
      <c r="F80" s="890"/>
      <c r="G80" s="890"/>
      <c r="H80" s="885"/>
      <c r="I80" s="885"/>
      <c r="J80" s="129"/>
      <c r="K80" s="129"/>
      <c r="L80" s="116"/>
      <c r="M80" s="883"/>
      <c r="N80" s="883"/>
    </row>
    <row r="81" spans="1:14" ht="15" customHeight="1">
      <c r="A81" s="1237" t="s">
        <v>684</v>
      </c>
      <c r="B81" s="1237"/>
      <c r="C81" s="1237"/>
      <c r="D81" s="1237"/>
      <c r="E81" s="1237"/>
      <c r="F81" s="1237"/>
      <c r="G81" s="1237"/>
      <c r="H81" s="1237"/>
      <c r="I81" s="1237"/>
      <c r="J81" s="500"/>
      <c r="K81" s="500"/>
      <c r="L81" s="116"/>
      <c r="M81" s="482"/>
      <c r="N81" s="482"/>
    </row>
    <row r="82" spans="1:14" s="870" customFormat="1" ht="51.75" customHeight="1">
      <c r="A82" s="1245" t="s">
        <v>1073</v>
      </c>
      <c r="B82" s="1245"/>
      <c r="C82" s="1245"/>
      <c r="D82" s="1245"/>
      <c r="E82" s="1245"/>
      <c r="F82" s="1245"/>
      <c r="G82" s="1245"/>
      <c r="H82" s="1245"/>
      <c r="I82" s="1245"/>
      <c r="J82" s="869"/>
      <c r="K82" s="869"/>
      <c r="L82" s="197"/>
      <c r="M82" s="1070"/>
      <c r="N82" s="1070"/>
    </row>
    <row r="83" spans="1:14" s="328" customFormat="1" ht="15" customHeight="1">
      <c r="A83" s="1247"/>
      <c r="B83" s="1247"/>
      <c r="C83" s="1247"/>
      <c r="D83" s="1247"/>
      <c r="E83" s="1247"/>
      <c r="F83" s="1247"/>
      <c r="G83" s="1247"/>
      <c r="H83" s="1247"/>
      <c r="I83" s="1247"/>
      <c r="J83" s="76"/>
      <c r="K83" s="76"/>
      <c r="L83" s="836"/>
      <c r="M83" s="76"/>
      <c r="N83" s="76"/>
    </row>
    <row r="84" spans="1:14" ht="15" customHeight="1">
      <c r="A84" s="482"/>
      <c r="B84" s="482"/>
      <c r="C84" s="482"/>
      <c r="D84" s="482"/>
      <c r="E84" s="482"/>
      <c r="F84" s="482"/>
      <c r="G84" s="482"/>
      <c r="H84" s="482"/>
      <c r="I84" s="482"/>
      <c r="J84" s="482"/>
      <c r="K84" s="482"/>
      <c r="L84" s="116"/>
      <c r="M84" s="482"/>
      <c r="N84" s="482"/>
    </row>
    <row r="85" spans="1:14" ht="15" customHeight="1">
      <c r="A85" s="482"/>
      <c r="B85" s="482"/>
      <c r="C85" s="482"/>
      <c r="D85" s="482"/>
      <c r="E85" s="482"/>
      <c r="F85" s="482"/>
      <c r="G85" s="482"/>
      <c r="H85" s="482"/>
      <c r="I85" s="482"/>
      <c r="J85" s="482"/>
      <c r="K85" s="482"/>
      <c r="L85" s="116"/>
      <c r="M85" s="482"/>
      <c r="N85" s="482"/>
    </row>
    <row r="86" spans="1:14" ht="15" customHeight="1">
      <c r="A86" s="505"/>
      <c r="B86" s="482"/>
      <c r="C86" s="482"/>
      <c r="D86" s="482"/>
      <c r="E86" s="482"/>
      <c r="F86" s="482"/>
      <c r="G86" s="482"/>
      <c r="H86" s="482"/>
      <c r="I86" s="482"/>
      <c r="J86" s="482"/>
      <c r="K86" s="482"/>
      <c r="L86" s="116"/>
      <c r="M86" s="482"/>
      <c r="N86" s="482"/>
    </row>
    <row r="87" spans="1:14" ht="15" customHeight="1">
      <c r="A87" s="482"/>
      <c r="B87" s="482"/>
      <c r="C87" s="482"/>
      <c r="D87" s="482"/>
      <c r="E87" s="482"/>
      <c r="F87" s="482"/>
      <c r="G87" s="482"/>
      <c r="H87" s="482"/>
      <c r="I87" s="482"/>
      <c r="J87" s="482"/>
      <c r="K87" s="482"/>
      <c r="L87" s="116"/>
      <c r="M87" s="482"/>
      <c r="N87" s="482"/>
    </row>
    <row r="88" spans="1:14" ht="15" customHeight="1">
      <c r="A88" s="482"/>
      <c r="B88" s="482"/>
      <c r="C88" s="482"/>
      <c r="D88" s="482"/>
      <c r="E88" s="482"/>
      <c r="F88" s="482"/>
      <c r="G88" s="482"/>
      <c r="H88" s="482"/>
      <c r="I88" s="482"/>
      <c r="J88" s="482"/>
      <c r="K88" s="482"/>
      <c r="L88" s="116"/>
      <c r="M88" s="482"/>
      <c r="N88" s="482"/>
    </row>
    <row r="89" spans="1:14" ht="15" customHeight="1">
      <c r="A89" s="482"/>
      <c r="B89" s="482"/>
      <c r="C89" s="482"/>
      <c r="D89" s="482"/>
      <c r="E89" s="482"/>
      <c r="F89" s="482"/>
      <c r="G89" s="482"/>
      <c r="H89" s="482"/>
      <c r="I89" s="482"/>
      <c r="J89" s="482"/>
      <c r="K89" s="482"/>
      <c r="L89" s="116"/>
      <c r="M89" s="482"/>
      <c r="N89" s="482"/>
    </row>
    <row r="90" spans="1:14" ht="15" customHeight="1">
      <c r="A90" s="482"/>
      <c r="B90" s="482"/>
      <c r="C90" s="482"/>
      <c r="D90" s="482"/>
      <c r="E90" s="482"/>
      <c r="F90" s="482"/>
      <c r="G90" s="482"/>
      <c r="H90" s="482"/>
      <c r="I90" s="482"/>
      <c r="J90" s="482"/>
      <c r="K90" s="482"/>
      <c r="L90" s="116"/>
      <c r="M90" s="482"/>
      <c r="N90" s="482"/>
    </row>
    <row r="91" spans="1:14" ht="15" customHeight="1">
      <c r="A91" s="482"/>
      <c r="B91" s="482"/>
      <c r="C91" s="482"/>
      <c r="D91" s="482"/>
      <c r="E91" s="482"/>
      <c r="F91" s="482"/>
      <c r="G91" s="482"/>
      <c r="H91" s="482"/>
      <c r="I91" s="482"/>
      <c r="J91" s="482"/>
      <c r="K91" s="482"/>
      <c r="L91" s="116"/>
      <c r="M91" s="482"/>
      <c r="N91" s="482"/>
    </row>
    <row r="92" spans="1:14" ht="15" customHeight="1">
      <c r="A92" s="482"/>
      <c r="B92" s="482"/>
      <c r="C92" s="482"/>
      <c r="D92" s="482"/>
      <c r="E92" s="482"/>
      <c r="F92" s="482"/>
      <c r="G92" s="482"/>
      <c r="H92" s="482"/>
      <c r="I92" s="482"/>
      <c r="J92" s="482"/>
      <c r="K92" s="482"/>
      <c r="L92" s="116"/>
      <c r="M92" s="482"/>
      <c r="N92" s="482"/>
    </row>
    <row r="93" spans="1:14" ht="15" customHeight="1">
      <c r="A93" s="482"/>
      <c r="B93" s="482"/>
      <c r="C93" s="482"/>
      <c r="D93" s="482"/>
      <c r="E93" s="482"/>
      <c r="F93" s="482"/>
      <c r="G93" s="482"/>
      <c r="H93" s="482"/>
      <c r="I93" s="482"/>
      <c r="J93" s="482"/>
      <c r="K93" s="482"/>
      <c r="L93" s="116"/>
      <c r="M93" s="482"/>
      <c r="N93" s="482"/>
    </row>
    <row r="94" spans="1:14" ht="15" customHeight="1">
      <c r="A94" s="482"/>
      <c r="B94" s="482"/>
      <c r="C94" s="482"/>
      <c r="D94" s="482"/>
      <c r="E94" s="482"/>
      <c r="F94" s="482"/>
      <c r="G94" s="482"/>
      <c r="H94" s="482"/>
      <c r="I94" s="482"/>
      <c r="J94" s="482"/>
      <c r="K94" s="482"/>
      <c r="L94" s="116"/>
      <c r="M94" s="482"/>
      <c r="N94" s="482"/>
    </row>
    <row r="95" spans="1:14" ht="15" customHeight="1">
      <c r="A95" s="482"/>
      <c r="B95" s="482"/>
      <c r="C95" s="482"/>
      <c r="D95" s="482"/>
      <c r="E95" s="482"/>
      <c r="F95" s="482"/>
      <c r="G95" s="482"/>
      <c r="H95" s="482"/>
      <c r="I95" s="482"/>
      <c r="J95" s="482"/>
      <c r="K95" s="482"/>
      <c r="L95" s="116"/>
      <c r="M95" s="482"/>
      <c r="N95" s="482"/>
    </row>
    <row r="96" spans="1:14" ht="15" customHeight="1">
      <c r="A96" s="482"/>
      <c r="B96" s="482"/>
      <c r="C96" s="482"/>
      <c r="D96" s="482"/>
      <c r="E96" s="482"/>
      <c r="F96" s="482"/>
      <c r="G96" s="482"/>
      <c r="H96" s="482"/>
      <c r="I96" s="482"/>
      <c r="J96" s="482"/>
      <c r="K96" s="482"/>
      <c r="L96" s="116"/>
      <c r="M96" s="482"/>
      <c r="N96" s="482"/>
    </row>
    <row r="97" spans="1:14">
      <c r="A97" s="482"/>
      <c r="B97" s="482"/>
      <c r="C97" s="482"/>
      <c r="D97" s="482"/>
      <c r="E97" s="482"/>
      <c r="F97" s="482"/>
      <c r="G97" s="482"/>
      <c r="H97" s="482"/>
      <c r="I97" s="482"/>
      <c r="J97" s="482"/>
      <c r="K97" s="482"/>
      <c r="L97" s="116"/>
      <c r="M97" s="482"/>
      <c r="N97" s="482"/>
    </row>
    <row r="98" spans="1:14">
      <c r="A98" s="482"/>
      <c r="B98" s="482"/>
      <c r="C98" s="482"/>
      <c r="D98" s="482"/>
      <c r="E98" s="482"/>
      <c r="F98" s="482"/>
      <c r="G98" s="482"/>
      <c r="H98" s="482"/>
      <c r="I98" s="482"/>
      <c r="J98" s="482"/>
      <c r="K98" s="482"/>
      <c r="L98" s="116"/>
      <c r="M98" s="482"/>
      <c r="N98" s="482"/>
    </row>
    <row r="99" spans="1:14">
      <c r="A99" s="482"/>
      <c r="B99" s="482"/>
      <c r="C99" s="482"/>
      <c r="D99" s="482"/>
      <c r="E99" s="482"/>
      <c r="F99" s="482"/>
      <c r="G99" s="482"/>
      <c r="H99" s="482"/>
      <c r="I99" s="482"/>
      <c r="J99" s="482"/>
      <c r="K99" s="482"/>
      <c r="L99" s="116"/>
      <c r="M99" s="482"/>
      <c r="N99" s="482"/>
    </row>
    <row r="100" spans="1:14">
      <c r="A100" s="482"/>
      <c r="B100" s="482"/>
      <c r="C100" s="482"/>
      <c r="D100" s="482"/>
      <c r="E100" s="482"/>
      <c r="F100" s="1244"/>
      <c r="G100" s="1244"/>
      <c r="H100" s="1244"/>
      <c r="I100" s="1244"/>
      <c r="J100" s="1244"/>
      <c r="K100" s="1244"/>
      <c r="L100" s="1244"/>
      <c r="M100" s="1244"/>
      <c r="N100" s="1244"/>
    </row>
  </sheetData>
  <mergeCells count="61">
    <mergeCell ref="A40:I40"/>
    <mergeCell ref="A51:I51"/>
    <mergeCell ref="A52:I52"/>
    <mergeCell ref="A41:I41"/>
    <mergeCell ref="A42:I42"/>
    <mergeCell ref="A43:I43"/>
    <mergeCell ref="A44:I44"/>
    <mergeCell ref="A45:I45"/>
    <mergeCell ref="A47:I47"/>
    <mergeCell ref="A48:I48"/>
    <mergeCell ref="J56:K56"/>
    <mergeCell ref="A83:I83"/>
    <mergeCell ref="J54:K54"/>
    <mergeCell ref="A55:I55"/>
    <mergeCell ref="J55:K55"/>
    <mergeCell ref="A54:I54"/>
    <mergeCell ref="A71:I71"/>
    <mergeCell ref="A60:I60"/>
    <mergeCell ref="A70:I70"/>
    <mergeCell ref="A65:I65"/>
    <mergeCell ref="A57:I57"/>
    <mergeCell ref="A58:I58"/>
    <mergeCell ref="A56:I56"/>
    <mergeCell ref="F100:N100"/>
    <mergeCell ref="A59:I59"/>
    <mergeCell ref="A73:I73"/>
    <mergeCell ref="A66:I66"/>
    <mergeCell ref="A61:I61"/>
    <mergeCell ref="A62:I62"/>
    <mergeCell ref="A63:I63"/>
    <mergeCell ref="J67:K67"/>
    <mergeCell ref="J61:K61"/>
    <mergeCell ref="J62:K62"/>
    <mergeCell ref="J59:K59"/>
    <mergeCell ref="A81:I81"/>
    <mergeCell ref="A82:I82"/>
    <mergeCell ref="J70:K70"/>
    <mergeCell ref="J63:K63"/>
    <mergeCell ref="A79:H79"/>
    <mergeCell ref="A11:I11"/>
    <mergeCell ref="A30:I30"/>
    <mergeCell ref="A33:I33"/>
    <mergeCell ref="A37:I37"/>
    <mergeCell ref="A12:I12"/>
    <mergeCell ref="A34:I34"/>
    <mergeCell ref="A38:I38"/>
    <mergeCell ref="J57:K57"/>
    <mergeCell ref="J58:K58"/>
    <mergeCell ref="A3:I3"/>
    <mergeCell ref="A39:I39"/>
    <mergeCell ref="A9:I9"/>
    <mergeCell ref="A8:I8"/>
    <mergeCell ref="A6:I6"/>
    <mergeCell ref="A7:I7"/>
    <mergeCell ref="A35:I35"/>
    <mergeCell ref="A36:I36"/>
    <mergeCell ref="A5:I5"/>
    <mergeCell ref="A13:I13"/>
    <mergeCell ref="A31:I31"/>
    <mergeCell ref="B22:J22"/>
    <mergeCell ref="A10:I10"/>
  </mergeCells>
  <hyperlinks>
    <hyperlink ref="D1" location="Indice!A1" display="Indice" xr:uid="{00000000-0004-0000-0700-000000000000}"/>
  </hyperlinks>
  <pageMargins left="0.70866141732283472" right="0.70866141732283472" top="0.74803149606299213" bottom="0.74803149606299213" header="0.31496062992125984" footer="0.31496062992125984"/>
  <pageSetup paperSize="5"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dimension ref="A1:G21"/>
  <sheetViews>
    <sheetView showGridLines="0" workbookViewId="0">
      <selection activeCell="C16" sqref="C16"/>
    </sheetView>
  </sheetViews>
  <sheetFormatPr baseColWidth="10" defaultColWidth="11.42578125" defaultRowHeight="12"/>
  <cols>
    <col min="1" max="1" width="48.7109375" style="522" customWidth="1"/>
    <col min="2" max="2" width="0.28515625" style="522" hidden="1" customWidth="1"/>
    <col min="3" max="3" width="15.5703125" style="522" customWidth="1"/>
    <col min="4" max="4" width="14.85546875" style="151" customWidth="1"/>
    <col min="5" max="5" width="11.42578125" style="522"/>
    <col min="6" max="6" width="14.28515625" style="522" bestFit="1" customWidth="1"/>
    <col min="7" max="7" width="13.28515625" style="522" bestFit="1" customWidth="1"/>
    <col min="8" max="16384" width="11.42578125" style="522"/>
  </cols>
  <sheetData>
    <row r="1" spans="1:6" ht="18" customHeight="1">
      <c r="A1" s="277" t="str">
        <f>Indice!C1</f>
        <v>NICOLAS GONZALEZ ODDONE S.A.E.C.A</v>
      </c>
      <c r="C1" s="922" t="s">
        <v>79</v>
      </c>
      <c r="D1" s="285"/>
      <c r="E1" s="104"/>
    </row>
    <row r="3" spans="1:6" ht="17.25" customHeight="1">
      <c r="A3" s="277" t="s">
        <v>273</v>
      </c>
      <c r="B3" s="277"/>
      <c r="C3" s="277"/>
      <c r="D3" s="276"/>
    </row>
    <row r="4" spans="1:6">
      <c r="A4" s="519" t="s">
        <v>171</v>
      </c>
    </row>
    <row r="5" spans="1:6">
      <c r="A5" s="543"/>
    </row>
    <row r="6" spans="1:6">
      <c r="A6" s="105" t="s">
        <v>2</v>
      </c>
    </row>
    <row r="7" spans="1:6">
      <c r="A7" s="105"/>
      <c r="C7" s="543"/>
    </row>
    <row r="8" spans="1:6" ht="12.75">
      <c r="A8" s="544" t="s">
        <v>337</v>
      </c>
      <c r="B8" s="545"/>
      <c r="C8" s="813">
        <v>44561</v>
      </c>
      <c r="D8" s="804">
        <v>44196</v>
      </c>
    </row>
    <row r="9" spans="1:6">
      <c r="A9" s="108"/>
      <c r="B9" s="107"/>
      <c r="C9" s="1037"/>
      <c r="D9" s="1137"/>
    </row>
    <row r="10" spans="1:6">
      <c r="A10" s="109" t="s">
        <v>648</v>
      </c>
      <c r="B10" s="107"/>
      <c r="C10" s="1038">
        <v>4190062351</v>
      </c>
      <c r="D10" s="1138">
        <v>5478369942</v>
      </c>
    </row>
    <row r="11" spans="1:6">
      <c r="A11" s="519" t="s">
        <v>318</v>
      </c>
      <c r="B11" s="109"/>
      <c r="C11" s="1038">
        <f>13500000+10000000+28000000+12000000+25000000+10000000+3000000</f>
        <v>101500000</v>
      </c>
      <c r="D11" s="1139">
        <f>13500000+10000000+24500000+12000000+25000000+10000000+3000000</f>
        <v>98000000</v>
      </c>
    </row>
    <row r="12" spans="1:6">
      <c r="A12" s="519" t="s">
        <v>649</v>
      </c>
      <c r="B12" s="109"/>
      <c r="C12" s="1038">
        <f>1000000+2400000+2000000+1000000</f>
        <v>6400000</v>
      </c>
      <c r="D12" s="1140">
        <f>1000000+2200000+2000000</f>
        <v>5200000</v>
      </c>
    </row>
    <row r="13" spans="1:6">
      <c r="A13" s="519"/>
      <c r="B13" s="109"/>
      <c r="C13" s="1039">
        <f>SUM(C10:C12)</f>
        <v>4297962351</v>
      </c>
      <c r="D13" s="1141">
        <f>SUM(D10:D12)</f>
        <v>5581569942</v>
      </c>
    </row>
    <row r="14" spans="1:6" ht="13.5">
      <c r="A14" s="519"/>
      <c r="B14" s="109"/>
      <c r="C14" s="1041"/>
      <c r="D14" s="1142"/>
      <c r="F14" s="116"/>
    </row>
    <row r="15" spans="1:6">
      <c r="A15" s="109" t="s">
        <v>319</v>
      </c>
      <c r="B15" s="109"/>
      <c r="C15" s="1042">
        <v>3744392505</v>
      </c>
      <c r="D15" s="1142">
        <v>5720172159</v>
      </c>
    </row>
    <row r="16" spans="1:6">
      <c r="A16" s="109" t="s">
        <v>323</v>
      </c>
      <c r="B16" s="109"/>
      <c r="C16" s="1042">
        <v>37032161355</v>
      </c>
      <c r="D16" s="1142">
        <v>16393961813</v>
      </c>
    </row>
    <row r="17" spans="1:7">
      <c r="A17" s="109" t="s">
        <v>706</v>
      </c>
      <c r="B17" s="109"/>
      <c r="C17" s="1042">
        <f>19052025325</f>
        <v>19052025325</v>
      </c>
      <c r="D17" s="1142">
        <f>37079192591+141891416</f>
        <v>37221084007</v>
      </c>
    </row>
    <row r="18" spans="1:7" hidden="1">
      <c r="A18" s="110" t="s">
        <v>322</v>
      </c>
      <c r="B18" s="109"/>
      <c r="C18" s="1042">
        <v>0</v>
      </c>
      <c r="D18" s="1142">
        <v>0</v>
      </c>
      <c r="G18" s="116"/>
    </row>
    <row r="19" spans="1:7">
      <c r="A19" s="110"/>
      <c r="B19" s="109"/>
      <c r="C19" s="1040">
        <f>SUM(C15:C18)</f>
        <v>59828579185</v>
      </c>
      <c r="D19" s="1141">
        <f>SUM(D15:D18)</f>
        <v>59335217979</v>
      </c>
      <c r="F19" s="116"/>
    </row>
    <row r="20" spans="1:7" ht="12.75" thickBot="1">
      <c r="A20" s="110" t="s">
        <v>333</v>
      </c>
      <c r="B20" s="110"/>
      <c r="C20" s="1043">
        <f>+C13+C19</f>
        <v>64126541536</v>
      </c>
      <c r="D20" s="1143">
        <f>+D13+D19</f>
        <v>64916787921</v>
      </c>
    </row>
    <row r="21" spans="1:7" ht="12.75" thickTop="1"/>
  </sheetData>
  <hyperlinks>
    <hyperlink ref="C1" location="BG!A1" display="BG" xr:uid="{D024C715-FD13-4A1A-9F6C-72E0BE722342}"/>
  </hyperlinks>
  <pageMargins left="0.70866141732283472" right="0.70866141732283472" top="0.74803149606299213" bottom="0.74803149606299213" header="0.31496062992125984" footer="0.31496062992125984"/>
  <pageSetup paperSize="5" scale="80"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x6Em7NWbxqxdaJR/N/TodXenaGydk03092/OcdzlFkk=</DigestValue>
    </Reference>
    <Reference Type="http://www.w3.org/2000/09/xmldsig#Object" URI="#idOfficeObject">
      <DigestMethod Algorithm="http://www.w3.org/2001/04/xmlenc#sha256"/>
      <DigestValue>lnsD55cWue3duva5/4q7nBcRPdu6EINmWDEfPmoj3IY=</DigestValue>
    </Reference>
    <Reference Type="http://uri.etsi.org/01903#SignedProperties" URI="#idSignedProperties">
      <Transforms>
        <Transform Algorithm="http://www.w3.org/TR/2001/REC-xml-c14n-20010315"/>
      </Transforms>
      <DigestMethod Algorithm="http://www.w3.org/2001/04/xmlenc#sha256"/>
      <DigestValue>C+lQPGzzU8j5rla8rln7bc1of6MQLz4PuSMBLDY6VR8=</DigestValue>
    </Reference>
    <Reference Type="http://www.w3.org/2000/09/xmldsig#Object" URI="#idValidSigLnImg">
      <DigestMethod Algorithm="http://www.w3.org/2001/04/xmlenc#sha256"/>
      <DigestValue>l3Qd1lSThEuX4iMHAw7jOhfEOXUdPj2Wd8vjn54uAdM=</DigestValue>
    </Reference>
    <Reference Type="http://www.w3.org/2000/09/xmldsig#Object" URI="#idInvalidSigLnImg">
      <DigestMethod Algorithm="http://www.w3.org/2001/04/xmlenc#sha256"/>
      <DigestValue>PmLnxiYlHL+PqpHxpc/PGQtMiqv06xFHoSuiJFSw47I=</DigestValue>
    </Reference>
  </SignedInfo>
  <SignatureValue>vc+RCAAvNSUKoys1vQjVscDVzjfj6jqyN4ym2RKSnuaVXwPQFUsqW5okWyamoQYvKJxLAnsX2fbk
BlxB5rFDWZxLkA/wenioZifTCUipVMYivTBk/SyFVOgc/xPNMCh+ATrfqC4QIWvQ934HjctpV3L0
XgebTG69H7KhjFrmno3f3D04tuCUBx/21Ao0jupRD/UmgC7BqUivPL+ss8FthwILrO4r1TdpSjg/
72tWvm38PKEONwY41eQZsXinlwz2NQg4ZhpnAm5MJpCEyFnQI8HoZ6TBzUPMG1rdhctwKfEOGgkm
t4EFhi4KcCr4zpCXlZISklxj5YIypirlUtK72Q==</SignatureValue>
  <KeyInfo>
    <X509Data>
      <X509Certificate>MIIIBjCCBe6gAwIBAgIIRmstTEo2V/owDQYJKoZIhvcNAQELBQAwWzEXMBUGA1UEBRMOUlVDIDgwMDUwMTcyLTExGjAYBgNVBAMTEUNBLURPQ1VNRU5UQSBTLkEuMRcwFQYDVQQKEw5ET0NVTUVOVEEgUy5BLjELMAkGA1UEBhMCUFkwHhcNMjEwNDI3MTM1MTI1WhcNMjMwNDI3MTQwMTI1WjCBozELMAkGA1UEBhMCUFkxFjAUBgNVBAQMDVZBTERFWiBPUlJFR08xEjAQBgNVBAUTCUNJMzY0MzYwNzEWMBQGA1UEKgwNTEFVUkEgQkVBVFJJWjEXMBUGA1UECgwOUEVSU09OQSBGSVNJQ0ExETAPBgNVBAsMCEZJUk1BIEYyMSQwIgYDVQQDDBtMQVVSQSBCRUFUUklaIFZBTERFWiBPUlJFR08wggEiMA0GCSqGSIb3DQEBAQUAA4IBDwAwggEKAoIBAQDUQnjerx0pplqZl4aEvy0sWxcuRhBq1uL5BhTpKeEWD3pj7dxg5hQLLG7gCWVmTM+tvHBJFZCP0WZO5YS6MV8PQNXPQezbOgHmD/OUP+zn48tE7YzIILd4u8uh86z2qaKR6ljIto4+uRDX+/B63hhyrkZ9NfDPKxS9IKAEdRfM4fNdeW8t/8INmuvYb1fURrHRQc3jwCF0tstRA71VBuYqlQCBPnMMfMFlMei6Em2SIhpPGp4/vRV2mkghP9BYxFQYZjQQpJfQqcyoceGLnVeyOKFMj9nW9InwTMmLWFVqgUdbVLHZHizcDKDv/3zBqGYKn7d/sOSLR4Bw5LBbt9iXAgMBAAGjggODMIIDfzAMBgNVHRMBAf8EAjAAMA4GA1UdDwEB/wQEAwIF4DAqBgNVHSUBAf8EIDAeBggrBgEFBQcDAQYIKwYBBQUHAwIGCCsGAQUFBwMEMB0GA1UdDgQWBBRVACGv/spMxUSo+SX4zCFl5KoOq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JwYDVR0RBCAwHoEcbGF1cmEudmFsZGV6QG5nb3NhZWN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W2JnL2I+iXp9VU1W99UNfcVKconpOVvvhk5OEEgAOueOyw1XadOObBqW8FneGJWl1qJ9ICXXhkM6xI4N2T6kuh19+E5mSAa5IA2seQjuYTWtnheT9WHZWYVmIy9ph2SK/O7taT7waQWQq38D4phfmH0doCr2y07xl43dy6yKt2PfWFfZM+zXxjvXTi+0xz9XPYI9/We62Ef3aUv2KYut0WGJrvfp6O8u+oaIP9qMAU5t1P/RH0Mn2Zm73COhMO5BtYDjeeVOUUd3GkSL3kHl+zvFsI8ygZGdPJjubB/1j1nsCg7XL0N379tBDt4V1J/AotJWW2aitwnemJaB7Qf5B2WokuiLi4Eop9f0pU8+ei7oaYEgF092bmyxNqGiWEv+4o1o7BRV4vCbhAQKRX/naX83EaTJ5hkbSTAC2svb0VgFkKJZLOc1nrLdcLQ7LgHTnxtMixhoOf24v07NxP8o2OEN0t8e/QnPfvKrFnPnXhWPT34yQrpjcPN6dcju4JHf3HEed/DKDWKSd+jiH1rJt1ATvwLGaoKeUPXLBXYJRpNnw6tutcWruFswTOzsPAgQXfrsPhPim1yYkCubvmuSNlvVXF043KxflJt4SHRzLD1k1HRpGSyAqw7xp2M2YOTWiwsKzqVA493aBphfVwYXlZ3+CWwuknLNZPONk6M/pL</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ZtJk50TYd00jzpk7aiXOMIhtlM2myglTVkUw2IgSrD4=</DigestValue>
      </Reference>
      <Reference URI="/xl/calcChain.xml?ContentType=application/vnd.openxmlformats-officedocument.spreadsheetml.calcChain+xml">
        <DigestMethod Algorithm="http://www.w3.org/2001/04/xmlenc#sha256"/>
        <DigestValue>6iVc7VvdgiZVzfgqvlcL6Iys4NSVSFuivwG7hu+B398=</DigestValue>
      </Reference>
      <Reference URI="/xl/comments1.xml?ContentType=application/vnd.openxmlformats-officedocument.spreadsheetml.comments+xml">
        <DigestMethod Algorithm="http://www.w3.org/2001/04/xmlenc#sha256"/>
        <DigestValue>tjgcN1PnLr/E2TwqCl1Ozx5F7ycBiGlzORWc/uRGtZM=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JzdKCmkMo2ToxdMCz/voGYM7XaXg/qcxeJh5Aw/jGGA=</DigestValue>
      </Reference>
      <Reference URI="/xl/drawings/drawing10.xml?ContentType=application/vnd.openxmlformats-officedocument.drawing+xml">
        <DigestMethod Algorithm="http://www.w3.org/2001/04/xmlenc#sha256"/>
        <DigestValue>qDVQ/fwe5bIjFM56q3ZwLOLFOHn+ABaw6sLZoxSslgY=</DigestValue>
      </Reference>
      <Reference URI="/xl/drawings/drawing11.xml?ContentType=application/vnd.openxmlformats-officedocument.drawing+xml">
        <DigestMethod Algorithm="http://www.w3.org/2001/04/xmlenc#sha256"/>
        <DigestValue>DXVJ9PeSLs0jNuMBBYxZEBtvlPAUzoS4yLRLo32dIrU=</DigestValue>
      </Reference>
      <Reference URI="/xl/drawings/drawing12.xml?ContentType=application/vnd.openxmlformats-officedocument.drawing+xml">
        <DigestMethod Algorithm="http://www.w3.org/2001/04/xmlenc#sha256"/>
        <DigestValue>k6ozyBZPACZg2x106qRBkZmVUiKL6LIpmj2hNQ43gvw=</DigestValue>
      </Reference>
      <Reference URI="/xl/drawings/drawing13.xml?ContentType=application/vnd.openxmlformats-officedocument.drawing+xml">
        <DigestMethod Algorithm="http://www.w3.org/2001/04/xmlenc#sha256"/>
        <DigestValue>ry3dVgS8l7AR/tvnhh//IHmd5RWQT3McjZsQNe24KmQ=</DigestValue>
      </Reference>
      <Reference URI="/xl/drawings/drawing14.xml?ContentType=application/vnd.openxmlformats-officedocument.drawing+xml">
        <DigestMethod Algorithm="http://www.w3.org/2001/04/xmlenc#sha256"/>
        <DigestValue>VovGI9Lf1UVwQtKtUNcu5T5/SmLwSZMVx+0VxPm/ShM=</DigestValue>
      </Reference>
      <Reference URI="/xl/drawings/drawing2.xml?ContentType=application/vnd.openxmlformats-officedocument.drawing+xml">
        <DigestMethod Algorithm="http://www.w3.org/2001/04/xmlenc#sha256"/>
        <DigestValue>6ue8XYqsuDloMlNrNegdf7DuZT53W9Ah7dHe3IT8d+Q=</DigestValue>
      </Reference>
      <Reference URI="/xl/drawings/drawing3.xml?ContentType=application/vnd.openxmlformats-officedocument.drawing+xml">
        <DigestMethod Algorithm="http://www.w3.org/2001/04/xmlenc#sha256"/>
        <DigestValue>5hbbM++O5HCedx5mACseqg8DowoFoVhSv4ALwxFYz4E=</DigestValue>
      </Reference>
      <Reference URI="/xl/drawings/drawing4.xml?ContentType=application/vnd.openxmlformats-officedocument.drawing+xml">
        <DigestMethod Algorithm="http://www.w3.org/2001/04/xmlenc#sha256"/>
        <DigestValue>0bPejsdRUOo8T8jaXd+F5tPhavw+EaBKts3EN2bqk1M=</DigestValue>
      </Reference>
      <Reference URI="/xl/drawings/drawing5.xml?ContentType=application/vnd.openxmlformats-officedocument.drawing+xml">
        <DigestMethod Algorithm="http://www.w3.org/2001/04/xmlenc#sha256"/>
        <DigestValue>HlE5CfT6b1PyUxuecXbwNWf7ognqGHvNut4LohpK8yw=</DigestValue>
      </Reference>
      <Reference URI="/xl/drawings/drawing6.xml?ContentType=application/vnd.openxmlformats-officedocument.drawing+xml">
        <DigestMethod Algorithm="http://www.w3.org/2001/04/xmlenc#sha256"/>
        <DigestValue>L7bnOi+wDlsu1TK3TM4DysYjDe8Zi6vEEhCMA1CzJQw=</DigestValue>
      </Reference>
      <Reference URI="/xl/drawings/drawing7.xml?ContentType=application/vnd.openxmlformats-officedocument.drawing+xml">
        <DigestMethod Algorithm="http://www.w3.org/2001/04/xmlenc#sha256"/>
        <DigestValue>WCiKfbSvZ7RtwBkZuMqbk5FyRMtCBhcL4vxjIXgtYHQ=</DigestValue>
      </Reference>
      <Reference URI="/xl/drawings/drawing8.xml?ContentType=application/vnd.openxmlformats-officedocument.drawing+xml">
        <DigestMethod Algorithm="http://www.w3.org/2001/04/xmlenc#sha256"/>
        <DigestValue>uV/CgBhrsqUNH2R0+JwlG5pVdjeanGij8Yqe5v0xp4o=</DigestValue>
      </Reference>
      <Reference URI="/xl/drawings/drawing9.xml?ContentType=application/vnd.openxmlformats-officedocument.drawing+xml">
        <DigestMethod Algorithm="http://www.w3.org/2001/04/xmlenc#sha256"/>
        <DigestValue>bfsmSGNj0IPvM8+oA6F+8ZItoyyBblYeRCmjopv2J+g=</DigestValue>
      </Reference>
      <Reference URI="/xl/drawings/vmlDrawing1.vml?ContentType=application/vnd.openxmlformats-officedocument.vmlDrawing">
        <DigestMethod Algorithm="http://www.w3.org/2001/04/xmlenc#sha256"/>
        <DigestValue>Fy9xhN7JHG2UJ+E2eyK61FdkmswTSaEwPUZot01mM+s=</DigestValue>
      </Reference>
      <Reference URI="/xl/drawings/vmlDrawing2.vml?ContentType=application/vnd.openxmlformats-officedocument.vmlDrawing">
        <DigestMethod Algorithm="http://www.w3.org/2001/04/xmlenc#sha256"/>
        <DigestValue>XwnrgvWecvoiS+aMGi+i0EXcjMCvF+fJkZLYyo6uZ+M=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WDW/dJo8kTac1J41t4ZP4gz4th9ZBIJQPDClEHkUFFc=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+R7NxD5zhBn5aofncKdxCqdAolIqBOXzcNMsp2hZQSs=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979ghTicUw6qn8F+Z890N5J2Wza44tTQ2UotoZMgCbY=</DigestValue>
      </Reference>
      <Reference URI="/xl/externalLinks/externalLink1.xml?ContentType=application/vnd.openxmlformats-officedocument.spreadsheetml.externalLink+xml">
        <DigestMethod Algorithm="http://www.w3.org/2001/04/xmlenc#sha256"/>
        <DigestValue>2wmy/CxbZq3BVXxML4D9HIZzxOyK6W2/hQ2rZcQxAHc=</DigestValue>
      </Reference>
      <Reference URI="/xl/externalLinks/externalLink2.xml?ContentType=application/vnd.openxmlformats-officedocument.spreadsheetml.externalLink+xml">
        <DigestMethod Algorithm="http://www.w3.org/2001/04/xmlenc#sha256"/>
        <DigestValue>XHkKy8S+ljkQCKXuOvp1pecl8km+h4lx3Nr3hJgARCc=</DigestValue>
      </Reference>
      <Reference URI="/xl/externalLinks/externalLink3.xml?ContentType=application/vnd.openxmlformats-officedocument.spreadsheetml.externalLink+xml">
        <DigestMethod Algorithm="http://www.w3.org/2001/04/xmlenc#sha256"/>
        <DigestValue>0NZW8VRLYnrOOFbEu+aESXRkXpCHDHLaKT4XdcCnFh8=</DigestValue>
      </Reference>
      <Reference URI="/xl/media/image1.png?ContentType=image/png">
        <DigestMethod Algorithm="http://www.w3.org/2001/04/xmlenc#sha256"/>
        <DigestValue>43LSy1HPyVx2ShQIUpryYDNUiyQ+wjnqi3XvaqIw1qg=</DigestValue>
      </Reference>
      <Reference URI="/xl/media/image2.emf?ContentType=image/x-emf">
        <DigestMethod Algorithm="http://www.w3.org/2001/04/xmlenc#sha256"/>
        <DigestValue>5Obdz9GbZGlGPcKbD7aA/Ft8704zQngmx1tlRo9gEjo=</DigestValue>
      </Reference>
      <Reference URI="/xl/media/image3.emf?ContentType=image/x-emf">
        <DigestMethod Algorithm="http://www.w3.org/2001/04/xmlenc#sha256"/>
        <DigestValue>u1vID3TG47pYUQvdVjARFId+bv0NnkpnbvlQHJmdXZg=</DigestValue>
      </Reference>
      <Reference URI="/xl/media/image4.emf?ContentType=image/x-emf">
        <DigestMethod Algorithm="http://www.w3.org/2001/04/xmlenc#sha256"/>
        <DigestValue>GEHNjIozlS9/AAXojU3kCVGnKCnlcd7SaOFImw5Xshg=</DigestValue>
      </Reference>
      <Reference URI="/xl/media/image5.emf?ContentType=image/x-emf">
        <DigestMethod Algorithm="http://www.w3.org/2001/04/xmlenc#sha256"/>
        <DigestValue>iY0q6DvU4QUxNyxLUY0HmK2jvM3RaGkFK/I7g4hAXP4=</DigestValue>
      </Reference>
      <Reference URI="/xl/printerSettings/printerSettings1.bin?ContentType=application/vnd.openxmlformats-officedocument.spreadsheetml.printerSettings">
        <DigestMethod Algorithm="http://www.w3.org/2001/04/xmlenc#sha256"/>
        <DigestValue>qNEmKqarWRHCv+mqq4C6kkjCp4U3PuMdIR9k1K0YpMI=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yZ4yHlbxCjCDs5Jv8YQUDOiOaT2knAfRuRqsDlwxOEU=</DigestValue>
      </Reference>
      <Reference URI="/xl/printerSettings/printerSettings12.bin?ContentType=application/vnd.openxmlformats-officedocument.spreadsheetml.printerSettings">
        <DigestMethod Algorithm="http://www.w3.org/2001/04/xmlenc#sha256"/>
        <DigestValue>rLvJjwQyY8FEC0UPEE2Z6yjAAmp2rbmLtG7iFKHF3u0=</DigestValue>
      </Reference>
      <Reference URI="/xl/printerSettings/printerSettings13.bin?ContentType=application/vnd.openxmlformats-officedocument.spreadsheetml.printerSettings">
        <DigestMethod Algorithm="http://www.w3.org/2001/04/xmlenc#sha256"/>
        <DigestValue>tVOuYuRrdzbo8LP45TcsSYVclOdSaPaGljr1PpHM/4g=</DigestValue>
      </Reference>
      <Reference URI="/xl/printerSettings/printerSettings14.bin?ContentType=application/vnd.openxmlformats-officedocument.spreadsheetml.printerSettings">
        <DigestMethod Algorithm="http://www.w3.org/2001/04/xmlenc#sha256"/>
        <DigestValue>gSCLmSSz2IwnwYf7hlhvLTpwMgSkeSx5HawccNttIW8=</DigestValue>
      </Reference>
      <Reference URI="/xl/printerSettings/printerSettings15.bin?ContentType=application/vnd.openxmlformats-officedocument.spreadsheetml.printerSettings">
        <DigestMethod Algorithm="http://www.w3.org/2001/04/xmlenc#sha256"/>
        <DigestValue>hn9N2FuhLED1G+oO9NyaIcvvOOi+Obt7ukBjap+G5yY=</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jcTCFnFuszqGQ3VJVxA3kRrqAETnLVZgctRQtcmDeOw=</DigestValue>
      </Reference>
      <Reference URI="/xl/printerSettings/printerSettings18.bin?ContentType=application/vnd.openxmlformats-officedocument.spreadsheetml.printerSettings">
        <DigestMethod Algorithm="http://www.w3.org/2001/04/xmlenc#sha256"/>
        <DigestValue>tVOuYuRrdzbo8LP45TcsSYVclOdSaPaGljr1PpHM/4g=</DigestValue>
      </Reference>
      <Reference URI="/xl/printerSettings/printerSettings19.bin?ContentType=application/vnd.openxmlformats-officedocument.spreadsheetml.printerSettings">
        <DigestMethod Algorithm="http://www.w3.org/2001/04/xmlenc#sha256"/>
        <DigestValue>lhqNU7rBRuoOJmmM9bzOZSyyB084+UHPE3b+4bG2W2E=</DigestValue>
      </Reference>
      <Reference URI="/xl/printerSettings/printerSettings2.bin?ContentType=application/vnd.openxmlformats-officedocument.spreadsheetml.printerSettings">
        <DigestMethod Algorithm="http://www.w3.org/2001/04/xmlenc#sha256"/>
        <DigestValue>tmp9vFFb6KR6IDrYUtlOXnJdZHDhMuM4DDcq7JPUxqg=</DigestValue>
      </Reference>
      <Reference URI="/xl/printerSettings/printerSettings20.bin?ContentType=application/vnd.openxmlformats-officedocument.spreadsheetml.printerSettings">
        <DigestMethod Algorithm="http://www.w3.org/2001/04/xmlenc#sha256"/>
        <DigestValue>hn9N2FuhLED1G+oO9NyaIcvvOOi+Obt7ukBjap+G5yY=</DigestValue>
      </Reference>
      <Reference URI="/xl/printerSettings/printerSettings21.bin?ContentType=application/vnd.openxmlformats-officedocument.spreadsheetml.printerSettings">
        <DigestMethod Algorithm="http://www.w3.org/2001/04/xmlenc#sha256"/>
        <DigestValue>gSCLmSSz2IwnwYf7hlhvLTpwMgSkeSx5HawccNttIW8=</DigestValue>
      </Reference>
      <Reference URI="/xl/printerSettings/printerSettings22.bin?ContentType=application/vnd.openxmlformats-officedocument.spreadsheetml.printerSettings">
        <DigestMethod Algorithm="http://www.w3.org/2001/04/xmlenc#sha256"/>
        <DigestValue>hWb1B6M2JqB21uPuQ11dDDUr1P2XGR2yAKMvJJdSeaM=</DigestValue>
      </Reference>
      <Reference URI="/xl/printerSettings/printerSettings23.bin?ContentType=application/vnd.openxmlformats-officedocument.spreadsheetml.printerSettings">
        <DigestMethod Algorithm="http://www.w3.org/2001/04/xmlenc#sha256"/>
        <DigestValue>hWb1B6M2JqB21uPuQ11dDDUr1P2XGR2yAKMvJJdSeaM=</DigestValue>
      </Reference>
      <Reference URI="/xl/printerSettings/printerSettings24.bin?ContentType=application/vnd.openxmlformats-officedocument.spreadsheetml.printerSettings">
        <DigestMethod Algorithm="http://www.w3.org/2001/04/xmlenc#sha256"/>
        <DigestValue>hWb1B6M2JqB21uPuQ11dDDUr1P2XGR2yAKMvJJdSeaM=</DigestValue>
      </Reference>
      <Reference URI="/xl/printerSettings/printerSettings25.bin?ContentType=application/vnd.openxmlformats-officedocument.spreadsheetml.printerSettings">
        <DigestMethod Algorithm="http://www.w3.org/2001/04/xmlenc#sha256"/>
        <DigestValue>5ySqG0l/g4lxIKLRnZuLPfYau5oa3Xj516ideRw77nk=</DigestValue>
      </Reference>
      <Reference URI="/xl/printerSettings/printerSettings26.bin?ContentType=application/vnd.openxmlformats-officedocument.spreadsheetml.printerSettings">
        <DigestMethod Algorithm="http://www.w3.org/2001/04/xmlenc#sha256"/>
        <DigestValue>gSCLmSSz2IwnwYf7hlhvLTpwMgSkeSx5HawccNttIW8=</DigestValue>
      </Reference>
      <Reference URI="/xl/printerSettings/printerSettings27.bin?ContentType=application/vnd.openxmlformats-officedocument.spreadsheetml.printerSettings">
        <DigestMethod Algorithm="http://www.w3.org/2001/04/xmlenc#sha256"/>
        <DigestValue>tVOuYuRrdzbo8LP45TcsSYVclOdSaPaGljr1PpHM/4g=</DigestValue>
      </Reference>
      <Reference URI="/xl/printerSettings/printerSettings28.bin?ContentType=application/vnd.openxmlformats-officedocument.spreadsheetml.printerSettings">
        <DigestMethod Algorithm="http://www.w3.org/2001/04/xmlenc#sha256"/>
        <DigestValue>LSiITxrD7IuZ1HT4GSw2sYS1fAFoal4gClXdWMX9a+E=</DigestValue>
      </Reference>
      <Reference URI="/xl/printerSettings/printerSettings29.bin?ContentType=application/vnd.openxmlformats-officedocument.spreadsheetml.printerSettings">
        <DigestMethod Algorithm="http://www.w3.org/2001/04/xmlenc#sha256"/>
        <DigestValue>gSCLmSSz2IwnwYf7hlhvLTpwMgSkeSx5HawccNttIW8=</DigestValue>
      </Reference>
      <Reference URI="/xl/printerSettings/printerSettings3.bin?ContentType=application/vnd.openxmlformats-officedocument.spreadsheetml.printerSettings">
        <DigestMethod Algorithm="http://www.w3.org/2001/04/xmlenc#sha256"/>
        <DigestValue>R3DQph+Tu0rRd20oYzZK61+ZdjsmTdH7fFtXaqKgyaQ=</DigestValue>
      </Reference>
      <Reference URI="/xl/printerSettings/printerSettings30.bin?ContentType=application/vnd.openxmlformats-officedocument.spreadsheetml.printerSettings">
        <DigestMethod Algorithm="http://www.w3.org/2001/04/xmlenc#sha256"/>
        <DigestValue>N463sb7HqCoPUT5eIqWMR2Jm5dqh14E/BxEIrKEWUYc=</DigestValue>
      </Reference>
      <Reference URI="/xl/printerSettings/printerSettings31.bin?ContentType=application/vnd.openxmlformats-officedocument.spreadsheetml.printerSettings">
        <DigestMethod Algorithm="http://www.w3.org/2001/04/xmlenc#sha256"/>
        <DigestValue>hWb1B6M2JqB21uPuQ11dDDUr1P2XGR2yAKMvJJdSeaM=</DigestValue>
      </Reference>
      <Reference URI="/xl/printerSettings/printerSettings32.bin?ContentType=application/vnd.openxmlformats-officedocument.spreadsheetml.printerSettings">
        <DigestMethod Algorithm="http://www.w3.org/2001/04/xmlenc#sha256"/>
        <DigestValue>CPmghBcq8M3AOC7OD9E4RGQCJ4N82avzjW2vuKZebXA=</DigestValue>
      </Reference>
      <Reference URI="/xl/printerSettings/printerSettings33.bin?ContentType=application/vnd.openxmlformats-officedocument.spreadsheetml.printerSettings">
        <DigestMethod Algorithm="http://www.w3.org/2001/04/xmlenc#sha256"/>
        <DigestValue>N463sb7HqCoPUT5eIqWMR2Jm5dqh14E/BxEIrKEWUYc=</DigestValue>
      </Reference>
      <Reference URI="/xl/printerSettings/printerSettings34.bin?ContentType=application/vnd.openxmlformats-officedocument.spreadsheetml.printerSettings">
        <DigestMethod Algorithm="http://www.w3.org/2001/04/xmlenc#sha256"/>
        <DigestValue>CPmghBcq8M3AOC7OD9E4RGQCJ4N82avzjW2vuKZebXA=</DigestValue>
      </Reference>
      <Reference URI="/xl/printerSettings/printerSettings35.bin?ContentType=application/vnd.openxmlformats-officedocument.spreadsheetml.printerSettings">
        <DigestMethod Algorithm="http://www.w3.org/2001/04/xmlenc#sha256"/>
        <DigestValue>CPmghBcq8M3AOC7OD9E4RGQCJ4N82avzjW2vuKZebXA=</DigestValue>
      </Reference>
      <Reference URI="/xl/printerSettings/printerSettings36.bin?ContentType=application/vnd.openxmlformats-officedocument.spreadsheetml.printerSettings">
        <DigestMethod Algorithm="http://www.w3.org/2001/04/xmlenc#sha256"/>
        <DigestValue>gSCLmSSz2IwnwYf7hlhvLTpwMgSkeSx5HawccNttIW8=</DigestValue>
      </Reference>
      <Reference URI="/xl/printerSettings/printerSettings4.bin?ContentType=application/vnd.openxmlformats-officedocument.spreadsheetml.printerSettings">
        <DigestMethod Algorithm="http://www.w3.org/2001/04/xmlenc#sha256"/>
        <DigestValue>z8zxuxVMTHzBCmzzd3MCNRyDg3ReBJFpy6jXe93BaVk=</DigestValue>
      </Reference>
      <Reference URI="/xl/printerSettings/printerSettings5.bin?ContentType=application/vnd.openxmlformats-officedocument.spreadsheetml.printerSettings">
        <DigestMethod Algorithm="http://www.w3.org/2001/04/xmlenc#sha256"/>
        <DigestValue>eK1Jbu61tm9xhuScqk4isB+tvbvT6Cye+mAgWcxsn0E=</DigestValue>
      </Reference>
      <Reference URI="/xl/printerSettings/printerSettings6.bin?ContentType=application/vnd.openxmlformats-officedocument.spreadsheetml.printerSettings">
        <DigestMethod Algorithm="http://www.w3.org/2001/04/xmlenc#sha256"/>
        <DigestValue>+Bwq0awAqgkYPTPvVFvk9FkHxHSokQ9ZeD47Qw61Mw4=</DigestValue>
      </Reference>
      <Reference URI="/xl/printerSettings/printerSettings7.bin?ContentType=application/vnd.openxmlformats-officedocument.spreadsheetml.printerSettings">
        <DigestMethod Algorithm="http://www.w3.org/2001/04/xmlenc#sha256"/>
        <DigestValue>pzHCxJZJqV8QN3TxJNQIsgGd/jmH7l/G8/3LR3ZSRLA=</DigestValue>
      </Reference>
      <Reference URI="/xl/printerSettings/printerSettings8.bin?ContentType=application/vnd.openxmlformats-officedocument.spreadsheetml.printerSettings">
        <DigestMethod Algorithm="http://www.w3.org/2001/04/xmlenc#sha256"/>
        <DigestValue>pPIqYH+fFmPXe5Ug7lS+e4DQjEUlNECZSuBR07rm0ls=</DigestValue>
      </Reference>
      <Reference URI="/xl/printerSettings/printerSettings9.bin?ContentType=application/vnd.openxmlformats-officedocument.spreadsheetml.printerSettings">
        <DigestMethod Algorithm="http://www.w3.org/2001/04/xmlenc#sha256"/>
        <DigestValue>R8hhUo7IOeKH+vJW5iaHwtd4Ijyclq+7Fr0GyBVHSAM=</DigestValue>
      </Reference>
      <Reference URI="/xl/sharedStrings.xml?ContentType=application/vnd.openxmlformats-officedocument.spreadsheetml.sharedStrings+xml">
        <DigestMethod Algorithm="http://www.w3.org/2001/04/xmlenc#sha256"/>
        <DigestValue>mf5S0uGNi4YD0AycM5ymulDsp6hNyLUmyi1LKvjn+Vs=</DigestValue>
      </Reference>
      <Reference URI="/xl/styles.xml?ContentType=application/vnd.openxmlformats-officedocument.spreadsheetml.styles+xml">
        <DigestMethod Algorithm="http://www.w3.org/2001/04/xmlenc#sha256"/>
        <DigestValue>0B5HJmQH8BySTX8jfWSDbTlAFMKkT3TYmhjhUxMrFpE=</DigestValue>
      </Reference>
      <Reference URI="/xl/theme/theme1.xml?ContentType=application/vnd.openxmlformats-officedocument.theme+xml">
        <DigestMethod Algorithm="http://www.w3.org/2001/04/xmlenc#sha256"/>
        <DigestValue>0od3cWFb7H/9sr1fB3xS8N4PVwSWcnr1ynQI1Jvf//w=</DigestValue>
      </Reference>
      <Reference URI="/xl/vbaProject.bin?ContentType=application/vnd.ms-office.vbaProject">
        <DigestMethod Algorithm="http://www.w3.org/2001/04/xmlenc#sha256"/>
        <DigestValue>Ugkdc5vERsAj17qbwm6u4B5HxbD/jHLmRU3qPIjuwWs=</DigestValue>
      </Reference>
      <Reference URI="/xl/workbook.xml?ContentType=application/vnd.ms-excel.sheet.macroEnabled.main+xml">
        <DigestMethod Algorithm="http://www.w3.org/2001/04/xmlenc#sha256"/>
        <DigestValue>pdNCCy8Dv3Cl5XO7WdcC9UGcHjSb/wzbKPtfp/MhxKY=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ZOZ+2y8KlgARq7v4vsPrD4nIDV4Rqtubx7lLXn+BYVI=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irs/Pu/FzvxUJmFujRUwEQEL1S0ghz68+kVFgf3MIs8=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PbUdHje5Rm4GZ320WvgMLxFTLTux96INn5iRrc345z8=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nVdaLnoajam51TGOlrmRni4djWEIQqg4ElzK7Qozmjg=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M016SzmpgA7bxaBlIvmh058sE1YDfgyvGtEPMbbinCg=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vINZVdYTnWsUzrikN2wX9VfapVvCbw5lEyJ+0po6FDw=</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XwJZYY99dAXpkNEkW01EqdGE1Z5ZxXEDfiNCivp30bQ=</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LJzkrrd6qHGW0kUjDOxrgCU7PL6g4ZPjrLWOA4g4obw=</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KbvbancbHx1hfgskjRa1DqufahSTF05M4TT8Sic+0DQ=</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U56pkPjCa7VxeOoxkcTwEPh3eF+ehkIGXaZ1+PNmvuI=</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ufUJ52jf2v/jbYx4/iBFUgbBJWA+JjRnyZ4GvN2fArE=</DigestValue>
      </Reference>
      <Reference URI="/xl/worksheets/sheet10.xml?ContentType=application/vnd.openxmlformats-officedocument.spreadsheetml.worksheet+xml">
        <DigestMethod Algorithm="http://www.w3.org/2001/04/xmlenc#sha256"/>
        <DigestValue>g9ZCdnLgtukhYsRAKz4yHL6CrzmF4ljpjfS0GvBwqF8=</DigestValue>
      </Reference>
      <Reference URI="/xl/worksheets/sheet11.xml?ContentType=application/vnd.openxmlformats-officedocument.spreadsheetml.worksheet+xml">
        <DigestMethod Algorithm="http://www.w3.org/2001/04/xmlenc#sha256"/>
        <DigestValue>JTzpzZmaavhfYEq+/+Uxkzx43Ch4WDyoi8ShPBiXt4Q=</DigestValue>
      </Reference>
      <Reference URI="/xl/worksheets/sheet12.xml?ContentType=application/vnd.openxmlformats-officedocument.spreadsheetml.worksheet+xml">
        <DigestMethod Algorithm="http://www.w3.org/2001/04/xmlenc#sha256"/>
        <DigestValue>6Jg0t2Ljw1ZYa2mDqFJGPTsccM2XBrmCW+imV37uyyc=</DigestValue>
      </Reference>
      <Reference URI="/xl/worksheets/sheet13.xml?ContentType=application/vnd.openxmlformats-officedocument.spreadsheetml.worksheet+xml">
        <DigestMethod Algorithm="http://www.w3.org/2001/04/xmlenc#sha256"/>
        <DigestValue>m4uomHKv1bv0mryts9SUEf7i4FV7Id628bxeVQthFvo=</DigestValue>
      </Reference>
      <Reference URI="/xl/worksheets/sheet14.xml?ContentType=application/vnd.openxmlformats-officedocument.spreadsheetml.worksheet+xml">
        <DigestMethod Algorithm="http://www.w3.org/2001/04/xmlenc#sha256"/>
        <DigestValue>hHYBSxvFNkzLawsE2xmmwU7DVchqEleDw8HY9m6s1D4=</DigestValue>
      </Reference>
      <Reference URI="/xl/worksheets/sheet15.xml?ContentType=application/vnd.openxmlformats-officedocument.spreadsheetml.worksheet+xml">
        <DigestMethod Algorithm="http://www.w3.org/2001/04/xmlenc#sha256"/>
        <DigestValue>giH0BqYANY2QzNa15BqFX3qH028b9skM2/xlwVxeEXo=</DigestValue>
      </Reference>
      <Reference URI="/xl/worksheets/sheet16.xml?ContentType=application/vnd.openxmlformats-officedocument.spreadsheetml.worksheet+xml">
        <DigestMethod Algorithm="http://www.w3.org/2001/04/xmlenc#sha256"/>
        <DigestValue>/rbFLkmezb8CXzEG4aWtZdmXtoJ4coNAUrM7DGaSCI8=</DigestValue>
      </Reference>
      <Reference URI="/xl/worksheets/sheet17.xml?ContentType=application/vnd.openxmlformats-officedocument.spreadsheetml.worksheet+xml">
        <DigestMethod Algorithm="http://www.w3.org/2001/04/xmlenc#sha256"/>
        <DigestValue>d7Ofs5kPQT9bNBFtGooyVvmG5qA4CKLNuNsphO6qX98=</DigestValue>
      </Reference>
      <Reference URI="/xl/worksheets/sheet18.xml?ContentType=application/vnd.openxmlformats-officedocument.spreadsheetml.worksheet+xml">
        <DigestMethod Algorithm="http://www.w3.org/2001/04/xmlenc#sha256"/>
        <DigestValue>ziQJpzxeZYI2A/huKzPVe/VQ9pM5pxe9pSBBpn8vZws=</DigestValue>
      </Reference>
      <Reference URI="/xl/worksheets/sheet19.xml?ContentType=application/vnd.openxmlformats-officedocument.spreadsheetml.worksheet+xml">
        <DigestMethod Algorithm="http://www.w3.org/2001/04/xmlenc#sha256"/>
        <DigestValue>eyBEKp7YV7edK5ko75fQ0i5oFglqHeRyUJvB78L+Czo=</DigestValue>
      </Reference>
      <Reference URI="/xl/worksheets/sheet2.xml?ContentType=application/vnd.openxmlformats-officedocument.spreadsheetml.worksheet+xml">
        <DigestMethod Algorithm="http://www.w3.org/2001/04/xmlenc#sha256"/>
        <DigestValue>SkZ0ENERBKI8t6U0r7FnY4kfxCsU9laM7f/kdFs9d7s=</DigestValue>
      </Reference>
      <Reference URI="/xl/worksheets/sheet20.xml?ContentType=application/vnd.openxmlformats-officedocument.spreadsheetml.worksheet+xml">
        <DigestMethod Algorithm="http://www.w3.org/2001/04/xmlenc#sha256"/>
        <DigestValue>ksJSLwyiETQ69icqFLAXTM7R7WZ8MXYEez+FpPl/Oi4=</DigestValue>
      </Reference>
      <Reference URI="/xl/worksheets/sheet21.xml?ContentType=application/vnd.openxmlformats-officedocument.spreadsheetml.worksheet+xml">
        <DigestMethod Algorithm="http://www.w3.org/2001/04/xmlenc#sha256"/>
        <DigestValue>fiGpVzvjVDkYh85f9Ioo2GuTGMHbXWlBS60cJVyazqk=</DigestValue>
      </Reference>
      <Reference URI="/xl/worksheets/sheet22.xml?ContentType=application/vnd.openxmlformats-officedocument.spreadsheetml.worksheet+xml">
        <DigestMethod Algorithm="http://www.w3.org/2001/04/xmlenc#sha256"/>
        <DigestValue>ToeWWQn4+mR4XlkKw1/p0pb3iTD2ExMBaCPMrzI81yM=</DigestValue>
      </Reference>
      <Reference URI="/xl/worksheets/sheet23.xml?ContentType=application/vnd.openxmlformats-officedocument.spreadsheetml.worksheet+xml">
        <DigestMethod Algorithm="http://www.w3.org/2001/04/xmlenc#sha256"/>
        <DigestValue>Pait2oUQ0dPFCFSl48y8e6slINypOKSYfqyes2HOTOU=</DigestValue>
      </Reference>
      <Reference URI="/xl/worksheets/sheet24.xml?ContentType=application/vnd.openxmlformats-officedocument.spreadsheetml.worksheet+xml">
        <DigestMethod Algorithm="http://www.w3.org/2001/04/xmlenc#sha256"/>
        <DigestValue>xra0weMYbE/24YmHwqJNG2URAS1l7JfimJXHUdy4rPs=</DigestValue>
      </Reference>
      <Reference URI="/xl/worksheets/sheet25.xml?ContentType=application/vnd.openxmlformats-officedocument.spreadsheetml.worksheet+xml">
        <DigestMethod Algorithm="http://www.w3.org/2001/04/xmlenc#sha256"/>
        <DigestValue>giDXlF7oRf0tDXb5T1xjBTHzYc+dy95vZSnGEtuvOmU=</DigestValue>
      </Reference>
      <Reference URI="/xl/worksheets/sheet26.xml?ContentType=application/vnd.openxmlformats-officedocument.spreadsheetml.worksheet+xml">
        <DigestMethod Algorithm="http://www.w3.org/2001/04/xmlenc#sha256"/>
        <DigestValue>dc5bMymStWhuoiHBeiJGgHUAaAbBjW3fHtsjq1ldECQ=</DigestValue>
      </Reference>
      <Reference URI="/xl/worksheets/sheet27.xml?ContentType=application/vnd.openxmlformats-officedocument.spreadsheetml.worksheet+xml">
        <DigestMethod Algorithm="http://www.w3.org/2001/04/xmlenc#sha256"/>
        <DigestValue>MN4cVZcLu1b7Jcju9V5Ns9XQF9Pa2G8VDMc2Q/GI1OY=</DigestValue>
      </Reference>
      <Reference URI="/xl/worksheets/sheet28.xml?ContentType=application/vnd.openxmlformats-officedocument.spreadsheetml.worksheet+xml">
        <DigestMethod Algorithm="http://www.w3.org/2001/04/xmlenc#sha256"/>
        <DigestValue>Y94IqKl5ACHidT54OjHMqDJQVKErw2gLUDeGUHqXdD8=</DigestValue>
      </Reference>
      <Reference URI="/xl/worksheets/sheet29.xml?ContentType=application/vnd.openxmlformats-officedocument.spreadsheetml.worksheet+xml">
        <DigestMethod Algorithm="http://www.w3.org/2001/04/xmlenc#sha256"/>
        <DigestValue>6b/I8+tp+QMfEyPB9pX8g+AV4I3ZRZZfR1SJND4XxL4=</DigestValue>
      </Reference>
      <Reference URI="/xl/worksheets/sheet3.xml?ContentType=application/vnd.openxmlformats-officedocument.spreadsheetml.worksheet+xml">
        <DigestMethod Algorithm="http://www.w3.org/2001/04/xmlenc#sha256"/>
        <DigestValue>GBJFI7gy0fPrv8Ev4gYhzLod/QV3lmTT+hmuFOjnU9E=</DigestValue>
      </Reference>
      <Reference URI="/xl/worksheets/sheet30.xml?ContentType=application/vnd.openxmlformats-officedocument.spreadsheetml.worksheet+xml">
        <DigestMethod Algorithm="http://www.w3.org/2001/04/xmlenc#sha256"/>
        <DigestValue>idpvOHZ9fdmR0E8U7h5sSwypyJ5wLuGNsniSblMYIjM=</DigestValue>
      </Reference>
      <Reference URI="/xl/worksheets/sheet31.xml?ContentType=application/vnd.openxmlformats-officedocument.spreadsheetml.worksheet+xml">
        <DigestMethod Algorithm="http://www.w3.org/2001/04/xmlenc#sha256"/>
        <DigestValue>Jd53D8690gdyxzL9pvjG7WtC+gmWcyTtIscpjTna1y4=</DigestValue>
      </Reference>
      <Reference URI="/xl/worksheets/sheet32.xml?ContentType=application/vnd.openxmlformats-officedocument.spreadsheetml.worksheet+xml">
        <DigestMethod Algorithm="http://www.w3.org/2001/04/xmlenc#sha256"/>
        <DigestValue>okm3L8/zd5Iy82viC9qGiQvlpMtYbh/2vxwTiIyhdVQ=</DigestValue>
      </Reference>
      <Reference URI="/xl/worksheets/sheet33.xml?ContentType=application/vnd.openxmlformats-officedocument.spreadsheetml.worksheet+xml">
        <DigestMethod Algorithm="http://www.w3.org/2001/04/xmlenc#sha256"/>
        <DigestValue>xCOlIOKYxbAqwHOt73DQ0QXFh+vXZKKL2y1r1NFNZVs=</DigestValue>
      </Reference>
      <Reference URI="/xl/worksheets/sheet34.xml?ContentType=application/vnd.openxmlformats-officedocument.spreadsheetml.worksheet+xml">
        <DigestMethod Algorithm="http://www.w3.org/2001/04/xmlenc#sha256"/>
        <DigestValue>aPpKPZ0zM2/owH/ZV1C3pUEcA8jJ10a9Lzagd6tfDI4=</DigestValue>
      </Reference>
      <Reference URI="/xl/worksheets/sheet35.xml?ContentType=application/vnd.openxmlformats-officedocument.spreadsheetml.worksheet+xml">
        <DigestMethod Algorithm="http://www.w3.org/2001/04/xmlenc#sha256"/>
        <DigestValue>roJFBL3JIvZ01mHmvwzQGMbCRfXCbfk0naw0JCeYJos=</DigestValue>
      </Reference>
      <Reference URI="/xl/worksheets/sheet36.xml?ContentType=application/vnd.openxmlformats-officedocument.spreadsheetml.worksheet+xml">
        <DigestMethod Algorithm="http://www.w3.org/2001/04/xmlenc#sha256"/>
        <DigestValue>m5TNGJ/l0NhJQcaxQR0m31glUaRF0Gg6BTo0nysK3DM=</DigestValue>
      </Reference>
      <Reference URI="/xl/worksheets/sheet37.xml?ContentType=application/vnd.openxmlformats-officedocument.spreadsheetml.worksheet+xml">
        <DigestMethod Algorithm="http://www.w3.org/2001/04/xmlenc#sha256"/>
        <DigestValue>Vb4Usx0AQyhTwM8eOsNZUKQXtqnQ2hPmncOgVjseUW8=</DigestValue>
      </Reference>
      <Reference URI="/xl/worksheets/sheet38.xml?ContentType=application/vnd.openxmlformats-officedocument.spreadsheetml.worksheet+xml">
        <DigestMethod Algorithm="http://www.w3.org/2001/04/xmlenc#sha256"/>
        <DigestValue>6M4y75V9dHD7ET90RNCNCrgXy+Pi2lgz+cwEdRQPIpI=</DigestValue>
      </Reference>
      <Reference URI="/xl/worksheets/sheet39.xml?ContentType=application/vnd.openxmlformats-officedocument.spreadsheetml.worksheet+xml">
        <DigestMethod Algorithm="http://www.w3.org/2001/04/xmlenc#sha256"/>
        <DigestValue>HtG9QR+VtdRay2SH0SQlEFJlM4Ra8/0GPNoaIZUR9dw=</DigestValue>
      </Reference>
      <Reference URI="/xl/worksheets/sheet4.xml?ContentType=application/vnd.openxmlformats-officedocument.spreadsheetml.worksheet+xml">
        <DigestMethod Algorithm="http://www.w3.org/2001/04/xmlenc#sha256"/>
        <DigestValue>14U02jNcGUANKmVLGAseeWtobTyrppxbUk/6fDj9ZSg=</DigestValue>
      </Reference>
      <Reference URI="/xl/worksheets/sheet40.xml?ContentType=application/vnd.openxmlformats-officedocument.spreadsheetml.worksheet+xml">
        <DigestMethod Algorithm="http://www.w3.org/2001/04/xmlenc#sha256"/>
        <DigestValue>VwA6L4n4T+BBLsxgnpV3zx0HNW8GYeWPCBj6czDom9w=</DigestValue>
      </Reference>
      <Reference URI="/xl/worksheets/sheet41.xml?ContentType=application/vnd.openxmlformats-officedocument.spreadsheetml.worksheet+xml">
        <DigestMethod Algorithm="http://www.w3.org/2001/04/xmlenc#sha256"/>
        <DigestValue>/fGkRt/dsNg5IpmpsB+1kNKT+jrXWAoo9bFOyr2nJig=</DigestValue>
      </Reference>
      <Reference URI="/xl/worksheets/sheet42.xml?ContentType=application/vnd.openxmlformats-officedocument.spreadsheetml.worksheet+xml">
        <DigestMethod Algorithm="http://www.w3.org/2001/04/xmlenc#sha256"/>
        <DigestValue>e8qy2PJpf7PvfCh1pMP8RgH9v9Ux9W6fYlZxkO/Qs+o=</DigestValue>
      </Reference>
      <Reference URI="/xl/worksheets/sheet43.xml?ContentType=application/vnd.openxmlformats-officedocument.spreadsheetml.worksheet+xml">
        <DigestMethod Algorithm="http://www.w3.org/2001/04/xmlenc#sha256"/>
        <DigestValue>cg6ez5VhMn2fwKwA4CFbfWFgLYdRLUBz2JRoMe7pM9Q=</DigestValue>
      </Reference>
      <Reference URI="/xl/worksheets/sheet44.xml?ContentType=application/vnd.openxmlformats-officedocument.spreadsheetml.worksheet+xml">
        <DigestMethod Algorithm="http://www.w3.org/2001/04/xmlenc#sha256"/>
        <DigestValue>VK/B2rNjwYPB0Dkop/G86uE5ZtagntgXtIPdEQt81kQ=</DigestValue>
      </Reference>
      <Reference URI="/xl/worksheets/sheet45.xml?ContentType=application/vnd.openxmlformats-officedocument.spreadsheetml.worksheet+xml">
        <DigestMethod Algorithm="http://www.w3.org/2001/04/xmlenc#sha256"/>
        <DigestValue>ScUHvWewMmdYAOzVRHmJQXCryzKGFoUvJXAutgnf/Cs=</DigestValue>
      </Reference>
      <Reference URI="/xl/worksheets/sheet46.xml?ContentType=application/vnd.openxmlformats-officedocument.spreadsheetml.worksheet+xml">
        <DigestMethod Algorithm="http://www.w3.org/2001/04/xmlenc#sha256"/>
        <DigestValue>eU1ck6f4sS68QmvJ8jQZRncuPYmC0yFVWgkP1hprLvQ=</DigestValue>
      </Reference>
      <Reference URI="/xl/worksheets/sheet47.xml?ContentType=application/vnd.openxmlformats-officedocument.spreadsheetml.worksheet+xml">
        <DigestMethod Algorithm="http://www.w3.org/2001/04/xmlenc#sha256"/>
        <DigestValue>DrkvHAbAVo2GZHeVA2gpYHBl3J0bUbomjWXhxwmU3Uc=</DigestValue>
      </Reference>
      <Reference URI="/xl/worksheets/sheet5.xml?ContentType=application/vnd.openxmlformats-officedocument.spreadsheetml.worksheet+xml">
        <DigestMethod Algorithm="http://www.w3.org/2001/04/xmlenc#sha256"/>
        <DigestValue>BeipflQTFRVW4apPJXWle8pg9PgLusUpW/+IW+zJ/6I=</DigestValue>
      </Reference>
      <Reference URI="/xl/worksheets/sheet6.xml?ContentType=application/vnd.openxmlformats-officedocument.spreadsheetml.worksheet+xml">
        <DigestMethod Algorithm="http://www.w3.org/2001/04/xmlenc#sha256"/>
        <DigestValue>FVnmKBLGHHMkZDTTvwh5SziTPgNdLoE2oHJkr9RNOoM=</DigestValue>
      </Reference>
      <Reference URI="/xl/worksheets/sheet7.xml?ContentType=application/vnd.openxmlformats-officedocument.spreadsheetml.worksheet+xml">
        <DigestMethod Algorithm="http://www.w3.org/2001/04/xmlenc#sha256"/>
        <DigestValue>n7qlkAZJcJLdLzhC0pmmFZeumC2LTGFP9kTD7O7h+Ho=</DigestValue>
      </Reference>
      <Reference URI="/xl/worksheets/sheet8.xml?ContentType=application/vnd.openxmlformats-officedocument.spreadsheetml.worksheet+xml">
        <DigestMethod Algorithm="http://www.w3.org/2001/04/xmlenc#sha256"/>
        <DigestValue>MXiwA6F4kj/6styJWeShsSSs4bS0IQd3M0VN7UuKc+Y=</DigestValue>
      </Reference>
      <Reference URI="/xl/worksheets/sheet9.xml?ContentType=application/vnd.openxmlformats-officedocument.spreadsheetml.worksheet+xml">
        <DigestMethod Algorithm="http://www.w3.org/2001/04/xmlenc#sha256"/>
        <DigestValue>1yRKzLkJVTWSchu2iF1Cxrl5ajenNrrTzFh7MuoFK7w=</DigestValue>
      </Reference>
    </Manifest>
    <SignatureProperties>
      <SignatureProperty Id="idSignatureTime" Target="#idPackageSignature">
        <mdssi:SignatureTime xmlns:mdssi="http://schemas.openxmlformats.org/package/2006/digital-signature">
          <mdssi:Format>YYYY-MM-DDThh:mm:ssTZD</mdssi:Format>
          <mdssi:Value>2022-03-24T12:16:35Z</mdssi:Value>
        </mdssi:SignatureTime>
      </SignatureProperty>
    </SignatureProperties>
  </Object>
  <Object Id="idOfficeObject">
    <SignatureProperties>
      <SignatureProperty Id="idOfficeV1Details" Target="#idPackageSignature">
        <SignatureInfoV1 xmlns="http://schemas.microsoft.com/office/2006/digsig">
          <SetupID>{EEE69E55-838A-4EB8-A142-FCE8ACB6C864}</SetupID>
          <SignatureText>LAURA VALDEZ</SignatureText>
          <SignatureImage/>
          <SignatureComments/>
          <WindowsVersion>6.1</WindowsVersion>
          <OfficeVersion>16.0.12527/19</OfficeVersion>
          <ApplicationVersion>16.0.12527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2022-03-24T12:16:35Z</xd:SigningTime>
          <xd:SigningCertificate>
            <xd:Cert>
              <xd:CertDigest>
                <DigestMethod Algorithm="http://www.w3.org/2001/04/xmlenc#sha256"/>
                <DigestValue>lr/rnaku5zh/IA5MWzKKgpbMJwe4jY0M2S3cecgMi3Q=</DigestValue>
              </xd:CertDigest>
              <xd:IssuerSerial>
                <X509IssuerName>C=PY, O=DOCUMENTA S.A., CN=CA-DOCUMENTA S.A., SERIALNUMBER=RUC 80050172-1</X509IssuerName>
                <X509SerialNumber>5074199210848835578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EBAAB/AAAAAAAAAAAAAACQIwAApREAACBFTUYAAAEAfBsAAKoAAAAGAAAAAAAAAAAAAAAAAAAAVgUAAAADAADiAQAADwEAAAAAAAAAAAAAAAAAAGZaBwBVIgQACgAAABAAAAAAAAAAAAAAAEsAAAAQAAAAAAAAAAUAAAAeAAAAGAAAAAAAAAAAAAAAAgEAAIAAAAAnAAAAGAAAAAEAAAAAAAAAAAAAAAAAAAAlAAAADAAAAAEAAABMAAAAZAAAAAAAAAAAAAAAAQEAAH8AAAAAAAAAAAAAAAI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8PDwAAAAAAAlAAAADAAAAAEAAABMAAAAZAAAAAAAAAAAAAAAAQEAAH8AAAAAAAAAAAAAAAIBAACAAAAAIQDwAAAAAAAAAAAAAACAPwAAAAAAAAAAAACAPwAAAAAAAAAAAAAAAAAAAAAAAAAAAAAAAAAAAAAAAAAAJQAAAAwAAAAAAACAKAAAAAwAAAABAAAAJwAAABgAAAABAAAAAAAAAPDw8AAAAAAAJQAAAAwAAAABAAAATAAAAGQAAAAAAAAAAAAAAAEBAAB/AAAAAAAAAAAAAAAC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AAAAAAAlAAAADAAAAAEAAABMAAAAZAAAAAAAAAAAAAAAAQEAAH8AAAAAAAAAAAAAAAIBAACAAAAAIQDwAAAAAAAAAAAAAACAPwAAAAAAAAAAAACAPwAAAAAAAAAAAAAAAAAAAAAAAAAAAAAAAAAAAAAAAAAAJQAAAAwAAAAAAACAKAAAAAwAAAABAAAAJwAAABgAAAABAAAAAAAAAP///wAAAAAAJQAAAAwAAAABAAAATAAAAGQAAAAAAAAAAAAAAAEBAAB/AAAAAAAAAAAAAAAC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EwG/MUgADr4/Xbibv12APj9dvXLG3f+z9xQAAAAAP//AAAAAHp2iEsAAEzGIABQLxYIAAAAAEgzMgCgxSAA/K16dgAAAAAAAENyZWF0ZUZvbnRJbmRpcmVjdFcAIABkAQAAAAAAAAAAAADZbt502W7edPX///8ACAAAAAIAAAAAAAAIxiAA9csbd2zFIAAAAAAAnMkgAFXj+XZ5CMYB/v///wD4/XaMIP52AAB6djjGIAAAAAAATMYgAAAAAAAAACAAGG3edEDGIAAqbd50AAB6dgAAAAAAAHp2AAAAABMAFAD+z9xQkMYgAAAAenaQxiAAKdx1UAAAAAAwyVIGZHYACAAAAAAlAAAADAAAAAEAAAAYAAAADAAAAAAAAAASAAAADAAAAAEAAAAeAAAAGAAAAL0AAAAEAAAA9wAAABEAAAAlAAAADAAAAAEAAABUAAAAiAAAAL4AAAAEAAAA9QAAABAAAAABAAAAWyQNQlUlDUK+AAAABAAAAAoAAABMAAAAAAAAAAAAAAAAAAAA//////////9gAAAAMgA0AC8AMAAzAC8AMgAwADIAMgAGAAAABgAAAAQAAAAGAAAABgAAAAQAAAAGAAAABgAAAAYAAAAGAAAASwAAAEAAAAAwAAAABQAAACAAAAABAAAAAQAAABAAAAAAAAAAAAAAAAIBAACAAAAAAAAAAAAAAAACAQAAgAAAAFIAAABwAQAAAgAAABAAAAAHAAAAAAAAAAAAAAC8AgAAAAAAAAECAiJTAHkAcwB0AGUAbQAAAAAAAAAAAAAAAAAAAAAAAAAAAAAAAAAAAAAAAAAAAAAAAAAAAAAAAAAAAAAAAAAAAAAAAAAAAAgAOgA3AAAAAAAAAEASenbEHXp28Ch6dnTmIABL9v121uYgAMsCAAAAAHp2xB16dpH2/XZ96Bt31OYgAAAAAADU5iAATegbd5zmIABs5yAAAAB6dgAAenYBAAAA4AAAAOAAenYAAAAA2W7edNlu3nQg5yAAAAgAAAACAAAAAAAAcOYgAC2n3nQAAAAAAAAAAKLnIAAHAAAAlOcgAAcAAAAAAAAAAAAAAJTnIACo5iAAoqbedAAAAAAAAgAAAAAgAAcAAACU5yAABwAAAHBZ4nQAAAAAAAAAAJTnIAAHAAAAAAAAANTmIADhpd50AAAAAAACAACU5yA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B8A1KxQd2fOu264BbB3CrBQd7g7JQG4SQAAOFWOHgAAAAB8aB8AuAWwd/////8UAAAArEFSd5xsHwAgQLQeFK5Sdx/Ku25nDgRwYGgfAECRfnb0rXp2z616dmBoHwBkAQAAAAAAAAAAAADZbt502W7edOD///8ACAAAAAIAAAAAAACIaB8ALafedAAAAAAAAAAAuGkfAAYAAACsaR8ABgAAAAAAAAAAAAAArGkfAMBoHwCipt50AAAAAAACAAAAAB8ABgAAAKxpHwAGAAAAcFnidAAAAAAAAAAArGkfAAYAAAAAAAAA7GgfAOGl3nQAAAAAAAIAAKxpHwAGAAAAZHYACAAAAAAlAAAADAAAAAMAAAAYAAAADAAAAAAAAAASAAAADAAAAAEAAAAWAAAADAAAAAgAAABUAAAAVAAAAAoAAAAnAAAAHgAAAEoAAAABAAAAWyQNQlUlDUIKAAAASwAAAAEAAABMAAAABAAAAAkAAAAnAAAAIAAAAEsAAABQAAAAWABBbh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bwAAABUAAAAhAPAAAAAAAAAAAAAAAIA/AAAAAAAAAAAAAIA/AAAAAAAAAAAAAAAAAAAAAAAAAAAAAAAAAAAAAAAAAAAlAAAADAAAAAAAAIAoAAAADAAAAAQAAABSAAAAcAEAAAQAAADw////AAAAAAAAAAAAAAAAkAEAAAAAAAEAAAAAcwBlAGcAbwBlACAAdQBpAAAAAAAAAAAAAAAAAAAAAAAAAAAAAAAAAAAAAAAAAAAAAAAAAAAAAAAAAAAAAAAAAAAAAADMbh8AND9YdwAAAAAgAAAAAAAAAOgW0R7oLyYBaGofAAcAAADQeGkNAAAAAGRqHwABAAAAAAAAAAAAAAAAAABAKBzRALBoHwDkaB8AQJF+dvStenbPrXp25GgfAGQBAAAAAAAAAAAAANlu3nTZbt508P///wAIAAAAAgAAAAAAAAxpHwAtp950AAAAAAAAAABCah8ACQAAADBqHwAJAAAAAAAAAAAAAAAwah8ARGkfAKKm3nQAAAAAAAIAAAAAHwAJAAAAMGofAAkAAABwWeJ0AAAAAAAAAAAwah8ACQAAAAAAAABwaR8A4aXedAAAAAAAAgAAMGofAAkAAABkdgAIAAAAACUAAAAMAAAABAAAABgAAAAMAAAAAAAAABIAAAAMAAAAAQAAAB4AAAAYAAAAKQAAADMAAACYAAAASAAAACUAAAAMAAAABAAAAFQAAACUAAAAKgAAADMAAACWAAAARwAAAAEAAABbJA1CVSUNQioAAAAzAAAADAAAAEwAAAAAAAAAAAAAAAAAAAD//////////2QAAABMAEEAVQBSAEEAIABWAEEATABEAEUAWgAIAAAACgAAAAsAAAAKAAAACgAAAAQAAAAKAAAACgAAAAgAAAALAAAACAAAAAkAAABLAAAAQAAAADAAAAAFAAAAIAAAAAEAAAABAAAAEAAAAAAAAAAAAAAAAgEAAIAAAAAAAAAAAAAAAAIBAACAAAAAJQAAAAwAAAACAAAAJwAAABgAAAAFAAAAAAAAAP///wAAAAAAJQAAAAwAAAAFAAAATAAAAGQAAAAAAAAAUAAAAAEBAAB8AAAAAAAAAFAAAAACAQAALQAAACEA8AAAAAAAAAAAAAAAgD8AAAAAAAAAAAAAgD8AAAAAAAAAAAAAAAAAAAAAAAAAAAAAAAAAAAAAAAAAACUAAAAMAAAAAAAAgCgAAAAMAAAABQAAACcAAAAYAAAABQAAAAAAAAD///8AAAAAACUAAAAMAAAABQAAAEwAAABkAAAACQAAAFAAAAD4AAAAXAAAAAkAAABQAAAA8AAAAA0AAAAhAPAAAAAAAAAAAAAAAIA/AAAAAAAAAAAAAIA/AAAAAAAAAAAAAAAAAAAAAAAAAAAAAAAAAAAAAAAAAAAlAAAADAAAAAAAAIAoAAAADAAAAAUAAAAlAAAADAAAAAEAAAAYAAAADAAAAAAAAAASAAAADAAAAAEAAAAeAAAAGAAAAAkAAABQAAAA+QAAAF0AAAAlAAAADAAAAAEAAABUAAAAlAAAAAoAAABQAAAAVQAAAFwAAAABAAAAWyQNQlUlDUIKAAAAUAAAAAwAAABMAAAAAAAAAAAAAAAAAAAA//////////9kAAAATABBAFUAUgBBACAAVgBBAEwARABFAFoABQAAAAcAAAAIAAAABwAAAAcAAAADAAAABwAAAAcAAAAFAAAACAAAAAYAAAAGAAAASwAAAEAAAAAwAAAABQAAACAAAAABAAAAAQAAABAAAAAAAAAAAAAAAAIBAACAAAAAAAAAAAAAAAACAQAAgAAAACUAAAAMAAAAAgAAACcAAAAYAAAABQAAAAAAAAD///8AAAAAACUAAAAMAAAABQAAAEwAAABkAAAACQAAAGAAAAD4AAAAbAAAAAkAAABgAAAA8AAAAA0AAAAhAPAAAAAAAAAAAAAAAIA/AAAAAAAAAAAAAIA/AAAAAAAAAAAAAAAAAAAAAAAAAAAAAAAAAAAAAAAAAAAlAAAADAAAAAAAAIAoAAAADAAAAAUAAAAlAAAADAAAAAEAAAAYAAAADAAAAAAAAAASAAAADAAAAAEAAAAeAAAAGAAAAAkAAABgAAAA+QAAAG0AAAAlAAAADAAAAAEAAABUAAAAhAAAAAoAAABgAAAATAAAAGwAAAABAAAAWyQNQlUlDUIKAAAAYAAAAAkAAABMAAAAAAAAAAAAAAAAAAAA//////////9gAAAAQwBPAE4AVABBAEQATwBSAEEAAAAHAAAACQAAAAgAAAAFAAAABwAAAAgAAAAJAAAABwAAAAcAAABLAAAAQAAAADAAAAAFAAAAIAAAAAEAAAABAAAAEAAAAAAAAAAAAAAAAgEAAIAAAAAAAAAAAAAAAAIBAACAAAAAJQAAAAwAAAACAAAAJwAAABgAAAAFAAAAAAAAAP///wAAAAAAJQAAAAwAAAAFAAAATAAAAGQAAAAJAAAAcAAAAPgAAAB8AAAACQAAAHAAAADwAAAADQAAACEA8AAAAAAAAAAAAAAAgD8AAAAAAAAAAAAAgD8AAAAAAAAAAAAAAAAAAAAAAAAAAAAAAAAAAAAAAAAAACUAAAAMAAAAAAAAgCgAAAAMAAAABQAAACUAAAAMAAAAAQAAABgAAAAMAAAAAAAAABIAAAAMAAAAAQAAABYAAAAMAAAAAAAAAFQAAAA8AQAACgAAAHAAAAD3AAAAfAAAAAEAAABbJA1CVSUNQgoAAABwAAAAKAAAAEwAAAAEAAAACQAAAHAAAAD5AAAAfQAAAJwAAABGAGkAcgBtAGEAZABvACAAcABvAHIAOgAgAEwAQQBVAFIAQQAgAEIARQBBAFQAUgBJAFoAIABWAEEATABEAEUAWgAgAE8AUgBSAEUARwBPAAYAAAADAAAABAAAAAkAAAAGAAAABwAAAAcAAAADAAAABwAAAAcAAAAEAAAAAwAAAAMAAAAFAAAABwAAAAgAAAAHAAAABwAAAAMAAAAHAAAABgAAAAcAAAAFAAAABwAAAAMAAAAGAAAAAwAAAAcAAAAHAAAABQAAAAgAAAAGAAAABgAAAAMAAAAJAAAABwAAAAcAAAAGAAAACAAAAAkAAAAWAAAADAAAAAAAAAAlAAAADAAAAAIAAAAOAAAAFAAAAAAAAAAQAAAAFAAAAA==</Object>
  <Object Id="idInvalidSigLnImg">AQAAAGwAAAAAAAAAAAAAAAEBAAB/AAAAAAAAAAAAAACQIwAApREAACBFTUYAAAEA6CAAALEAAAAGAAAAAAAAAAAAAAAAAAAAVgUAAAADAADiAQAADwEAAAAAAAAAAAAAAAAAAGZaBwBVIgQACgAAABAAAAAAAAAAAAAAAEsAAAAQAAAAAAAAAAUAAAAeAAAAGAAAAAAAAAAAAAAAAgEAAIAAAAAnAAAAGAAAAAEAAAAAAAAAAAAAAAAAAAAlAAAADAAAAAEAAABMAAAAZAAAAAAAAAAAAAAAAQEAAH8AAAAAAAAAAAAAAAI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8PDwAAAAAAAlAAAADAAAAAEAAABMAAAAZAAAAAAAAAAAAAAAAQEAAH8AAAAAAAAAAAAAAAIBAACAAAAAIQDwAAAAAAAAAAAAAACAPwAAAAAAAAAAAACAPwAAAAAAAAAAAAAAAAAAAAAAAAAAAAAAAAAAAAAAAAAAJQAAAAwAAAAAAACAKAAAAAwAAAABAAAAJwAAABgAAAABAAAAAAAAAPDw8AAAAAAAJQAAAAwAAAABAAAATAAAAGQAAAAAAAAAAAAAAAEBAAB/AAAAAAAAAAAAAAAC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AAAAAAAlAAAADAAAAAEAAABMAAAAZAAAAAAAAAAAAAAAAQEAAH8AAAAAAAAAAAAAAAIBAACAAAAAIQDwAAAAAAAAAAAAAACAPwAAAAAAAAAAAACAPwAAAAAAAAAAAAAAAAAAAAAAAAAAAAAAAAAAAAAAAAAAJQAAAAwAAAAAAACAKAAAAAwAAAABAAAAJwAAABgAAAABAAAAAAAAAP///wAAAAAAJQAAAAwAAAABAAAATAAAAGQAAAAAAAAAAAAAAAEBAAB/AAAAAAAAAAAAAAAC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EwG/MUgADr4/Xbibv12APj9dvXLG3f+z9xQAAAAAP//AAAAAHp2iEsAAEzGIABQLxYIAAAAAEgzMgCgxSAA/K16dgAAAAAAAENyZWF0ZUZvbnRJbmRpcmVjdFcAIABkAQAAAAAAAAAAAADZbt502W7edPX///8ACAAAAAIAAAAAAAAIxiAA9csbd2zFIAAAAAAAnMkgAFXj+XZ5CMYB/v///wD4/XaMIP52AAB6djjGIAAAAAAATMYgAAAAAAAAACAAGG3edEDGIAAqbd50AAB6dgAAAAAAAHp2AAAAABMAFAD+z9xQkMYgAAAAenaQxiAAKdx1UAAAAAAwyVIGZHYACAAAAAAlAAAADAAAAAEAAAAYAAAADAAAAP8AAAASAAAADAAAAAEAAAAeAAAAGAAAACIAAAAEAAAAcgAAABEAAAAlAAAADAAAAAEAAABUAAAAqAAAACMAAAAEAAAAcAAAABAAAAABAAAAWyQNQlUlDUIjAAAABAAAAA8AAABMAAAAAAAAAAAAAAAAAAAA//////////9sAAAARgBpAHIAbQBhACAAbgBvACAAdgDhAGwAaQBkAGEAAAAGAAAAAwAAAAQAAAAJAAAABgAAAAMAAAAHAAAABwAAAAMAAAAFAAAABgAAAAMAAAADAAAABwAAAAYAAABLAAAAQAAAADAAAAAFAAAAIAAAAAEAAAABAAAAEAAAAAAAAAAAAAAAAgEAAIAAAAAAAAAAAAAAAAIBAACAAAAAUgAAAHABAAACAAAAEAAAAAcAAAAAAAAAAAAAALwCAAAAAAAAAQICIlMAeQBzAHQAZQBtAAAAAAAAAAAAAAAAAAAAAAAAAAAAAAAAAAAAAAAAAAAAAAAAAAAAAAAAAAAAAAAAAAAAAAAAAAAACAA6ADcAAAAAAAAAQBJ6dsQdenbwKHp2dOYgAEv2/XbW5iAAywIAAAAAenbEHXp2kfb9dn3oG3fU5iAAAAAAANTmIABN6Bt3nOYgAGznIAAAAHp2AAB6dgEAAADgAAAA4AB6dgAAAADZbt502W7edCDnIAAACAAAAAIAAAAAAABw5iAALafedAAAAAAAAAAAoucgAAcAAACU5yAABwAAAAAAAAAAAAAAlOcgAKjmIACipt50AAAAAAACAAAAACAABwAAAJTnIAAHAAAAcFnidAAAAAAAAAAAlOcgAAcAAAAAAAAA1OYgAOGl3nQAAAAAAAIAAJTnIAAH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HwDUrFB3Z867brgFsHcKsFB3uDslAbhJAAA4VY4eAAAAAHxoHwC4BbB3/////xQAAACsQVJ3nGwfACBAtB4UrlJ3H8q7bmcOBHBgaB8AQJF+dvStenbPrXp2YGgfAGQBAAAAAAAAAAAAANlu3nTZbt504P///wAIAAAAAgAAAAAAAIhoHwAtp950AAAAAAAAAAC4aR8ABgAAAKxpHwAGAAAAAAAAAAAAAACsaR8AwGgfAKKm3nQAAAAAAAIAAAAAHwAGAAAArGkfAAYAAABwWeJ0AAAAAAAAAACsaR8ABgAAAAAAAADsaB8A4aXedAAAAAAAAgAArGkfAAYAAABkdgAIAAAAACUAAAAMAAAAAwAAABgAAAAMAAAAAAAAABIAAAAMAAAAAQAAABYAAAAMAAAACAAAAFQAAABUAAAACgAAACcAAAAeAAAASgAAAAEAAABbJA1CVSUNQg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cAAABHAAAAKQAAADMAAABvAAAAFQAAACEA8AAAAAAAAAAAAAAAgD8AAAAAAAAAAAAAgD8AAAAAAAAAAAAAAAAAAAAAAAAAAAAAAAAAAAAAAAAAACUAAAAMAAAAAAAAgCgAAAAMAAAABAAAAFIAAABwAQAABAAAAPD///8AAAAAAAAAAAAAAACQAQAAAAAAAQAAAABzAGUAZwBvAGUAIAB1AGkAAAAAAAAAAAAAAAAAAAAAAAAAAAAAAAAAAAAAAAAAAAAAAAAAAAAAAAAAAAAAAAAAAAAAAMxuHwA0P1h3AAAAACAAAAAAAAAA6BbRHugvJgFoah8ABwAAANB4aQ0AAAAAZGofAAEAAAAAAAAAAAAAAAAAAEAoHNEAsGgfAORoHwBAkX529K16ds+tenbkaB8AZAEAAAAAAAAAAAAA2W7edNlu3nTw////AAgAAAACAAAAAAAADGkfAC2n3nQAAAAAAAAAAEJqHwAJAAAAMGofAAkAAAAAAAAAAAAAADBqHwBEaR8AoqbedAAAAAAAAgAAAAAfAAkAAAAwah8ACQAAAHBZ4nQAAAAAAAAAADBqHwAJAAAAAAAAAHBpHwDhpd50AAAAAAACAAAwah8ACQAAAGR2AAgAAAAAJQAAAAwAAAAEAAAAGAAAAAwAAAAAAAAAEgAAAAwAAAABAAAAHgAAABgAAAApAAAAMwAAAJgAAABIAAAAJQAAAAwAAAAEAAAAVAAAAJQAAAAqAAAAMwAAAJYAAABHAAAAAQAAAFskDUJVJQ1CKgAAADMAAAAMAAAATAAAAAAAAAAAAAAAAAAAAP//////////ZAAAAEwAQQBVAFIAQQAgAFYAQQBMAEQARQBaAAgAAAAKAAAACwAAAAoAAAAKAAAABAAAAAoAAAAKAAAACAAAAAsAAAAIAAAACQAAAEsAAABAAAAAMAAAAAUAAAAgAAAAAQAAAAEAAAAQAAAAAAAAAAAAAAACAQAAgAAAAAAAAAAAAAAAAgEAAIAAAAAlAAAADAAAAAIAAAAnAAAAGAAAAAUAAAAAAAAA////AAAAAAAlAAAADAAAAAUAAABMAAAAZAAAAAAAAABQAAAAAQEAAHwAAAAAAAAAUAAAAAIBAAAtAAAAIQDwAAAAAAAAAAAAAACAPwAAAAAAAAAAAACAPwAAAAAAAAAAAAAAAAAAAAAAAAAAAAAAAAAAAAAAAAAAJQAAAAwAAAAAAACAKAAAAAwAAAAFAAAAJwAAABgAAAAFAAAAAAAAAP///wAAAAAAJQAAAAwAAAAFAAAATAAAAGQAAAAJAAAAUAAAAPgAAABcAAAACQAAAFAAAADwAAAADQAAACEA8AAAAAAAAAAAAAAAgD8AAAAAAAAAAAAAgD8AAAAAAAAAAAAAAAAAAAAAAAAAAAAAAAAAAAAAAAAAACUAAAAMAAAAAAAAgCgAAAAMAAAABQAAACUAAAAMAAAAAQAAABgAAAAMAAAAAAAAABIAAAAMAAAAAQAAAB4AAAAYAAAACQAAAFAAAAD5AAAAXQAAACUAAAAMAAAAAQAAAFQAAACUAAAACgAAAFAAAABVAAAAXAAAAAEAAABbJA1CVSUNQgoAAABQAAAADAAAAEwAAAAAAAAAAAAAAAAAAAD//////////2QAAABMAEEAVQBSAEEAIABWAEEATABEAEUAWgAFAAAABwAAAAgAAAAHAAAABwAAAAMAAAAHAAAABwAAAAUAAAAIAAAABgAAAAYAAABLAAAAQAAAADAAAAAFAAAAIAAAAAEAAAABAAAAEAAAAAAAAAAAAAAAAgEAAIAAAAAAAAAAAAAAAAIBAACAAAAAJQAAAAwAAAACAAAAJwAAABgAAAAFAAAAAAAAAP///wAAAAAAJQAAAAwAAAAFAAAATAAAAGQAAAAJAAAAYAAAAPgAAABsAAAACQAAAGAAAADwAAAADQAAACEA8AAAAAAAAAAAAAAAgD8AAAAAAAAAAAAAgD8AAAAAAAAAAAAAAAAAAAAAAAAAAAAAAAAAAAAAAAAAACUAAAAMAAAAAAAAgCgAAAAMAAAABQAAACUAAAAMAAAAAQAAABgAAAAMAAAAAAAAABIAAAAMAAAAAQAAAB4AAAAYAAAACQAAAGAAAAD5AAAAbQAAACUAAAAMAAAAAQAAAFQAAACEAAAACgAAAGAAAABMAAAAbAAAAAEAAABbJA1CVSUNQgoAAABgAAAACQAAAEwAAAAAAAAAAAAAAAAAAAD//////////2AAAABDAE8ATgBUAEEARABPAFIAQQAAAAcAAAAJAAAACAAAAAUAAAAHAAAACAAAAAkAAAAHAAAABwAAAEsAAABAAAAAMAAAAAUAAAAgAAAAAQAAAAEAAAAQAAAAAAAAAAAAAAACAQAAgAAAAAAAAAAAAAAAAgEAAIAAAAAlAAAADAAAAAIAAAAnAAAAGAAAAAUAAAAAAAAA////AAAAAAAlAAAADAAAAAUAAABMAAAAZAAAAAkAAABwAAAA+AAAAHwAAAAJAAAAcAAAAPAAAAANAAAAIQDwAAAAAAAAAAAAAACAPwAAAAAAAAAAAACAPwAAAAAAAAAAAAAAAAAAAAAAAAAAAAAAAAAAAAAAAAAAJQAAAAwAAAAAAACAKAAAAAwAAAAFAAAAJQAAAAwAAAABAAAAGAAAAAwAAAAAAAAAEgAAAAwAAAABAAAAFgAAAAwAAAAAAAAAVAAAADwBAAAKAAAAcAAAAPcAAAB8AAAAAQAAAFskDUJVJQ1CCgAAAHAAAAAoAAAATAAAAAQAAAAJAAAAcAAAAPkAAAB9AAAAnAAAAEYAaQByAG0AYQBkAG8AIABwAG8AcgA6ACAATABBAFUAUgBBACAAQgBFAEEAVABSAEkAWgAgAFYAQQBMAEQARQBaACAATwBSAFIARQBHAE8ABgAAAAMAAAAEAAAACQAAAAYAAAAHAAAABwAAAAMAAAAHAAAABwAAAAQAAAADAAAAAwAAAAUAAAAHAAAACAAAAAcAAAAHAAAAAwAAAAcAAAAGAAAABwAAAAUAAAAHAAAAAwAAAAYAAAADAAAABwAAAAcAAAAFAAAACAAAAAYAAAAGAAAAAwAAAAkAAAAHAAAABwAAAAYAAAAIAAAACQ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T8CyTWiAjUsuaKQ0SOm7uaj5I1RD6MtEGcKgIrGuLdo=</DigestValue>
    </Reference>
    <Reference Type="http://www.w3.org/2000/09/xmldsig#Object" URI="#idOfficeObject">
      <DigestMethod Algorithm="http://www.w3.org/2001/04/xmlenc#sha256"/>
      <DigestValue>KG5ja12SnkAQnm3kU16w0+s2EW8tJMBgLGPJKb8zR48=</DigestValue>
    </Reference>
    <Reference Type="http://uri.etsi.org/01903#SignedProperties" URI="#idSignedProperties">
      <Transforms>
        <Transform Algorithm="http://www.w3.org/TR/2001/REC-xml-c14n-20010315"/>
      </Transforms>
      <DigestMethod Algorithm="http://www.w3.org/2001/04/xmlenc#sha256"/>
      <DigestValue>ccgOy6HBAmC1hP+4g0kcjoxLV+7xUyqQDuYQqpRd4Rk=</DigestValue>
    </Reference>
    <Reference Type="http://www.w3.org/2000/09/xmldsig#Object" URI="#idValidSigLnImg">
      <DigestMethod Algorithm="http://www.w3.org/2001/04/xmlenc#sha256"/>
      <DigestValue>zN8KZV7n70q9jKOGoF8ZggTvcs5hBBLcLHMKqKxqBaA=</DigestValue>
    </Reference>
    <Reference Type="http://www.w3.org/2000/09/xmldsig#Object" URI="#idInvalidSigLnImg">
      <DigestMethod Algorithm="http://www.w3.org/2001/04/xmlenc#sha256"/>
      <DigestValue>mUkCxZhbJE4X3cnzzeSxor8FiW9/z1YOgwMFQiz23Tc=</DigestValue>
    </Reference>
  </SignedInfo>
  <SignatureValue>1azZbzYZBPZFZQ+kOrcKTXZTT41lAD1iSXxYlWbEzizpt6YLQdGUr3G4L7VF/Uq/3W/VE23rmX65
4pWVPWLMovZsyQsYfVxyy0jDlr+7mYBsL+nArTxnDZ6841zR4auP/sB5aR9DfdyvlOJSNZ9sN+Y7
5XikyLYo9CkTbvyYcS4RRC+VqjYdKaT2TMPUsAX0pJdKsifqtr7JjKDyIMWJqH2v1/B9fVe4RuFJ
BtgTkbkGzd0nv9/kbNI3kSXmYrmNPmV/sInABJ0zqDJXWBN0bYf9fhRujg0Q17phrbO9AJ0DOJeb
uqPUIzQkfIYJ3LyupP0QZhAgnVd99hd/jufJ+Q==</SignatureValue>
  <KeyInfo>
    <X509Data>
      <X509Certificate>MIIIGTCCBgGgAwIBAgIIL+/7n7Cgh4cwDQYJKoZIhvcNAQELBQAwWzEXMBUGA1UEBRMOUlVDIDgwMDUwMTcyLTExGjAYBgNVBAMTEUNBLURPQ1VNRU5UQSBTLkEuMRcwFQYDVQQKEw5ET0NVTUVOVEEgUy5BLjELMAkGA1UEBhMCUFkwHhcNMjEwMzMwMTUyODUxWhcNMjMwMzMwMTUzODUxWjCBvDELMAkGA1UEBhMCUFkxIjAgBgNVBAQMGUdPTlpBTEVaIFJPRFJJR1VFWiBBTENBTEExETAPBgNVBAUTCENJMjI5NzMwMRcwFQYDVQQqDA5OSUNPTEFTIFZJQ1RPUjEXMBUGA1UECgwOUEVSU09OQSBGSVNJQ0ExETAPBgNVBAsMCEZJUk1BIEYyMTEwLwYDVQQDDChOSUNPTEFTIFZJQ1RPUiBHT05aQUxFWiBST0RSSUdVRVogQUxDQUxBMIIBIjANBgkqhkiG9w0BAQEFAAOCAQ8AMIIBCgKCAQEA7ThyPxWYbFdlvd9QBSnlTFKgi3Wi558tWnbS/f4FSOJXhGUM1Z4nvV9jUD9QNfNQslIhA7rPh2GBKPCIWX01O9VZXK5YkxYfpPnxAoUMl/xMStuxVJ6UO9zOvvH+oJ4w/woWbi98IUyvIIc1XYRb8aURe11zws0GIUlHpPFhsf7sMhdK1m0d+5Wrv2QIxJ0HiIywNJgUs2ogJjTLNSz3sjuPDBvg+0vuz2R+CTXis+YPRKjb/QnR1c1QZgC3bbwWNITe3OoYkChZrvh7T36o/OYTGOd6ARMOgw6aK/ct7D3mObrRb3GA2oYLDLe+5qt5FTO+2WJzMT6RMsR22BQRRwIDAQABo4IDfTCCA3kwDAYDVR0TAQH/BAIwADAOBgNVHQ8BAf8EBAMCBeAwKgYDVR0lAQH/BCAwHgYIKwYBBQUHAwEGCCsGAQUFBwMCBggrBgEFBQcDBDAdBgNVHQ4EFgQULYTW/FSs8yGegvbcSYZJmQGdTa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EGA1UdEQQaMBiBFm5nb25pa0BuZ29zYWVj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lb6WNhwmJsheztusNBu++AQUsFkkylOi/z6FP9KSXwtDWQ4KL2+yk8CMQa7J+p3Q7enqNNQGgtxMvLVEPPT5dxXAxxqMBFCtI905wv0wiB9o8arJE+SnJYHIC9YISaLwqu46RKNblrrJ3onTMUb/Z+9DOkhxo4zmWQb438jYS81GuD2HfwnrdN5Z31w3TRd0gHDqKMFQh9rgnLRZusfjt1m1c0LxVoXpL7dPxRN/TpYPH8A6ONSu70X8bSd9yKH2RLXMbNwr6naiYoegrbQ6vCDMHHYu6PnR7MWiqNQ6jLReMGj34S/e+TbPD1SwA1RpktIDdM3OrqYJTvQ2++Ua+gf2lVxKgGz9iMOopLUyGGgu/pBdPXnT6hVjBrPMdZF0fazticCkcPaBFEq2SXR+fBo8fxJXbA67LX3JWMqgSRgdmrQB2LMA89vDKHg2iMG8d4JL6DgdoyL+PsrfK70RARmE9gORSL5aOBdg+h87lP+xMqkAkA3s56HFAIicFhui2YebIADIwDRo84Pl//XpiDLd07EqRF5j/BgadvBuOClREYKz4i2VqiND3hu+47/L4Jv6fFHeWnsXQKDhw+CNhaiigSM8aZcQTC1M6WjbkB6Qos5e5xzDSbBByKCh+jk8yEDVJsoOjLfWZfIYlluLe7T4XbQb1v6GkkIWcZU4d7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ZtJk50TYd00jzpk7aiXOMIhtlM2myglTVkUw2IgSrD4=</DigestValue>
      </Reference>
      <Reference URI="/xl/calcChain.xml?ContentType=application/vnd.openxmlformats-officedocument.spreadsheetml.calcChain+xml">
        <DigestMethod Algorithm="http://www.w3.org/2001/04/xmlenc#sha256"/>
        <DigestValue>6iVc7VvdgiZVzfgqvlcL6Iys4NSVSFuivwG7hu+B398=</DigestValue>
      </Reference>
      <Reference URI="/xl/comments1.xml?ContentType=application/vnd.openxmlformats-officedocument.spreadsheetml.comments+xml">
        <DigestMethod Algorithm="http://www.w3.org/2001/04/xmlenc#sha256"/>
        <DigestValue>tjgcN1PnLr/E2TwqCl1Ozx5F7ycBiGlzORWc/uRGtZM=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JzdKCmkMo2ToxdMCz/voGYM7XaXg/qcxeJh5Aw/jGGA=</DigestValue>
      </Reference>
      <Reference URI="/xl/drawings/drawing10.xml?ContentType=application/vnd.openxmlformats-officedocument.drawing+xml">
        <DigestMethod Algorithm="http://www.w3.org/2001/04/xmlenc#sha256"/>
        <DigestValue>qDVQ/fwe5bIjFM56q3ZwLOLFOHn+ABaw6sLZoxSslgY=</DigestValue>
      </Reference>
      <Reference URI="/xl/drawings/drawing11.xml?ContentType=application/vnd.openxmlformats-officedocument.drawing+xml">
        <DigestMethod Algorithm="http://www.w3.org/2001/04/xmlenc#sha256"/>
        <DigestValue>DXVJ9PeSLs0jNuMBBYxZEBtvlPAUzoS4yLRLo32dIrU=</DigestValue>
      </Reference>
      <Reference URI="/xl/drawings/drawing12.xml?ContentType=application/vnd.openxmlformats-officedocument.drawing+xml">
        <DigestMethod Algorithm="http://www.w3.org/2001/04/xmlenc#sha256"/>
        <DigestValue>k6ozyBZPACZg2x106qRBkZmVUiKL6LIpmj2hNQ43gvw=</DigestValue>
      </Reference>
      <Reference URI="/xl/drawings/drawing13.xml?ContentType=application/vnd.openxmlformats-officedocument.drawing+xml">
        <DigestMethod Algorithm="http://www.w3.org/2001/04/xmlenc#sha256"/>
        <DigestValue>ry3dVgS8l7AR/tvnhh//IHmd5RWQT3McjZsQNe24KmQ=</DigestValue>
      </Reference>
      <Reference URI="/xl/drawings/drawing14.xml?ContentType=application/vnd.openxmlformats-officedocument.drawing+xml">
        <DigestMethod Algorithm="http://www.w3.org/2001/04/xmlenc#sha256"/>
        <DigestValue>VovGI9Lf1UVwQtKtUNcu5T5/SmLwSZMVx+0VxPm/ShM=</DigestValue>
      </Reference>
      <Reference URI="/xl/drawings/drawing2.xml?ContentType=application/vnd.openxmlformats-officedocument.drawing+xml">
        <DigestMethod Algorithm="http://www.w3.org/2001/04/xmlenc#sha256"/>
        <DigestValue>6ue8XYqsuDloMlNrNegdf7DuZT53W9Ah7dHe3IT8d+Q=</DigestValue>
      </Reference>
      <Reference URI="/xl/drawings/drawing3.xml?ContentType=application/vnd.openxmlformats-officedocument.drawing+xml">
        <DigestMethod Algorithm="http://www.w3.org/2001/04/xmlenc#sha256"/>
        <DigestValue>5hbbM++O5HCedx5mACseqg8DowoFoVhSv4ALwxFYz4E=</DigestValue>
      </Reference>
      <Reference URI="/xl/drawings/drawing4.xml?ContentType=application/vnd.openxmlformats-officedocument.drawing+xml">
        <DigestMethod Algorithm="http://www.w3.org/2001/04/xmlenc#sha256"/>
        <DigestValue>0bPejsdRUOo8T8jaXd+F5tPhavw+EaBKts3EN2bqk1M=</DigestValue>
      </Reference>
      <Reference URI="/xl/drawings/drawing5.xml?ContentType=application/vnd.openxmlformats-officedocument.drawing+xml">
        <DigestMethod Algorithm="http://www.w3.org/2001/04/xmlenc#sha256"/>
        <DigestValue>HlE5CfT6b1PyUxuecXbwNWf7ognqGHvNut4LohpK8yw=</DigestValue>
      </Reference>
      <Reference URI="/xl/drawings/drawing6.xml?ContentType=application/vnd.openxmlformats-officedocument.drawing+xml">
        <DigestMethod Algorithm="http://www.w3.org/2001/04/xmlenc#sha256"/>
        <DigestValue>L7bnOi+wDlsu1TK3TM4DysYjDe8Zi6vEEhCMA1CzJQw=</DigestValue>
      </Reference>
      <Reference URI="/xl/drawings/drawing7.xml?ContentType=application/vnd.openxmlformats-officedocument.drawing+xml">
        <DigestMethod Algorithm="http://www.w3.org/2001/04/xmlenc#sha256"/>
        <DigestValue>WCiKfbSvZ7RtwBkZuMqbk5FyRMtCBhcL4vxjIXgtYHQ=</DigestValue>
      </Reference>
      <Reference URI="/xl/drawings/drawing8.xml?ContentType=application/vnd.openxmlformats-officedocument.drawing+xml">
        <DigestMethod Algorithm="http://www.w3.org/2001/04/xmlenc#sha256"/>
        <DigestValue>uV/CgBhrsqUNH2R0+JwlG5pVdjeanGij8Yqe5v0xp4o=</DigestValue>
      </Reference>
      <Reference URI="/xl/drawings/drawing9.xml?ContentType=application/vnd.openxmlformats-officedocument.drawing+xml">
        <DigestMethod Algorithm="http://www.w3.org/2001/04/xmlenc#sha256"/>
        <DigestValue>bfsmSGNj0IPvM8+oA6F+8ZItoyyBblYeRCmjopv2J+g=</DigestValue>
      </Reference>
      <Reference URI="/xl/drawings/vmlDrawing1.vml?ContentType=application/vnd.openxmlformats-officedocument.vmlDrawing">
        <DigestMethod Algorithm="http://www.w3.org/2001/04/xmlenc#sha256"/>
        <DigestValue>Fy9xhN7JHG2UJ+E2eyK61FdkmswTSaEwPUZot01mM+s=</DigestValue>
      </Reference>
      <Reference URI="/xl/drawings/vmlDrawing2.vml?ContentType=application/vnd.openxmlformats-officedocument.vmlDrawing">
        <DigestMethod Algorithm="http://www.w3.org/2001/04/xmlenc#sha256"/>
        <DigestValue>XwnrgvWecvoiS+aMGi+i0EXcjMCvF+fJkZLYyo6uZ+M=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WDW/dJo8kTac1J41t4ZP4gz4th9ZBIJQPDClEHkUFFc=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+R7NxD5zhBn5aofncKdxCqdAolIqBOXzcNMsp2hZQSs=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979ghTicUw6qn8F+Z890N5J2Wza44tTQ2UotoZMgCbY=</DigestValue>
      </Reference>
      <Reference URI="/xl/externalLinks/externalLink1.xml?ContentType=application/vnd.openxmlformats-officedocument.spreadsheetml.externalLink+xml">
        <DigestMethod Algorithm="http://www.w3.org/2001/04/xmlenc#sha256"/>
        <DigestValue>2wmy/CxbZq3BVXxML4D9HIZzxOyK6W2/hQ2rZcQxAHc=</DigestValue>
      </Reference>
      <Reference URI="/xl/externalLinks/externalLink2.xml?ContentType=application/vnd.openxmlformats-officedocument.spreadsheetml.externalLink+xml">
        <DigestMethod Algorithm="http://www.w3.org/2001/04/xmlenc#sha256"/>
        <DigestValue>XHkKy8S+ljkQCKXuOvp1pecl8km+h4lx3Nr3hJgARCc=</DigestValue>
      </Reference>
      <Reference URI="/xl/externalLinks/externalLink3.xml?ContentType=application/vnd.openxmlformats-officedocument.spreadsheetml.externalLink+xml">
        <DigestMethod Algorithm="http://www.w3.org/2001/04/xmlenc#sha256"/>
        <DigestValue>0NZW8VRLYnrOOFbEu+aESXRkXpCHDHLaKT4XdcCnFh8=</DigestValue>
      </Reference>
      <Reference URI="/xl/media/image1.png?ContentType=image/png">
        <DigestMethod Algorithm="http://www.w3.org/2001/04/xmlenc#sha256"/>
        <DigestValue>43LSy1HPyVx2ShQIUpryYDNUiyQ+wjnqi3XvaqIw1qg=</DigestValue>
      </Reference>
      <Reference URI="/xl/media/image2.emf?ContentType=image/x-emf">
        <DigestMethod Algorithm="http://www.w3.org/2001/04/xmlenc#sha256"/>
        <DigestValue>5Obdz9GbZGlGPcKbD7aA/Ft8704zQngmx1tlRo9gEjo=</DigestValue>
      </Reference>
      <Reference URI="/xl/media/image3.emf?ContentType=image/x-emf">
        <DigestMethod Algorithm="http://www.w3.org/2001/04/xmlenc#sha256"/>
        <DigestValue>u1vID3TG47pYUQvdVjARFId+bv0NnkpnbvlQHJmdXZg=</DigestValue>
      </Reference>
      <Reference URI="/xl/media/image4.emf?ContentType=image/x-emf">
        <DigestMethod Algorithm="http://www.w3.org/2001/04/xmlenc#sha256"/>
        <DigestValue>GEHNjIozlS9/AAXojU3kCVGnKCnlcd7SaOFImw5Xshg=</DigestValue>
      </Reference>
      <Reference URI="/xl/media/image5.emf?ContentType=image/x-emf">
        <DigestMethod Algorithm="http://www.w3.org/2001/04/xmlenc#sha256"/>
        <DigestValue>iY0q6DvU4QUxNyxLUY0HmK2jvM3RaGkFK/I7g4hAXP4=</DigestValue>
      </Reference>
      <Reference URI="/xl/printerSettings/printerSettings1.bin?ContentType=application/vnd.openxmlformats-officedocument.spreadsheetml.printerSettings">
        <DigestMethod Algorithm="http://www.w3.org/2001/04/xmlenc#sha256"/>
        <DigestValue>qNEmKqarWRHCv+mqq4C6kkjCp4U3PuMdIR9k1K0YpMI=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yZ4yHlbxCjCDs5Jv8YQUDOiOaT2knAfRuRqsDlwxOEU=</DigestValue>
      </Reference>
      <Reference URI="/xl/printerSettings/printerSettings12.bin?ContentType=application/vnd.openxmlformats-officedocument.spreadsheetml.printerSettings">
        <DigestMethod Algorithm="http://www.w3.org/2001/04/xmlenc#sha256"/>
        <DigestValue>rLvJjwQyY8FEC0UPEE2Z6yjAAmp2rbmLtG7iFKHF3u0=</DigestValue>
      </Reference>
      <Reference URI="/xl/printerSettings/printerSettings13.bin?ContentType=application/vnd.openxmlformats-officedocument.spreadsheetml.printerSettings">
        <DigestMethod Algorithm="http://www.w3.org/2001/04/xmlenc#sha256"/>
        <DigestValue>tVOuYuRrdzbo8LP45TcsSYVclOdSaPaGljr1PpHM/4g=</DigestValue>
      </Reference>
      <Reference URI="/xl/printerSettings/printerSettings14.bin?ContentType=application/vnd.openxmlformats-officedocument.spreadsheetml.printerSettings">
        <DigestMethod Algorithm="http://www.w3.org/2001/04/xmlenc#sha256"/>
        <DigestValue>gSCLmSSz2IwnwYf7hlhvLTpwMgSkeSx5HawccNttIW8=</DigestValue>
      </Reference>
      <Reference URI="/xl/printerSettings/printerSettings15.bin?ContentType=application/vnd.openxmlformats-officedocument.spreadsheetml.printerSettings">
        <DigestMethod Algorithm="http://www.w3.org/2001/04/xmlenc#sha256"/>
        <DigestValue>hn9N2FuhLED1G+oO9NyaIcvvOOi+Obt7ukBjap+G5yY=</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jcTCFnFuszqGQ3VJVxA3kRrqAETnLVZgctRQtcmDeOw=</DigestValue>
      </Reference>
      <Reference URI="/xl/printerSettings/printerSettings18.bin?ContentType=application/vnd.openxmlformats-officedocument.spreadsheetml.printerSettings">
        <DigestMethod Algorithm="http://www.w3.org/2001/04/xmlenc#sha256"/>
        <DigestValue>tVOuYuRrdzbo8LP45TcsSYVclOdSaPaGljr1PpHM/4g=</DigestValue>
      </Reference>
      <Reference URI="/xl/printerSettings/printerSettings19.bin?ContentType=application/vnd.openxmlformats-officedocument.spreadsheetml.printerSettings">
        <DigestMethod Algorithm="http://www.w3.org/2001/04/xmlenc#sha256"/>
        <DigestValue>lhqNU7rBRuoOJmmM9bzOZSyyB084+UHPE3b+4bG2W2E=</DigestValue>
      </Reference>
      <Reference URI="/xl/printerSettings/printerSettings2.bin?ContentType=application/vnd.openxmlformats-officedocument.spreadsheetml.printerSettings">
        <DigestMethod Algorithm="http://www.w3.org/2001/04/xmlenc#sha256"/>
        <DigestValue>tmp9vFFb6KR6IDrYUtlOXnJdZHDhMuM4DDcq7JPUxqg=</DigestValue>
      </Reference>
      <Reference URI="/xl/printerSettings/printerSettings20.bin?ContentType=application/vnd.openxmlformats-officedocument.spreadsheetml.printerSettings">
        <DigestMethod Algorithm="http://www.w3.org/2001/04/xmlenc#sha256"/>
        <DigestValue>hn9N2FuhLED1G+oO9NyaIcvvOOi+Obt7ukBjap+G5yY=</DigestValue>
      </Reference>
      <Reference URI="/xl/printerSettings/printerSettings21.bin?ContentType=application/vnd.openxmlformats-officedocument.spreadsheetml.printerSettings">
        <DigestMethod Algorithm="http://www.w3.org/2001/04/xmlenc#sha256"/>
        <DigestValue>gSCLmSSz2IwnwYf7hlhvLTpwMgSkeSx5HawccNttIW8=</DigestValue>
      </Reference>
      <Reference URI="/xl/printerSettings/printerSettings22.bin?ContentType=application/vnd.openxmlformats-officedocument.spreadsheetml.printerSettings">
        <DigestMethod Algorithm="http://www.w3.org/2001/04/xmlenc#sha256"/>
        <DigestValue>hWb1B6M2JqB21uPuQ11dDDUr1P2XGR2yAKMvJJdSeaM=</DigestValue>
      </Reference>
      <Reference URI="/xl/printerSettings/printerSettings23.bin?ContentType=application/vnd.openxmlformats-officedocument.spreadsheetml.printerSettings">
        <DigestMethod Algorithm="http://www.w3.org/2001/04/xmlenc#sha256"/>
        <DigestValue>hWb1B6M2JqB21uPuQ11dDDUr1P2XGR2yAKMvJJdSeaM=</DigestValue>
      </Reference>
      <Reference URI="/xl/printerSettings/printerSettings24.bin?ContentType=application/vnd.openxmlformats-officedocument.spreadsheetml.printerSettings">
        <DigestMethod Algorithm="http://www.w3.org/2001/04/xmlenc#sha256"/>
        <DigestValue>hWb1B6M2JqB21uPuQ11dDDUr1P2XGR2yAKMvJJdSeaM=</DigestValue>
      </Reference>
      <Reference URI="/xl/printerSettings/printerSettings25.bin?ContentType=application/vnd.openxmlformats-officedocument.spreadsheetml.printerSettings">
        <DigestMethod Algorithm="http://www.w3.org/2001/04/xmlenc#sha256"/>
        <DigestValue>5ySqG0l/g4lxIKLRnZuLPfYau5oa3Xj516ideRw77nk=</DigestValue>
      </Reference>
      <Reference URI="/xl/printerSettings/printerSettings26.bin?ContentType=application/vnd.openxmlformats-officedocument.spreadsheetml.printerSettings">
        <DigestMethod Algorithm="http://www.w3.org/2001/04/xmlenc#sha256"/>
        <DigestValue>gSCLmSSz2IwnwYf7hlhvLTpwMgSkeSx5HawccNttIW8=</DigestValue>
      </Reference>
      <Reference URI="/xl/printerSettings/printerSettings27.bin?ContentType=application/vnd.openxmlformats-officedocument.spreadsheetml.printerSettings">
        <DigestMethod Algorithm="http://www.w3.org/2001/04/xmlenc#sha256"/>
        <DigestValue>tVOuYuRrdzbo8LP45TcsSYVclOdSaPaGljr1PpHM/4g=</DigestValue>
      </Reference>
      <Reference URI="/xl/printerSettings/printerSettings28.bin?ContentType=application/vnd.openxmlformats-officedocument.spreadsheetml.printerSettings">
        <DigestMethod Algorithm="http://www.w3.org/2001/04/xmlenc#sha256"/>
        <DigestValue>LSiITxrD7IuZ1HT4GSw2sYS1fAFoal4gClXdWMX9a+E=</DigestValue>
      </Reference>
      <Reference URI="/xl/printerSettings/printerSettings29.bin?ContentType=application/vnd.openxmlformats-officedocument.spreadsheetml.printerSettings">
        <DigestMethod Algorithm="http://www.w3.org/2001/04/xmlenc#sha256"/>
        <DigestValue>gSCLmSSz2IwnwYf7hlhvLTpwMgSkeSx5HawccNttIW8=</DigestValue>
      </Reference>
      <Reference URI="/xl/printerSettings/printerSettings3.bin?ContentType=application/vnd.openxmlformats-officedocument.spreadsheetml.printerSettings">
        <DigestMethod Algorithm="http://www.w3.org/2001/04/xmlenc#sha256"/>
        <DigestValue>R3DQph+Tu0rRd20oYzZK61+ZdjsmTdH7fFtXaqKgyaQ=</DigestValue>
      </Reference>
      <Reference URI="/xl/printerSettings/printerSettings30.bin?ContentType=application/vnd.openxmlformats-officedocument.spreadsheetml.printerSettings">
        <DigestMethod Algorithm="http://www.w3.org/2001/04/xmlenc#sha256"/>
        <DigestValue>N463sb7HqCoPUT5eIqWMR2Jm5dqh14E/BxEIrKEWUYc=</DigestValue>
      </Reference>
      <Reference URI="/xl/printerSettings/printerSettings31.bin?ContentType=application/vnd.openxmlformats-officedocument.spreadsheetml.printerSettings">
        <DigestMethod Algorithm="http://www.w3.org/2001/04/xmlenc#sha256"/>
        <DigestValue>hWb1B6M2JqB21uPuQ11dDDUr1P2XGR2yAKMvJJdSeaM=</DigestValue>
      </Reference>
      <Reference URI="/xl/printerSettings/printerSettings32.bin?ContentType=application/vnd.openxmlformats-officedocument.spreadsheetml.printerSettings">
        <DigestMethod Algorithm="http://www.w3.org/2001/04/xmlenc#sha256"/>
        <DigestValue>CPmghBcq8M3AOC7OD9E4RGQCJ4N82avzjW2vuKZebXA=</DigestValue>
      </Reference>
      <Reference URI="/xl/printerSettings/printerSettings33.bin?ContentType=application/vnd.openxmlformats-officedocument.spreadsheetml.printerSettings">
        <DigestMethod Algorithm="http://www.w3.org/2001/04/xmlenc#sha256"/>
        <DigestValue>N463sb7HqCoPUT5eIqWMR2Jm5dqh14E/BxEIrKEWUYc=</DigestValue>
      </Reference>
      <Reference URI="/xl/printerSettings/printerSettings34.bin?ContentType=application/vnd.openxmlformats-officedocument.spreadsheetml.printerSettings">
        <DigestMethod Algorithm="http://www.w3.org/2001/04/xmlenc#sha256"/>
        <DigestValue>CPmghBcq8M3AOC7OD9E4RGQCJ4N82avzjW2vuKZebXA=</DigestValue>
      </Reference>
      <Reference URI="/xl/printerSettings/printerSettings35.bin?ContentType=application/vnd.openxmlformats-officedocument.spreadsheetml.printerSettings">
        <DigestMethod Algorithm="http://www.w3.org/2001/04/xmlenc#sha256"/>
        <DigestValue>CPmghBcq8M3AOC7OD9E4RGQCJ4N82avzjW2vuKZebXA=</DigestValue>
      </Reference>
      <Reference URI="/xl/printerSettings/printerSettings36.bin?ContentType=application/vnd.openxmlformats-officedocument.spreadsheetml.printerSettings">
        <DigestMethod Algorithm="http://www.w3.org/2001/04/xmlenc#sha256"/>
        <DigestValue>gSCLmSSz2IwnwYf7hlhvLTpwMgSkeSx5HawccNttIW8=</DigestValue>
      </Reference>
      <Reference URI="/xl/printerSettings/printerSettings4.bin?ContentType=application/vnd.openxmlformats-officedocument.spreadsheetml.printerSettings">
        <DigestMethod Algorithm="http://www.w3.org/2001/04/xmlenc#sha256"/>
        <DigestValue>z8zxuxVMTHzBCmzzd3MCNRyDg3ReBJFpy6jXe93BaVk=</DigestValue>
      </Reference>
      <Reference URI="/xl/printerSettings/printerSettings5.bin?ContentType=application/vnd.openxmlformats-officedocument.spreadsheetml.printerSettings">
        <DigestMethod Algorithm="http://www.w3.org/2001/04/xmlenc#sha256"/>
        <DigestValue>eK1Jbu61tm9xhuScqk4isB+tvbvT6Cye+mAgWcxsn0E=</DigestValue>
      </Reference>
      <Reference URI="/xl/printerSettings/printerSettings6.bin?ContentType=application/vnd.openxmlformats-officedocument.spreadsheetml.printerSettings">
        <DigestMethod Algorithm="http://www.w3.org/2001/04/xmlenc#sha256"/>
        <DigestValue>+Bwq0awAqgkYPTPvVFvk9FkHxHSokQ9ZeD47Qw61Mw4=</DigestValue>
      </Reference>
      <Reference URI="/xl/printerSettings/printerSettings7.bin?ContentType=application/vnd.openxmlformats-officedocument.spreadsheetml.printerSettings">
        <DigestMethod Algorithm="http://www.w3.org/2001/04/xmlenc#sha256"/>
        <DigestValue>pzHCxJZJqV8QN3TxJNQIsgGd/jmH7l/G8/3LR3ZSRLA=</DigestValue>
      </Reference>
      <Reference URI="/xl/printerSettings/printerSettings8.bin?ContentType=application/vnd.openxmlformats-officedocument.spreadsheetml.printerSettings">
        <DigestMethod Algorithm="http://www.w3.org/2001/04/xmlenc#sha256"/>
        <DigestValue>pPIqYH+fFmPXe5Ug7lS+e4DQjEUlNECZSuBR07rm0ls=</DigestValue>
      </Reference>
      <Reference URI="/xl/printerSettings/printerSettings9.bin?ContentType=application/vnd.openxmlformats-officedocument.spreadsheetml.printerSettings">
        <DigestMethod Algorithm="http://www.w3.org/2001/04/xmlenc#sha256"/>
        <DigestValue>R8hhUo7IOeKH+vJW5iaHwtd4Ijyclq+7Fr0GyBVHSAM=</DigestValue>
      </Reference>
      <Reference URI="/xl/sharedStrings.xml?ContentType=application/vnd.openxmlformats-officedocument.spreadsheetml.sharedStrings+xml">
        <DigestMethod Algorithm="http://www.w3.org/2001/04/xmlenc#sha256"/>
        <DigestValue>mf5S0uGNi4YD0AycM5ymulDsp6hNyLUmyi1LKvjn+Vs=</DigestValue>
      </Reference>
      <Reference URI="/xl/styles.xml?ContentType=application/vnd.openxmlformats-officedocument.spreadsheetml.styles+xml">
        <DigestMethod Algorithm="http://www.w3.org/2001/04/xmlenc#sha256"/>
        <DigestValue>0B5HJmQH8BySTX8jfWSDbTlAFMKkT3TYmhjhUxMrFpE=</DigestValue>
      </Reference>
      <Reference URI="/xl/theme/theme1.xml?ContentType=application/vnd.openxmlformats-officedocument.theme+xml">
        <DigestMethod Algorithm="http://www.w3.org/2001/04/xmlenc#sha256"/>
        <DigestValue>0od3cWFb7H/9sr1fB3xS8N4PVwSWcnr1ynQI1Jvf//w=</DigestValue>
      </Reference>
      <Reference URI="/xl/vbaProject.bin?ContentType=application/vnd.ms-office.vbaProject">
        <DigestMethod Algorithm="http://www.w3.org/2001/04/xmlenc#sha256"/>
        <DigestValue>Ugkdc5vERsAj17qbwm6u4B5HxbD/jHLmRU3qPIjuwWs=</DigestValue>
      </Reference>
      <Reference URI="/xl/workbook.xml?ContentType=application/vnd.ms-excel.sheet.macroEnabled.main+xml">
        <DigestMethod Algorithm="http://www.w3.org/2001/04/xmlenc#sha256"/>
        <DigestValue>pdNCCy8Dv3Cl5XO7WdcC9UGcHjSb/wzbKPtfp/MhxKY=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ZOZ+2y8KlgARq7v4vsPrD4nIDV4Rqtubx7lLXn+BYVI=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irs/Pu/FzvxUJmFujRUwEQEL1S0ghz68+kVFgf3MIs8=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PbUdHje5Rm4GZ320WvgMLxFTLTux96INn5iRrc345z8=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nVdaLnoajam51TGOlrmRni4djWEIQqg4ElzK7Qozmjg=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M016SzmpgA7bxaBlIvmh058sE1YDfgyvGtEPMbbinCg=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vINZVdYTnWsUzrikN2wX9VfapVvCbw5lEyJ+0po6FDw=</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XwJZYY99dAXpkNEkW01EqdGE1Z5ZxXEDfiNCivp30bQ=</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LJzkrrd6qHGW0kUjDOxrgCU7PL6g4ZPjrLWOA4g4obw=</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KbvbancbHx1hfgskjRa1DqufahSTF05M4TT8Sic+0DQ=</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U56pkPjCa7VxeOoxkcTwEPh3eF+ehkIGXaZ1+PNmvuI=</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ufUJ52jf2v/jbYx4/iBFUgbBJWA+JjRnyZ4GvN2fArE=</DigestValue>
      </Reference>
      <Reference URI="/xl/worksheets/sheet10.xml?ContentType=application/vnd.openxmlformats-officedocument.spreadsheetml.worksheet+xml">
        <DigestMethod Algorithm="http://www.w3.org/2001/04/xmlenc#sha256"/>
        <DigestValue>g9ZCdnLgtukhYsRAKz4yHL6CrzmF4ljpjfS0GvBwqF8=</DigestValue>
      </Reference>
      <Reference URI="/xl/worksheets/sheet11.xml?ContentType=application/vnd.openxmlformats-officedocument.spreadsheetml.worksheet+xml">
        <DigestMethod Algorithm="http://www.w3.org/2001/04/xmlenc#sha256"/>
        <DigestValue>JTzpzZmaavhfYEq+/+Uxkzx43Ch4WDyoi8ShPBiXt4Q=</DigestValue>
      </Reference>
      <Reference URI="/xl/worksheets/sheet12.xml?ContentType=application/vnd.openxmlformats-officedocument.spreadsheetml.worksheet+xml">
        <DigestMethod Algorithm="http://www.w3.org/2001/04/xmlenc#sha256"/>
        <DigestValue>6Jg0t2Ljw1ZYa2mDqFJGPTsccM2XBrmCW+imV37uyyc=</DigestValue>
      </Reference>
      <Reference URI="/xl/worksheets/sheet13.xml?ContentType=application/vnd.openxmlformats-officedocument.spreadsheetml.worksheet+xml">
        <DigestMethod Algorithm="http://www.w3.org/2001/04/xmlenc#sha256"/>
        <DigestValue>m4uomHKv1bv0mryts9SUEf7i4FV7Id628bxeVQthFvo=</DigestValue>
      </Reference>
      <Reference URI="/xl/worksheets/sheet14.xml?ContentType=application/vnd.openxmlformats-officedocument.spreadsheetml.worksheet+xml">
        <DigestMethod Algorithm="http://www.w3.org/2001/04/xmlenc#sha256"/>
        <DigestValue>hHYBSxvFNkzLawsE2xmmwU7DVchqEleDw8HY9m6s1D4=</DigestValue>
      </Reference>
      <Reference URI="/xl/worksheets/sheet15.xml?ContentType=application/vnd.openxmlformats-officedocument.spreadsheetml.worksheet+xml">
        <DigestMethod Algorithm="http://www.w3.org/2001/04/xmlenc#sha256"/>
        <DigestValue>giH0BqYANY2QzNa15BqFX3qH028b9skM2/xlwVxeEXo=</DigestValue>
      </Reference>
      <Reference URI="/xl/worksheets/sheet16.xml?ContentType=application/vnd.openxmlformats-officedocument.spreadsheetml.worksheet+xml">
        <DigestMethod Algorithm="http://www.w3.org/2001/04/xmlenc#sha256"/>
        <DigestValue>/rbFLkmezb8CXzEG4aWtZdmXtoJ4coNAUrM7DGaSCI8=</DigestValue>
      </Reference>
      <Reference URI="/xl/worksheets/sheet17.xml?ContentType=application/vnd.openxmlformats-officedocument.spreadsheetml.worksheet+xml">
        <DigestMethod Algorithm="http://www.w3.org/2001/04/xmlenc#sha256"/>
        <DigestValue>d7Ofs5kPQT9bNBFtGooyVvmG5qA4CKLNuNsphO6qX98=</DigestValue>
      </Reference>
      <Reference URI="/xl/worksheets/sheet18.xml?ContentType=application/vnd.openxmlformats-officedocument.spreadsheetml.worksheet+xml">
        <DigestMethod Algorithm="http://www.w3.org/2001/04/xmlenc#sha256"/>
        <DigestValue>ziQJpzxeZYI2A/huKzPVe/VQ9pM5pxe9pSBBpn8vZws=</DigestValue>
      </Reference>
      <Reference URI="/xl/worksheets/sheet19.xml?ContentType=application/vnd.openxmlformats-officedocument.spreadsheetml.worksheet+xml">
        <DigestMethod Algorithm="http://www.w3.org/2001/04/xmlenc#sha256"/>
        <DigestValue>eyBEKp7YV7edK5ko75fQ0i5oFglqHeRyUJvB78L+Czo=</DigestValue>
      </Reference>
      <Reference URI="/xl/worksheets/sheet2.xml?ContentType=application/vnd.openxmlformats-officedocument.spreadsheetml.worksheet+xml">
        <DigestMethod Algorithm="http://www.w3.org/2001/04/xmlenc#sha256"/>
        <DigestValue>SkZ0ENERBKI8t6U0r7FnY4kfxCsU9laM7f/kdFs9d7s=</DigestValue>
      </Reference>
      <Reference URI="/xl/worksheets/sheet20.xml?ContentType=application/vnd.openxmlformats-officedocument.spreadsheetml.worksheet+xml">
        <DigestMethod Algorithm="http://www.w3.org/2001/04/xmlenc#sha256"/>
        <DigestValue>ksJSLwyiETQ69icqFLAXTM7R7WZ8MXYEez+FpPl/Oi4=</DigestValue>
      </Reference>
      <Reference URI="/xl/worksheets/sheet21.xml?ContentType=application/vnd.openxmlformats-officedocument.spreadsheetml.worksheet+xml">
        <DigestMethod Algorithm="http://www.w3.org/2001/04/xmlenc#sha256"/>
        <DigestValue>fiGpVzvjVDkYh85f9Ioo2GuTGMHbXWlBS60cJVyazqk=</DigestValue>
      </Reference>
      <Reference URI="/xl/worksheets/sheet22.xml?ContentType=application/vnd.openxmlformats-officedocument.spreadsheetml.worksheet+xml">
        <DigestMethod Algorithm="http://www.w3.org/2001/04/xmlenc#sha256"/>
        <DigestValue>ToeWWQn4+mR4XlkKw1/p0pb3iTD2ExMBaCPMrzI81yM=</DigestValue>
      </Reference>
      <Reference URI="/xl/worksheets/sheet23.xml?ContentType=application/vnd.openxmlformats-officedocument.spreadsheetml.worksheet+xml">
        <DigestMethod Algorithm="http://www.w3.org/2001/04/xmlenc#sha256"/>
        <DigestValue>Pait2oUQ0dPFCFSl48y8e6slINypOKSYfqyes2HOTOU=</DigestValue>
      </Reference>
      <Reference URI="/xl/worksheets/sheet24.xml?ContentType=application/vnd.openxmlformats-officedocument.spreadsheetml.worksheet+xml">
        <DigestMethod Algorithm="http://www.w3.org/2001/04/xmlenc#sha256"/>
        <DigestValue>xra0weMYbE/24YmHwqJNG2URAS1l7JfimJXHUdy4rPs=</DigestValue>
      </Reference>
      <Reference URI="/xl/worksheets/sheet25.xml?ContentType=application/vnd.openxmlformats-officedocument.spreadsheetml.worksheet+xml">
        <DigestMethod Algorithm="http://www.w3.org/2001/04/xmlenc#sha256"/>
        <DigestValue>giDXlF7oRf0tDXb5T1xjBTHzYc+dy95vZSnGEtuvOmU=</DigestValue>
      </Reference>
      <Reference URI="/xl/worksheets/sheet26.xml?ContentType=application/vnd.openxmlformats-officedocument.spreadsheetml.worksheet+xml">
        <DigestMethod Algorithm="http://www.w3.org/2001/04/xmlenc#sha256"/>
        <DigestValue>dc5bMymStWhuoiHBeiJGgHUAaAbBjW3fHtsjq1ldECQ=</DigestValue>
      </Reference>
      <Reference URI="/xl/worksheets/sheet27.xml?ContentType=application/vnd.openxmlformats-officedocument.spreadsheetml.worksheet+xml">
        <DigestMethod Algorithm="http://www.w3.org/2001/04/xmlenc#sha256"/>
        <DigestValue>MN4cVZcLu1b7Jcju9V5Ns9XQF9Pa2G8VDMc2Q/GI1OY=</DigestValue>
      </Reference>
      <Reference URI="/xl/worksheets/sheet28.xml?ContentType=application/vnd.openxmlformats-officedocument.spreadsheetml.worksheet+xml">
        <DigestMethod Algorithm="http://www.w3.org/2001/04/xmlenc#sha256"/>
        <DigestValue>Y94IqKl5ACHidT54OjHMqDJQVKErw2gLUDeGUHqXdD8=</DigestValue>
      </Reference>
      <Reference URI="/xl/worksheets/sheet29.xml?ContentType=application/vnd.openxmlformats-officedocument.spreadsheetml.worksheet+xml">
        <DigestMethod Algorithm="http://www.w3.org/2001/04/xmlenc#sha256"/>
        <DigestValue>6b/I8+tp+QMfEyPB9pX8g+AV4I3ZRZZfR1SJND4XxL4=</DigestValue>
      </Reference>
      <Reference URI="/xl/worksheets/sheet3.xml?ContentType=application/vnd.openxmlformats-officedocument.spreadsheetml.worksheet+xml">
        <DigestMethod Algorithm="http://www.w3.org/2001/04/xmlenc#sha256"/>
        <DigestValue>GBJFI7gy0fPrv8Ev4gYhzLod/QV3lmTT+hmuFOjnU9E=</DigestValue>
      </Reference>
      <Reference URI="/xl/worksheets/sheet30.xml?ContentType=application/vnd.openxmlformats-officedocument.spreadsheetml.worksheet+xml">
        <DigestMethod Algorithm="http://www.w3.org/2001/04/xmlenc#sha256"/>
        <DigestValue>idpvOHZ9fdmR0E8U7h5sSwypyJ5wLuGNsniSblMYIjM=</DigestValue>
      </Reference>
      <Reference URI="/xl/worksheets/sheet31.xml?ContentType=application/vnd.openxmlformats-officedocument.spreadsheetml.worksheet+xml">
        <DigestMethod Algorithm="http://www.w3.org/2001/04/xmlenc#sha256"/>
        <DigestValue>Jd53D8690gdyxzL9pvjG7WtC+gmWcyTtIscpjTna1y4=</DigestValue>
      </Reference>
      <Reference URI="/xl/worksheets/sheet32.xml?ContentType=application/vnd.openxmlformats-officedocument.spreadsheetml.worksheet+xml">
        <DigestMethod Algorithm="http://www.w3.org/2001/04/xmlenc#sha256"/>
        <DigestValue>okm3L8/zd5Iy82viC9qGiQvlpMtYbh/2vxwTiIyhdVQ=</DigestValue>
      </Reference>
      <Reference URI="/xl/worksheets/sheet33.xml?ContentType=application/vnd.openxmlformats-officedocument.spreadsheetml.worksheet+xml">
        <DigestMethod Algorithm="http://www.w3.org/2001/04/xmlenc#sha256"/>
        <DigestValue>xCOlIOKYxbAqwHOt73DQ0QXFh+vXZKKL2y1r1NFNZVs=</DigestValue>
      </Reference>
      <Reference URI="/xl/worksheets/sheet34.xml?ContentType=application/vnd.openxmlformats-officedocument.spreadsheetml.worksheet+xml">
        <DigestMethod Algorithm="http://www.w3.org/2001/04/xmlenc#sha256"/>
        <DigestValue>aPpKPZ0zM2/owH/ZV1C3pUEcA8jJ10a9Lzagd6tfDI4=</DigestValue>
      </Reference>
      <Reference URI="/xl/worksheets/sheet35.xml?ContentType=application/vnd.openxmlformats-officedocument.spreadsheetml.worksheet+xml">
        <DigestMethod Algorithm="http://www.w3.org/2001/04/xmlenc#sha256"/>
        <DigestValue>roJFBL3JIvZ01mHmvwzQGMbCRfXCbfk0naw0JCeYJos=</DigestValue>
      </Reference>
      <Reference URI="/xl/worksheets/sheet36.xml?ContentType=application/vnd.openxmlformats-officedocument.spreadsheetml.worksheet+xml">
        <DigestMethod Algorithm="http://www.w3.org/2001/04/xmlenc#sha256"/>
        <DigestValue>m5TNGJ/l0NhJQcaxQR0m31glUaRF0Gg6BTo0nysK3DM=</DigestValue>
      </Reference>
      <Reference URI="/xl/worksheets/sheet37.xml?ContentType=application/vnd.openxmlformats-officedocument.spreadsheetml.worksheet+xml">
        <DigestMethod Algorithm="http://www.w3.org/2001/04/xmlenc#sha256"/>
        <DigestValue>Vb4Usx0AQyhTwM8eOsNZUKQXtqnQ2hPmncOgVjseUW8=</DigestValue>
      </Reference>
      <Reference URI="/xl/worksheets/sheet38.xml?ContentType=application/vnd.openxmlformats-officedocument.spreadsheetml.worksheet+xml">
        <DigestMethod Algorithm="http://www.w3.org/2001/04/xmlenc#sha256"/>
        <DigestValue>6M4y75V9dHD7ET90RNCNCrgXy+Pi2lgz+cwEdRQPIpI=</DigestValue>
      </Reference>
      <Reference URI="/xl/worksheets/sheet39.xml?ContentType=application/vnd.openxmlformats-officedocument.spreadsheetml.worksheet+xml">
        <DigestMethod Algorithm="http://www.w3.org/2001/04/xmlenc#sha256"/>
        <DigestValue>HtG9QR+VtdRay2SH0SQlEFJlM4Ra8/0GPNoaIZUR9dw=</DigestValue>
      </Reference>
      <Reference URI="/xl/worksheets/sheet4.xml?ContentType=application/vnd.openxmlformats-officedocument.spreadsheetml.worksheet+xml">
        <DigestMethod Algorithm="http://www.w3.org/2001/04/xmlenc#sha256"/>
        <DigestValue>14U02jNcGUANKmVLGAseeWtobTyrppxbUk/6fDj9ZSg=</DigestValue>
      </Reference>
      <Reference URI="/xl/worksheets/sheet40.xml?ContentType=application/vnd.openxmlformats-officedocument.spreadsheetml.worksheet+xml">
        <DigestMethod Algorithm="http://www.w3.org/2001/04/xmlenc#sha256"/>
        <DigestValue>VwA6L4n4T+BBLsxgnpV3zx0HNW8GYeWPCBj6czDom9w=</DigestValue>
      </Reference>
      <Reference URI="/xl/worksheets/sheet41.xml?ContentType=application/vnd.openxmlformats-officedocument.spreadsheetml.worksheet+xml">
        <DigestMethod Algorithm="http://www.w3.org/2001/04/xmlenc#sha256"/>
        <DigestValue>/fGkRt/dsNg5IpmpsB+1kNKT+jrXWAoo9bFOyr2nJig=</DigestValue>
      </Reference>
      <Reference URI="/xl/worksheets/sheet42.xml?ContentType=application/vnd.openxmlformats-officedocument.spreadsheetml.worksheet+xml">
        <DigestMethod Algorithm="http://www.w3.org/2001/04/xmlenc#sha256"/>
        <DigestValue>e8qy2PJpf7PvfCh1pMP8RgH9v9Ux9W6fYlZxkO/Qs+o=</DigestValue>
      </Reference>
      <Reference URI="/xl/worksheets/sheet43.xml?ContentType=application/vnd.openxmlformats-officedocument.spreadsheetml.worksheet+xml">
        <DigestMethod Algorithm="http://www.w3.org/2001/04/xmlenc#sha256"/>
        <DigestValue>cg6ez5VhMn2fwKwA4CFbfWFgLYdRLUBz2JRoMe7pM9Q=</DigestValue>
      </Reference>
      <Reference URI="/xl/worksheets/sheet44.xml?ContentType=application/vnd.openxmlformats-officedocument.spreadsheetml.worksheet+xml">
        <DigestMethod Algorithm="http://www.w3.org/2001/04/xmlenc#sha256"/>
        <DigestValue>VK/B2rNjwYPB0Dkop/G86uE5ZtagntgXtIPdEQt81kQ=</DigestValue>
      </Reference>
      <Reference URI="/xl/worksheets/sheet45.xml?ContentType=application/vnd.openxmlformats-officedocument.spreadsheetml.worksheet+xml">
        <DigestMethod Algorithm="http://www.w3.org/2001/04/xmlenc#sha256"/>
        <DigestValue>ScUHvWewMmdYAOzVRHmJQXCryzKGFoUvJXAutgnf/Cs=</DigestValue>
      </Reference>
      <Reference URI="/xl/worksheets/sheet46.xml?ContentType=application/vnd.openxmlformats-officedocument.spreadsheetml.worksheet+xml">
        <DigestMethod Algorithm="http://www.w3.org/2001/04/xmlenc#sha256"/>
        <DigestValue>eU1ck6f4sS68QmvJ8jQZRncuPYmC0yFVWgkP1hprLvQ=</DigestValue>
      </Reference>
      <Reference URI="/xl/worksheets/sheet47.xml?ContentType=application/vnd.openxmlformats-officedocument.spreadsheetml.worksheet+xml">
        <DigestMethod Algorithm="http://www.w3.org/2001/04/xmlenc#sha256"/>
        <DigestValue>DrkvHAbAVo2GZHeVA2gpYHBl3J0bUbomjWXhxwmU3Uc=</DigestValue>
      </Reference>
      <Reference URI="/xl/worksheets/sheet5.xml?ContentType=application/vnd.openxmlformats-officedocument.spreadsheetml.worksheet+xml">
        <DigestMethod Algorithm="http://www.w3.org/2001/04/xmlenc#sha256"/>
        <DigestValue>BeipflQTFRVW4apPJXWle8pg9PgLusUpW/+IW+zJ/6I=</DigestValue>
      </Reference>
      <Reference URI="/xl/worksheets/sheet6.xml?ContentType=application/vnd.openxmlformats-officedocument.spreadsheetml.worksheet+xml">
        <DigestMethod Algorithm="http://www.w3.org/2001/04/xmlenc#sha256"/>
        <DigestValue>FVnmKBLGHHMkZDTTvwh5SziTPgNdLoE2oHJkr9RNOoM=</DigestValue>
      </Reference>
      <Reference URI="/xl/worksheets/sheet7.xml?ContentType=application/vnd.openxmlformats-officedocument.spreadsheetml.worksheet+xml">
        <DigestMethod Algorithm="http://www.w3.org/2001/04/xmlenc#sha256"/>
        <DigestValue>n7qlkAZJcJLdLzhC0pmmFZeumC2LTGFP9kTD7O7h+Ho=</DigestValue>
      </Reference>
      <Reference URI="/xl/worksheets/sheet8.xml?ContentType=application/vnd.openxmlformats-officedocument.spreadsheetml.worksheet+xml">
        <DigestMethod Algorithm="http://www.w3.org/2001/04/xmlenc#sha256"/>
        <DigestValue>MXiwA6F4kj/6styJWeShsSSs4bS0IQd3M0VN7UuKc+Y=</DigestValue>
      </Reference>
      <Reference URI="/xl/worksheets/sheet9.xml?ContentType=application/vnd.openxmlformats-officedocument.spreadsheetml.worksheet+xml">
        <DigestMethod Algorithm="http://www.w3.org/2001/04/xmlenc#sha256"/>
        <DigestValue>1yRKzLkJVTWSchu2iF1Cxrl5ajenNrrTzFh7MuoFK7w=</DigestValue>
      </Reference>
    </Manifest>
    <SignatureProperties>
      <SignatureProperty Id="idSignatureTime" Target="#idPackageSignature">
        <mdssi:SignatureTime xmlns:mdssi="http://schemas.openxmlformats.org/package/2006/digital-signature">
          <mdssi:Format>YYYY-MM-DDThh:mm:ssTZD</mdssi:Format>
          <mdssi:Value>2022-03-24T12:17:09Z</mdssi:Value>
        </mdssi:SignatureTime>
      </SignatureProperty>
    </SignatureProperties>
  </Object>
  <Object Id="idOfficeObject">
    <SignatureProperties>
      <SignatureProperty Id="idOfficeV1Details" Target="#idPackageSignature">
        <SignatureInfoV1 xmlns="http://schemas.microsoft.com/office/2006/digsig">
          <SetupID>{890DB7B4-7D17-4EC8-B24A-9E5D02FB9CAD}</SetupID>
          <SignatureText>NICOLAS GONZALEZ</SignatureText>
          <SignatureImage/>
          <SignatureComments/>
          <WindowsVersion>6.1</WindowsVersion>
          <OfficeVersion>16.0.12527/19</OfficeVersion>
          <ApplicationVersion>16.0.12527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2022-03-24T12:17:09Z</xd:SigningTime>
          <xd:SigningCertificate>
            <xd:Cert>
              <xd:CertDigest>
                <DigestMethod Algorithm="http://www.w3.org/2001/04/xmlenc#sha256"/>
                <DigestValue>iDfXQ2drzjJ2kpIN+6gTJl3kQnIKppdinHIaOaZoJDY=</DigestValue>
              </xd:CertDigest>
              <xd:IssuerSerial>
                <X509IssuerName>C=PY, O=DOCUMENTA S.A., CN=CA-DOCUMENTA S.A., SERIALNUMBER=RUC 80050172-1</X509IssuerName>
                <X509SerialNumber>3454256102498142087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IBAAB/AAAAAAAAAAAAAAC6LgAApREAACBFTUYAAAEACBwAAKoAAAAGAAAAAAAAAAAAAAAAAAAAVgUAAAADAADiAQAADwEAAAAAAAAAAAAAAAAAAGZaBwBVIgQACgAAABAAAAAAAAAAAAAAAEsAAAAQAAAAAAAAAAUAAAAeAAAAGAAAAAAAAAAAAAAAUwEAAIAAAAAnAAAAGAAAAAEAAAAAAAAAAAAAAAAAAAAlAAAADAAAAAEAAABMAAAAZAAAAAAAAAAAAAAAUgEAAH8AAAAAAAAAAAAAAF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SAQAAfwAAAAAAAAAAAAAAUwEAAIAAAAAhAPAAAAAAAAAAAAAAAIA/AAAAAAAAAAAAAIA/AAAAAAAAAAAAAAAAAAAAAAAAAAAAAAAAAAAAAAAAAAAlAAAADAAAAAAAAIAoAAAADAAAAAEAAAAnAAAAGAAAAAEAAAAAAAAA8PDwAAAAAAAlAAAADAAAAAEAAABMAAAAZAAAAAAAAAAAAAAAUgEAAH8AAAAAAAAAAAAAAFMBAACAAAAAIQDwAAAAAAAAAAAAAACAPwAAAAAAAAAAAACAPwAAAAAAAAAAAAAAAAAAAAAAAAAAAAAAAAAAAAAAAAAAJQAAAAwAAAAAAACAKAAAAAwAAAABAAAAJwAAABgAAAABAAAAAAAAAPDw8AAAAAAAJQAAAAwAAAABAAAATAAAAGQAAAAAAAAAAAAAAFIBAAB/AAAAAAAAAAAAAABTAQAAgAAAACEA8AAAAAAAAAAAAAAAgD8AAAAAAAAAAAAAgD8AAAAAAAAAAAAAAAAAAAAAAAAAAAAAAAAAAAAAAAAAACUAAAAMAAAAAAAAgCgAAAAMAAAAAQAAACcAAAAYAAAAAQAAAAAAAADw8PAAAAAAACUAAAAMAAAAAQAAAEwAAABkAAAAAAAAAAAAAABSAQAAfwAAAAAAAAAAAAAAUwEAAIAAAAAhAPAAAAAAAAAAAAAAAIA/AAAAAAAAAAAAAIA/AAAAAAAAAAAAAAAAAAAAAAAAAAAAAAAAAAAAAAAAAAAlAAAADAAAAAAAAIAoAAAADAAAAAEAAAAnAAAAGAAAAAEAAAAAAAAA////AAAAAAAlAAAADAAAAAEAAABMAAAAZAAAAAAAAAAAAAAAUgEAAH8AAAAAAAAAAAAAAFMBAACAAAAAIQDwAAAAAAAAAAAAAACAPwAAAAAAAAAAAACAPwAAAAAAAAAAAAAAAAAAAAAAAAAAAAAAAAAAAAAAAAAAJQAAAAwAAAAAAACAKAAAAAwAAAABAAAAJwAAABgAAAABAAAAAAAAAP///wAAAAAAJQAAAAwAAAABAAAATAAAAGQAAAAAAAAAAAAAAFIBAAB/AAAAAAAAAAAAAABT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EwG/MUgADr4/Xbibv12APj9dvXLG3f+z9xQAAAAAP//AAAAAHp2iEsAAEzGIABQLxYIAAAAAEgzMgCgxSAA/K16dgAAAAAAAENyZWF0ZUZvbnRJbmRpcmVjdFcAIABkAQAAAAAAAAAAAADZbt502W7edPX///8ACAAAAAIAAAAAAAAIxiAA9csbd2zFIAAAAAAAnMkgAFXj+XZ5CMYB/v///wD4/XaMIP52AAB6djjGIAAAAAAATMYgAAAAAAAAACAAGG3edEDGIAAqbd50AAB6dgAAAAAAAHp2AAAAABMAFAD+z9xQkMYgAAAAenaQxiAAKdx1UAAAAAAwyVIGZHYACAAAAAAlAAAADAAAAAEAAAAYAAAADAAAAAAAAAASAAAADAAAAAEAAAAeAAAAGAAAAL0AAAAEAAAA9wAAABEAAAAlAAAADAAAAAEAAABUAAAAiAAAAL4AAAAEAAAA9QAAABAAAAABAAAAWyQNQlUlDUK+AAAABAAAAAoAAABMAAAAAAAAAAAAAAAAAAAA//////////9gAAAAMgA0AC8AMAAzAC8AMgAwADIAMgAGAAAABgAAAAQAAAAGAAAABgAAAAQAAAAGAAAABgAAAAYAAAAGAAAASwAAAEAAAAAwAAAABQAAACAAAAABAAAAAQAAABAAAAAAAAAAAAAAAFMBAACAAAAAAAAAAAAAAABTAQAAgAAAAFIAAABwAQAAAgAAABAAAAAHAAAAAAAAAAAAAAC8AgAAAAAAAAECAiJTAHkAcwB0AGUAbQAAAAAAAAAAAAAAAAAAAAAAAAAAAAAAAAAAAAAAAAAAAAAAAAAAAAAAAAAAAAAAAAAAAAAAAAAAAAgAOgA3AAAAAAAAAEASenbEHXp28Ch6dnTmIABL9v121uYgAMsCAAAAAHp2xB16dpH2/XZ96Bt31OYgAAAAAADU5iAATegbd5zmIABs5yAAAAB6dgAAenYBAAAA4AAAAOAAenYAAAAA2W7edNlu3nQg5yAAAAgAAAACAAAAAAAAcOYgAC2n3nQAAAAAAAAAAKLnIAAHAAAAlOcgAAcAAAAAAAAAAAAAAJTnIACo5iAAoqbedAAAAAAAAgAAAAAgAAcAAACU5yAABwAAAHBZ4nQAAAAAAAAAAJTnIAAHAAAAAAAAANTmIADhpd50AAAAAAACAACU5yAABw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B8A1KxQd2fOu264BbB3CrBQd7g7JQG4SQAAOFWOHgAAAAB8aB8AuAWwd/////8UAAAArEFSd5xsHwAgQLQeFK5Sdx/Ku25nDgRwYGgfAECRfnb0rXp2z616dmBoHwBkAQAAAAAAAAAAAADZbt502W7edOD///8ACAAAAAIAAAAAAACIaB8ALafedAAAAAAAAAAAuGkfAAYAAACsaR8ABgAAAAAAAAAAAAAArGkfAMBoHwCipt50AAAAAAACAAAAAB8ABgAAAKxpHwAGAAAAcFnidAAAAAAAAAAArGkfAAYAAAAAAAAA7GgfAOGl3nQAAAAAAAIAAKxpHwAGAAAAZHYACAAAAAAlAAAADAAAAAMAAAAYAAAADAAAAAAAAAASAAAADAAAAAEAAAAWAAAADAAAAAgAAABUAAAAVAAAAAoAAAAnAAAAHgAAAEoAAAABAAAAWyQNQlUlDUI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AAAARwAAACkAAAAzAAAAlgAAABUAAAAhAPAAAAAAAAAAAAAAAIA/AAAAAAAAAAAAAIA/AAAAAAAAAAAAAAAAAAAAAAAAAAAAAAAAAAAAAAAAAAAlAAAADAAAAAAAAIAoAAAADAAAAAQAAABSAAAAcAEAAAQAAADw////AAAAAAAAAAAAAAAAkAEAAAAAAAEAAAAAcwBlAGcAbwBlACAAdQBpAAAAAAAAAAAAAAAAAAAAAAAAAAAAAAAAAAAAAAAAAAAAAAAAAAAAAAAAAAAAAAAAAAAAAADMbh8AND9YdwAAAAAgAAAAAAAAAOgW0R7oLyYBaGofAAcAAADQeGkNAAAAAGRqHwABAAAAAAAAAAAAAAAAAABAKBzRALBoHwDkaB8AQJF+dvStenbPrXp25GgfAGQBAAAAAAAAAAAAANlu3nTZbt508P///wAIAAAAAgAAAAAAAAxpHwAtp950AAAAAAAAAABCah8ACQAAADBqHwAJAAAAAAAAAAAAAAAwah8ARGkfAKKm3nQAAAAAAAIAAAAAHwAJAAAAMGofAAkAAABwWeJ0AAAAAAAAAAAwah8ACQAAAAAAAABwaR8A4aXedAAAAAAAAgAAMGofAAkAAABkdgAIAAAAACUAAAAMAAAABAAAABgAAAAMAAAAAAAAABIAAAAMAAAAAQAAAB4AAAAYAAAAKQAAADMAAAC/AAAASAAAACUAAAAMAAAABAAAAFQAAACsAAAAKgAAADMAAAC9AAAARwAAAAEAAABbJA1CVSUNQioAAAAzAAAAEAAAAEwAAAAAAAAAAAAAAAAAAAD//////////2wAAABOAEkAQwBPAEwAQQBTACAARwBPAE4AWgBBAEwARQBaAAwAAAAEAAAACgAAAAwAAAAIAAAACgAAAAkAAAAEAAAACwAAAAwAAAAMAAAACQAAAAoAAAAIAAAACAAAAAkAAABLAAAAQAAAADAAAAAFAAAAIAAAAAEAAAABAAAAEAAAAAAAAAAAAAAAUwEAAIAAAAAAAAAAAAAAAFMBAACAAAAAJQAAAAwAAAACAAAAJwAAABgAAAAFAAAAAAAAAP///wAAAAAAJQAAAAwAAAAFAAAATAAAAGQAAAAAAAAAUAAAAFIBAAB8AAAAAAAAAFAAAABT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rAAAAAoAAABQAAAAcAAAAFwAAAABAAAAWyQNQlUlDUIKAAAAUAAAABAAAABMAAAAAAAAAAAAAAAAAAAA//////////9sAAAATgBJAEMATwBMAEEAUwAgAEcATwBOAFoAQQBMAEUAWgAIAAAAAwAAAAcAAAAJAAAABQAAAAcAAAAGAAAAAwAAAAgAAAAJAAAACAAAAAYAAAAHAAAABQAAAAYAAAAGAAAASwAAAEAAAAAwAAAABQAAACAAAAABAAAAAQAAABAAAAAAAAAAAAAAAFMBAACAAAAAAAAAAAAAAABT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SQAAAGwAAAABAAAAWyQNQlUlDUIKAAAAYAAAAAsAAABMAAAAAAAAAAAAAAAAAAAA//////////9kAAAAUABSAEUAUwBJAEQARQBOAFQARQAgAAAABgAAAAcAAAAGAAAABgAAAAMAAAAIAAAABgAAAAgAAAAFAAAABgAAAAMAAABLAAAAQAAAADAAAAAFAAAAIAAAAAEAAAABAAAAEAAAAAAAAAAAAAAAUwEAAIAAAAAAAAAAAAAAAFMBAACAAAAAJQAAAAwAAAACAAAAJwAAABgAAAAFAAAAAAAAAP///wAAAAAAJQAAAAwAAAAFAAAATAAAAGQAAAAJAAAAcAAAAEkBAAB8AAAACQAAAHAAAABBAQAADQAAACEA8AAAAAAAAAAAAAAAgD8AAAAAAAAAAAAAgD8AAAAAAAAAAAAAAAAAAAAAAAAAAAAAAAAAAAAAAAAAACUAAAAMAAAAAAAAgCgAAAAMAAAABQAAACUAAAAMAAAAAQAAABgAAAAMAAAAAAAAABIAAAAMAAAAAQAAABYAAAAMAAAAAAAAAFQAAACMAQAACgAAAHAAAABIAQAAfAAAAAEAAABbJA1CVSUNQgoAAABwAAAANQAAAEwAAAAEAAAACQAAAHAAAABKAQAAfQAAALgAAABGAGkAcgBtAGEAZABvACAAcABvAHIAOgAgAE4ASQBDAE8ATABBAFMAIABWAEkAQwBUAE8AUgAgAEcATwBOAFoAQQBMAEUAWgAgAFIATwBEAFIASQBHAFUARQBaACAAQQBMAEMAQQBMAEEAAAAGAAAAAwAAAAQAAAAJAAAABgAAAAcAAAAHAAAAAwAAAAcAAAAHAAAABAAAAAMAAAADAAAACAAAAAMAAAAHAAAACQAAAAUAAAAHAAAABgAAAAMAAAAHAAAAAwAAAAcAAAAFAAAACQAAAAcAAAADAAAACAAAAAkAAAAIAAAABgAAAAcAAAAFAAAABgAAAAYAAAADAAAABwAAAAkAAAAIAAAABwAAAAMAAAAIAAAACAAAAAYAAAAGAAAAAwAAAAcAAAAFAAAABwAAAAcAAAAFAAAABwAAABYAAAAMAAAAAAAAACUAAAAMAAAAAgAAAA4AAAAUAAAAAAAAABAAAAAUAAAA</Object>
  <Object Id="idInvalidSigLnImg">AQAAAGwAAAAAAAAAAAAAAFIBAAB/AAAAAAAAAAAAAAC6LgAApREAACBFTUYAAAEAdCEAALEAAAAGAAAAAAAAAAAAAAAAAAAAVgUAAAADAADiAQAADwEAAAAAAAAAAAAAAAAAAGZaBwBVIgQACgAAABAAAAAAAAAAAAAAAEsAAAAQAAAAAAAAAAUAAAAeAAAAGAAAAAAAAAAAAAAAUwEAAIAAAAAnAAAAGAAAAAEAAAAAAAAAAAAAAAAAAAAlAAAADAAAAAEAAABMAAAAZAAAAAAAAAAAAAAAUgEAAH8AAAAAAAAAAAAAAF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SAQAAfwAAAAAAAAAAAAAAUwEAAIAAAAAhAPAAAAAAAAAAAAAAAIA/AAAAAAAAAAAAAIA/AAAAAAAAAAAAAAAAAAAAAAAAAAAAAAAAAAAAAAAAAAAlAAAADAAAAAAAAIAoAAAADAAAAAEAAAAnAAAAGAAAAAEAAAAAAAAA8PDwAAAAAAAlAAAADAAAAAEAAABMAAAAZAAAAAAAAAAAAAAAUgEAAH8AAAAAAAAAAAAAAFMBAACAAAAAIQDwAAAAAAAAAAAAAACAPwAAAAAAAAAAAACAPwAAAAAAAAAAAAAAAAAAAAAAAAAAAAAAAAAAAAAAAAAAJQAAAAwAAAAAAACAKAAAAAwAAAABAAAAJwAAABgAAAABAAAAAAAAAPDw8AAAAAAAJQAAAAwAAAABAAAATAAAAGQAAAAAAAAAAAAAAFIBAAB/AAAAAAAAAAAAAABTAQAAgAAAACEA8AAAAAAAAAAAAAAAgD8AAAAAAAAAAAAAgD8AAAAAAAAAAAAAAAAAAAAAAAAAAAAAAAAAAAAAAAAAACUAAAAMAAAAAAAAgCgAAAAMAAAAAQAAACcAAAAYAAAAAQAAAAAAAADw8PAAAAAAACUAAAAMAAAAAQAAAEwAAABkAAAAAAAAAAAAAABSAQAAfwAAAAAAAAAAAAAAUwEAAIAAAAAhAPAAAAAAAAAAAAAAAIA/AAAAAAAAAAAAAIA/AAAAAAAAAAAAAAAAAAAAAAAAAAAAAAAAAAAAAAAAAAAlAAAADAAAAAAAAIAoAAAADAAAAAEAAAAnAAAAGAAAAAEAAAAAAAAA////AAAAAAAlAAAADAAAAAEAAABMAAAAZAAAAAAAAAAAAAAAUgEAAH8AAAAAAAAAAAAAAFMBAACAAAAAIQDwAAAAAAAAAAAAAACAPwAAAAAAAAAAAACAPwAAAAAAAAAAAAAAAAAAAAAAAAAAAAAAAAAAAAAAAAAAJQAAAAwAAAAAAACAKAAAAAwAAAABAAAAJwAAABgAAAABAAAAAAAAAP///wAAAAAAJQAAAAwAAAABAAAATAAAAGQAAAAAAAAAAAAAAFIBAAB/AAAAAAAAAAAAAABT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EwG/MUgADr4/Xbibv12APj9dvXLG3f+z9xQAAAAAP//AAAAAHp2iEsAAEzGIABQLxYIAAAAAEgzMgCgxSAA/K16dgAAAAAAAENyZWF0ZUZvbnRJbmRpcmVjdFcAIABkAQAAAAAAAAAAAADZbt502W7edPX///8ACAAAAAIAAAAAAAAIxiAA9csbd2zFIAAAAAAAnMkgAFXj+XZ5CMYB/v///wD4/XaMIP52AAB6djjGIAAAAAAATMYgAAAAAAAAACAAGG3edEDGIAAqbd50AAB6dgAAAAAAAHp2AAAAABMAFAD+z9xQkMYgAAAAenaQxiAAKdx1UAAAAAAwyVIGZHYACAAAAAAlAAAADAAAAAEAAAAYAAAADAAAAP8AAAASAAAADAAAAAEAAAAeAAAAGAAAACIAAAAEAAAAcgAAABEAAAAlAAAADAAAAAEAAABUAAAAqAAAACMAAAAEAAAAcAAAABAAAAABAAAAWyQNQlUlDUIjAAAABAAAAA8AAABMAAAAAAAAAAAAAAAAAAAA//////////9sAAAARgBpAHIAbQBhACAAbgBvACAAdgDhAGwAaQBkAGEAAAAGAAAAAwAAAAQAAAAJAAAABgAAAAMAAAAHAAAABwAAAAMAAAAFAAAABgAAAAMAAAADAAAABwAAAAYAAABLAAAAQAAAADAAAAAFAAAAIAAAAAEAAAABAAAAEAAAAAAAAAAAAAAAUwEAAIAAAAAAAAAAAAAAAFMBAACAAAAAUgAAAHABAAACAAAAEAAAAAcAAAAAAAAAAAAAALwCAAAAAAAAAQICIlMAeQBzAHQAZQBtAAAAAAAAAAAAAAAAAAAAAAAAAAAAAAAAAAAAAAAAAAAAAAAAAAAAAAAAAAAAAAAAAAAAAAAAAAAACAA6ADcAAAAAAAAAQBJ6dsQdenbwKHp2dOYgAEv2/XbW5iAAywIAAAAAenbEHXp2kfb9dn3oG3fU5iAAAAAAANTmIABN6Bt3nOYgAGznIAAAAHp2AAB6dgEAAADgAAAA4AB6dgAAAADZbt502W7edCDnIAAACAAAAAIAAAAAAABw5iAALafedAAAAAAAAAAAoucgAAcAAACU5yAABwAAAAAAAAAAAAAAlOcgAKjmIACipt50AAAAAAACAAAAACAABwAAAJTnIAAHAAAAcFnidAAAAAAAAAAAlOcgAAcAAAAAAAAA1OYgAOGl3nQAAAAAAAIAAJTnIAAH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HwDUrFB3Z867brgFsHcKsFB3uDslAbhJAAA4VY4eAAAAAHxoHwC4BbB3/////xQAAACsQVJ3nGwfACBAtB4UrlJ3H8q7bmcOBHBgaB8AQJF+dvStenbPrXp2YGgfAGQBAAAAAAAAAAAAANlu3nTZbt504P///wAIAAAAAgAAAAAAAIhoHwAtp950AAAAAAAAAAC4aR8ABgAAAKxpHwAGAAAAAAAAAAAAAACsaR8AwGgfAKKm3nQAAAAAAAIAAAAAHwAGAAAArGkfAAYAAABwWeJ0AAAAAAAAAACsaR8ABgAAAAAAAADsaB8A4aXedAAAAAAAAgAArGkfAAYAAABkdgAIAAAAACUAAAAMAAAAAwAAABgAAAAMAAAAAAAAABIAAAAMAAAAAQAAABYAAAAMAAAACAAAAFQAAABUAAAACgAAACcAAAAeAAAASgAAAAEAAABbJA1CVSUNQg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4AAABHAAAAKQAAADMAAACWAAAAFQAAACEA8AAAAAAAAAAAAAAAgD8AAAAAAAAAAAAAgD8AAAAAAAAAAAAAAAAAAAAAAAAAAAAAAAAAAAAAAAAAACUAAAAMAAAAAAAAgCgAAAAMAAAABAAAAFIAAABwAQAABAAAAPD///8AAAAAAAAAAAAAAACQAQAAAAAAAQAAAABzAGUAZwBvAGUAIAB1AGkAAAAAAAAAAAAAAAAAAAAAAAAAAAAAAAAAAAAAAAAAAAAAAAAAAAAAAAAAAAAAAAAAAAAAAMxuHwA0P1h3AAAAACAAAAAAAAAA6BbRHugvJgFoah8ABwAAANB4aQ0AAAAAZGofAAEAAAAAAAAAAAAAAAAAAEAoHNEAsGgfAORoHwBAkX529K16ds+tenbkaB8AZAEAAAAAAAAAAAAA2W7edNlu3nTw////AAgAAAACAAAAAAAADGkfAC2n3nQAAAAAAAAAAEJqHwAJAAAAMGofAAkAAAAAAAAAAAAAADBqHwBEaR8AoqbedAAAAAAAAgAAAAAfAAkAAAAwah8ACQAAAHBZ4nQAAAAAAAAAADBqHwAJAAAAAAAAAHBpHwDhpd50AAAAAAACAAAwah8ACQAAAGR2AAgAAAAAJQAAAAwAAAAEAAAAGAAAAAwAAAAAAAAAEgAAAAwAAAABAAAAHgAAABgAAAApAAAAMwAAAL8AAABIAAAAJQAAAAwAAAAEAAAAVAAAAKwAAAAqAAAAMwAAAL0AAABHAAAAAQAAAFskDUJVJQ1CKgAAADMAAAAQAAAATAAAAAAAAAAAAAAAAAAAAP//////////bAAAAE4ASQBDAE8ATABBAFMAIABHAE8ATgBaAEEATABFAFoADAAAAAQAAAAKAAAADAAAAAgAAAAKAAAACQAAAAQAAAALAAAADAAAAAwAAAAJAAAACgAAAAgAAAAIAAAACQAAAEsAAABAAAAAMAAAAAUAAAAgAAAAAQAAAAEAAAAQAAAAAAAAAAAAAABTAQAAgAAAAAAAAAAAAAAAUwEAAIAAAAAlAAAADAAAAAIAAAAnAAAAGAAAAAUAAAAAAAAA////AAAAAAAlAAAADAAAAAUAAABMAAAAZAAAAAAAAABQAAAAUgEAAHwAAAAAAAAAUAAAAF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wAAAAXAAAAAEAAABbJA1CVSUNQgoAAABQAAAAEAAAAEwAAAAAAAAAAAAAAAAAAAD//////////2wAAABOAEkAQwBPAEwAQQBTACAARwBPAE4AWgBBAEwARQBaAAgAAAADAAAABwAAAAkAAAAFAAAABwAAAAYAAAADAAAACAAAAAkAAAAIAAAABgAAAAcAAAAFAAAABgAAAAYAAABLAAAAQAAAADAAAAAFAAAAIAAAAAEAAAABAAAAEAAAAAAAAAAAAAAAUwEAAIAAAAAAAAAAAAAAAF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JAAAAbAAAAAEAAABbJA1CVSUNQgoAAABgAAAACwAAAEwAAAAAAAAAAAAAAAAAAAD//////////2QAAABQAFIARQBTAEkARABFAE4AVABFACAAAAAGAAAABwAAAAYAAAAGAAAAAwAAAAgAAAAGAAAACAAAAAUAAAAGAAAAAwAAAEsAAABAAAAAMAAAAAUAAAAgAAAAAQAAAAEAAAAQAAAAAAAAAAAAAABTAQAAgAAAAAAAAAAAAAAAUwEAAIAAAAAlAAAADAAAAAIAAAAnAAAAGAAAAAUAAAAAAAAA////AAAAAAAlAAAADAAAAAUAAABMAAAAZAAAAAkAAABwAAAASQEAAHwAAAAJAAAAcAAAAEEBAAANAAAAIQDwAAAAAAAAAAAAAACAPwAAAAAAAAAAAACAPwAAAAAAAAAAAAAAAAAAAAAAAAAAAAAAAAAAAAAAAAAAJQAAAAwAAAAAAACAKAAAAAwAAAAFAAAAJQAAAAwAAAABAAAAGAAAAAwAAAAAAAAAEgAAAAwAAAABAAAAFgAAAAwAAAAAAAAAVAAAAIwBAAAKAAAAcAAAAEgBAAB8AAAAAQAAAFskDUJVJQ1CCgAAAHAAAAA1AAAATAAAAAQAAAAJAAAAcAAAAEoBAAB9AAAAuAAAAEYAaQByAG0AYQBkAG8AIABwAG8AcgA6ACAATgBJAEMATwBMAEEAUwAgAFYASQBDAFQATwBSACAARwBPAE4AWgBBAEwARQBaACAAUgBPAEQAUgBJAEcAVQBFAFoAIABBAEwAQwBBAEwAQQDbcQYAAAADAAAABAAAAAkAAAAGAAAABwAAAAcAAAADAAAABwAAAAcAAAAEAAAAAwAAAAMAAAAIAAAAAwAAAAcAAAAJAAAABQAAAAcAAAAGAAAAAwAAAAcAAAADAAAABwAAAAUAAAAJAAAABwAAAAMAAAAIAAAACQAAAAgAAAAGAAAABwAAAAUAAAAGAAAABgAAAAMAAAAHAAAACQAAAAgAAAAHAAAAAwAAAAgAAAAIAAAABgAAAAYAAAADAAAABwAAAAUAAAAHAAAABwAAAAUAAAAH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tuCVMq05KtIt2xe6Ny5WU1An4WxoSbKQQ+dnD4mHjgI=</DigestValue>
    </Reference>
    <Reference Type="http://www.w3.org/2000/09/xmldsig#Object" URI="#idOfficeObject">
      <DigestMethod Algorithm="http://www.w3.org/2001/04/xmlenc#sha256"/>
      <DigestValue>Z4OCozx118R7PvY2UoUJBoLP2V0DNBhkNrk+GB0fKiQ=</DigestValue>
    </Reference>
    <Reference Type="http://uri.etsi.org/01903#SignedProperties" URI="#idSignedProperties">
      <Transforms>
        <Transform Algorithm="http://www.w3.org/TR/2001/REC-xml-c14n-20010315"/>
      </Transforms>
      <DigestMethod Algorithm="http://www.w3.org/2001/04/xmlenc#sha256"/>
      <DigestValue>3kQ4bxNaZf3HfzRclCs8mPnEgkRW43KlXCOGulGR8NQ=</DigestValue>
    </Reference>
    <Reference Type="http://www.w3.org/2000/09/xmldsig#Object" URI="#idValidSigLnImg">
      <DigestMethod Algorithm="http://www.w3.org/2001/04/xmlenc#sha256"/>
      <DigestValue>xp+Nf+wb+oz1fePoxK9roIWw3j9/XLTniZNKyQeCX7A=</DigestValue>
    </Reference>
    <Reference Type="http://www.w3.org/2000/09/xmldsig#Object" URI="#idInvalidSigLnImg">
      <DigestMethod Algorithm="http://www.w3.org/2001/04/xmlenc#sha256"/>
      <DigestValue>mltwT3Dukz9jIsOiv8EAr1sbkfbrAQknqKMPpja9XD0=</DigestValue>
    </Reference>
  </SignedInfo>
  <SignatureValue>UjCNcwU8VarsWnHWrtQEefj6oCUcn/bfgHHGQubwcJolhdDvNI5eI2eRzCXztsoFJbY+cljlhbpe
DhMWID+yHB0F3Dvw+kv+yefuLkgw/J5BiENQbvgwaIeOtDnGMcRUqbRUpd9wx/0PfEwoC37mY+DX
+rrP1iGqOk3rDIlgbIIQCSgDrwvUYZRM2vz/8RdfnIt5CXrg6F0aVUdKnw6FAb8KrvicTZ0qWMP/
Pic5K3fcteniFp+IccWwdRWaBp3Qgb9fE1QMZNjsHi8RjzPUdxFjw+flUOUUV22CGvAqcJOTwr4V
LgFUQEQUopTUhojt4qZx/jYfD3apKdOmSrVGEg==</SignatureValue>
  <KeyInfo>
    <X509Data>
      <X509Certificate>MIIH/jCCBeagAwIBAgIICZX4NSssbX8wDQYJKoZIhvcNAQELBQAwWzEXMBUGA1UEBRMOUlVDIDgwMDUwMTcyLTExGjAYBgNVBAMTEUNBLURPQ1VNRU5UQSBTLkEuMRcwFQYDVQQKEw5ET0NVTUVOVEEgUy5BLjELMAkGA1UEBhMCUFkwHhcNMjIwMzI0MTQ0ODMzWhcNMjQwMzIzMTQ1ODMzWjCBnDELMAkGA1UEBhMCUFkxEjAQBgNVBAQMCUVMSUNFVENIRTERMA8GA1UEBRMIQ0k5OTE0NDkxFzAVBgNVBCoMDkRBTklFTCBPU1ZBTERPMRcwFQYDVQQKDA5QRVJTT05BIEZJU0lDQTERMA8GA1UECwwIRklSTUEgRjIxITAfBgNVBAMMGERBTklFTCBPU1ZBTERPIEVMSUNFVENIRTCCASIwDQYJKoZIhvcNAQEBBQADggEPADCCAQoCggEBALG3ZoAr01iSXueMjbRsgYE+gtCFH15uHlqvX5GdGQtaJsRCurBy7IAMIzs3JGimWBmKes6T3jj2Ur4MZ7okgKh1b/LcVygEsiUSerpGRaNNbN2NqWrAVXY+CLYulEwy3As5qjXtUiFPT8Inu8Emmyc+f2dZwed5Z2Pi5v6OJm2amlIdvboxXkiPI3/y6sNVcKAZmSBMLYBnqqyiPFW10T2JsBrorpxNugTemlALaVLXzRltAntTC8UDlUkDuNEnZVYoNedjxmGZoyVrciqZCb4bXVIAZGcOhQFUMIwZNjV0lnQNwu+AaWuGLX87WnxqqznD/ugcFwEnCSfhpS9Wnk0CAwEAAaOCA4IwggN+MAwGA1UdEwEB/wQCMAAwDgYDVR0PAQH/BAQDAgXgMCoGA1UdJQEB/wQgMB4GCCsGAQUFBwMBBggrBgEFBQcDAgYIKwYBBQUHAwQwHQYDVR0OBBYEFOleu0x7FM0UUhxxyeaCiAPBaCFz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kYW5pZWwuZWxpY2V0Y2hlQGRl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FsCGvSE0WxU7KtVmLSHXIKG1BhMBmQc1Izs//k7zdg7ivR8DHBWlv0t6/yGDcyZ0tUqLojGarFpyDQ5qtR/HpFcq75v0Lid9eRqvhrcnXFI308EIZpmvRaVAV4AxHbsQUyqRdrTK2C66xwQGLFvpz/k8S6m0awGt5ycGKrDe429+sBA4R7+tS73CQndEc1VlflvMTT6Ugn0iGnXVpoqC6uUagUnjVQEJE6bii24aOzlme4yygr9XjH8xTtcbSUxkPI7/6oKo4Aag8B2FJmcsHv974o/ZUZmAzCcFR1/tmBySBO2di6Q5WPAMXol+nQBglGAt4TosRHK3rrdj8kkeTASlaB9J5ODiL9hJFsWnekYViW/fOmsWcXgwvZW7aCtIrCv98ABGVAtG7jqTzSH+qAy7hXWyrwsKargo3OmLsq5u1vIzkcY37OvVkaMvNQEzuD98sgYuBNy35TknsdqYQmubRtfLSjFds5iXzjOZBFXagZgVOHJk8ReWVb7e50X87VWm1rShkAsDb1jW0mdiW2aig0ZCMfDniIqkDmIlryGapTXN+HAHlDfQ+TyAkuAnp/bPVU7oQLrvfGYEfC2H5WyFZR/PfvzzVh/aMl+549s7hu6hP083Bu9D/DIhxsunaoC5DwXqyXAov3KgFgHfedHWox2HyNVWQf+TFNQC/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Transform>
          <Transform Algorithm="http://www.w3.org/TR/2001/REC-xml-c14n-20010315"/>
        </Transforms>
        <DigestMethod Algorithm="http://www.w3.org/2001/04/xmlenc#sha256"/>
        <DigestValue>ZtJk50TYd00jzpk7aiXOMIhtlM2myglTVkUw2IgSrD4=</DigestValue>
      </Reference>
      <Reference URI="/xl/calcChain.xml?ContentType=application/vnd.openxmlformats-officedocument.spreadsheetml.calcChain+xml">
        <DigestMethod Algorithm="http://www.w3.org/2001/04/xmlenc#sha256"/>
        <DigestValue>6iVc7VvdgiZVzfgqvlcL6Iys4NSVSFuivwG7hu+B398=</DigestValue>
      </Reference>
      <Reference URI="/xl/comments1.xml?ContentType=application/vnd.openxmlformats-officedocument.spreadsheetml.comments+xml">
        <DigestMethod Algorithm="http://www.w3.org/2001/04/xmlenc#sha256"/>
        <DigestValue>tjgcN1PnLr/E2TwqCl1Ozx5F7ycBiGlzORWc/uRGtZM=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JzdKCmkMo2ToxdMCz/voGYM7XaXg/qcxeJh5Aw/jGGA=</DigestValue>
      </Reference>
      <Reference URI="/xl/drawings/drawing10.xml?ContentType=application/vnd.openxmlformats-officedocument.drawing+xml">
        <DigestMethod Algorithm="http://www.w3.org/2001/04/xmlenc#sha256"/>
        <DigestValue>qDVQ/fwe5bIjFM56q3ZwLOLFOHn+ABaw6sLZoxSslgY=</DigestValue>
      </Reference>
      <Reference URI="/xl/drawings/drawing11.xml?ContentType=application/vnd.openxmlformats-officedocument.drawing+xml">
        <DigestMethod Algorithm="http://www.w3.org/2001/04/xmlenc#sha256"/>
        <DigestValue>DXVJ9PeSLs0jNuMBBYxZEBtvlPAUzoS4yLRLo32dIrU=</DigestValue>
      </Reference>
      <Reference URI="/xl/drawings/drawing12.xml?ContentType=application/vnd.openxmlformats-officedocument.drawing+xml">
        <DigestMethod Algorithm="http://www.w3.org/2001/04/xmlenc#sha256"/>
        <DigestValue>k6ozyBZPACZg2x106qRBkZmVUiKL6LIpmj2hNQ43gvw=</DigestValue>
      </Reference>
      <Reference URI="/xl/drawings/drawing13.xml?ContentType=application/vnd.openxmlformats-officedocument.drawing+xml">
        <DigestMethod Algorithm="http://www.w3.org/2001/04/xmlenc#sha256"/>
        <DigestValue>ry3dVgS8l7AR/tvnhh//IHmd5RWQT3McjZsQNe24KmQ=</DigestValue>
      </Reference>
      <Reference URI="/xl/drawings/drawing14.xml?ContentType=application/vnd.openxmlformats-officedocument.drawing+xml">
        <DigestMethod Algorithm="http://www.w3.org/2001/04/xmlenc#sha256"/>
        <DigestValue>VovGI9Lf1UVwQtKtUNcu5T5/SmLwSZMVx+0VxPm/ShM=</DigestValue>
      </Reference>
      <Reference URI="/xl/drawings/drawing2.xml?ContentType=application/vnd.openxmlformats-officedocument.drawing+xml">
        <DigestMethod Algorithm="http://www.w3.org/2001/04/xmlenc#sha256"/>
        <DigestValue>6ue8XYqsuDloMlNrNegdf7DuZT53W9Ah7dHe3IT8d+Q=</DigestValue>
      </Reference>
      <Reference URI="/xl/drawings/drawing3.xml?ContentType=application/vnd.openxmlformats-officedocument.drawing+xml">
        <DigestMethod Algorithm="http://www.w3.org/2001/04/xmlenc#sha256"/>
        <DigestValue>5hbbM++O5HCedx5mACseqg8DowoFoVhSv4ALwxFYz4E=</DigestValue>
      </Reference>
      <Reference URI="/xl/drawings/drawing4.xml?ContentType=application/vnd.openxmlformats-officedocument.drawing+xml">
        <DigestMethod Algorithm="http://www.w3.org/2001/04/xmlenc#sha256"/>
        <DigestValue>0bPejsdRUOo8T8jaXd+F5tPhavw+EaBKts3EN2bqk1M=</DigestValue>
      </Reference>
      <Reference URI="/xl/drawings/drawing5.xml?ContentType=application/vnd.openxmlformats-officedocument.drawing+xml">
        <DigestMethod Algorithm="http://www.w3.org/2001/04/xmlenc#sha256"/>
        <DigestValue>HlE5CfT6b1PyUxuecXbwNWf7ognqGHvNut4LohpK8yw=</DigestValue>
      </Reference>
      <Reference URI="/xl/drawings/drawing6.xml?ContentType=application/vnd.openxmlformats-officedocument.drawing+xml">
        <DigestMethod Algorithm="http://www.w3.org/2001/04/xmlenc#sha256"/>
        <DigestValue>L7bnOi+wDlsu1TK3TM4DysYjDe8Zi6vEEhCMA1CzJQw=</DigestValue>
      </Reference>
      <Reference URI="/xl/drawings/drawing7.xml?ContentType=application/vnd.openxmlformats-officedocument.drawing+xml">
        <DigestMethod Algorithm="http://www.w3.org/2001/04/xmlenc#sha256"/>
        <DigestValue>WCiKfbSvZ7RtwBkZuMqbk5FyRMtCBhcL4vxjIXgtYHQ=</DigestValue>
      </Reference>
      <Reference URI="/xl/drawings/drawing8.xml?ContentType=application/vnd.openxmlformats-officedocument.drawing+xml">
        <DigestMethod Algorithm="http://www.w3.org/2001/04/xmlenc#sha256"/>
        <DigestValue>uV/CgBhrsqUNH2R0+JwlG5pVdjeanGij8Yqe5v0xp4o=</DigestValue>
      </Reference>
      <Reference URI="/xl/drawings/drawing9.xml?ContentType=application/vnd.openxmlformats-officedocument.drawing+xml">
        <DigestMethod Algorithm="http://www.w3.org/2001/04/xmlenc#sha256"/>
        <DigestValue>bfsmSGNj0IPvM8+oA6F+8ZItoyyBblYeRCmjopv2J+g=</DigestValue>
      </Reference>
      <Reference URI="/xl/drawings/vmlDrawing1.vml?ContentType=application/vnd.openxmlformats-officedocument.vmlDrawing">
        <DigestMethod Algorithm="http://www.w3.org/2001/04/xmlenc#sha256"/>
        <DigestValue>Fy9xhN7JHG2UJ+E2eyK61FdkmswTSaEwPUZot01mM+s=</DigestValue>
      </Reference>
      <Reference URI="/xl/drawings/vmlDrawing2.vml?ContentType=application/vnd.openxmlformats-officedocument.vmlDrawing">
        <DigestMethod Algorithm="http://www.w3.org/2001/04/xmlenc#sha256"/>
        <DigestValue>XwnrgvWecvoiS+aMGi+i0EXcjMCvF+fJkZLYyo6uZ+M=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WDW/dJo8kTac1J41t4ZP4gz4th9ZBIJQPDClEHkUFFc=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+R7NxD5zhBn5aofncKdxCqdAolIqBOXzcNMsp2hZQSs=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979ghTicUw6qn8F+Z890N5J2Wza44tTQ2UotoZMgCbY=</DigestValue>
      </Reference>
      <Reference URI="/xl/externalLinks/externalLink1.xml?ContentType=application/vnd.openxmlformats-officedocument.spreadsheetml.externalLink+xml">
        <DigestMethod Algorithm="http://www.w3.org/2001/04/xmlenc#sha256"/>
        <DigestValue>2wmy/CxbZq3BVXxML4D9HIZzxOyK6W2/hQ2rZcQxAHc=</DigestValue>
      </Reference>
      <Reference URI="/xl/externalLinks/externalLink2.xml?ContentType=application/vnd.openxmlformats-officedocument.spreadsheetml.externalLink+xml">
        <DigestMethod Algorithm="http://www.w3.org/2001/04/xmlenc#sha256"/>
        <DigestValue>XHkKy8S+ljkQCKXuOvp1pecl8km+h4lx3Nr3hJgARCc=</DigestValue>
      </Reference>
      <Reference URI="/xl/externalLinks/externalLink3.xml?ContentType=application/vnd.openxmlformats-officedocument.spreadsheetml.externalLink+xml">
        <DigestMethod Algorithm="http://www.w3.org/2001/04/xmlenc#sha256"/>
        <DigestValue>0NZW8VRLYnrOOFbEu+aESXRkXpCHDHLaKT4XdcCnFh8=</DigestValue>
      </Reference>
      <Reference URI="/xl/media/image1.png?ContentType=image/png">
        <DigestMethod Algorithm="http://www.w3.org/2001/04/xmlenc#sha256"/>
        <DigestValue>43LSy1HPyVx2ShQIUpryYDNUiyQ+wjnqi3XvaqIw1qg=</DigestValue>
      </Reference>
      <Reference URI="/xl/media/image2.emf?ContentType=image/x-emf">
        <DigestMethod Algorithm="http://www.w3.org/2001/04/xmlenc#sha256"/>
        <DigestValue>5Obdz9GbZGlGPcKbD7aA/Ft8704zQngmx1tlRo9gEjo=</DigestValue>
      </Reference>
      <Reference URI="/xl/media/image3.emf?ContentType=image/x-emf">
        <DigestMethod Algorithm="http://www.w3.org/2001/04/xmlenc#sha256"/>
        <DigestValue>u1vID3TG47pYUQvdVjARFId+bv0NnkpnbvlQHJmdXZg=</DigestValue>
      </Reference>
      <Reference URI="/xl/media/image4.emf?ContentType=image/x-emf">
        <DigestMethod Algorithm="http://www.w3.org/2001/04/xmlenc#sha256"/>
        <DigestValue>GEHNjIozlS9/AAXojU3kCVGnKCnlcd7SaOFImw5Xshg=</DigestValue>
      </Reference>
      <Reference URI="/xl/media/image5.emf?ContentType=image/x-emf">
        <DigestMethod Algorithm="http://www.w3.org/2001/04/xmlenc#sha256"/>
        <DigestValue>iY0q6DvU4QUxNyxLUY0HmK2jvM3RaGkFK/I7g4hAXP4=</DigestValue>
      </Reference>
      <Reference URI="/xl/printerSettings/printerSettings1.bin?ContentType=application/vnd.openxmlformats-officedocument.spreadsheetml.printerSettings">
        <DigestMethod Algorithm="http://www.w3.org/2001/04/xmlenc#sha256"/>
        <DigestValue>qNEmKqarWRHCv+mqq4C6kkjCp4U3PuMdIR9k1K0YpMI=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yZ4yHlbxCjCDs5Jv8YQUDOiOaT2knAfRuRqsDlwxOEU=</DigestValue>
      </Reference>
      <Reference URI="/xl/printerSettings/printerSettings12.bin?ContentType=application/vnd.openxmlformats-officedocument.spreadsheetml.printerSettings">
        <DigestMethod Algorithm="http://www.w3.org/2001/04/xmlenc#sha256"/>
        <DigestValue>rLvJjwQyY8FEC0UPEE2Z6yjAAmp2rbmLtG7iFKHF3u0=</DigestValue>
      </Reference>
      <Reference URI="/xl/printerSettings/printerSettings13.bin?ContentType=application/vnd.openxmlformats-officedocument.spreadsheetml.printerSettings">
        <DigestMethod Algorithm="http://www.w3.org/2001/04/xmlenc#sha256"/>
        <DigestValue>tVOuYuRrdzbo8LP45TcsSYVclOdSaPaGljr1PpHM/4g=</DigestValue>
      </Reference>
      <Reference URI="/xl/printerSettings/printerSettings14.bin?ContentType=application/vnd.openxmlformats-officedocument.spreadsheetml.printerSettings">
        <DigestMethod Algorithm="http://www.w3.org/2001/04/xmlenc#sha256"/>
        <DigestValue>gSCLmSSz2IwnwYf7hlhvLTpwMgSkeSx5HawccNttIW8=</DigestValue>
      </Reference>
      <Reference URI="/xl/printerSettings/printerSettings15.bin?ContentType=application/vnd.openxmlformats-officedocument.spreadsheetml.printerSettings">
        <DigestMethod Algorithm="http://www.w3.org/2001/04/xmlenc#sha256"/>
        <DigestValue>hn9N2FuhLED1G+oO9NyaIcvvOOi+Obt7ukBjap+G5yY=</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jcTCFnFuszqGQ3VJVxA3kRrqAETnLVZgctRQtcmDeOw=</DigestValue>
      </Reference>
      <Reference URI="/xl/printerSettings/printerSettings18.bin?ContentType=application/vnd.openxmlformats-officedocument.spreadsheetml.printerSettings">
        <DigestMethod Algorithm="http://www.w3.org/2001/04/xmlenc#sha256"/>
        <DigestValue>tVOuYuRrdzbo8LP45TcsSYVclOdSaPaGljr1PpHM/4g=</DigestValue>
      </Reference>
      <Reference URI="/xl/printerSettings/printerSettings19.bin?ContentType=application/vnd.openxmlformats-officedocument.spreadsheetml.printerSettings">
        <DigestMethod Algorithm="http://www.w3.org/2001/04/xmlenc#sha256"/>
        <DigestValue>lhqNU7rBRuoOJmmM9bzOZSyyB084+UHPE3b+4bG2W2E=</DigestValue>
      </Reference>
      <Reference URI="/xl/printerSettings/printerSettings2.bin?ContentType=application/vnd.openxmlformats-officedocument.spreadsheetml.printerSettings">
        <DigestMethod Algorithm="http://www.w3.org/2001/04/xmlenc#sha256"/>
        <DigestValue>tmp9vFFb6KR6IDrYUtlOXnJdZHDhMuM4DDcq7JPUxqg=</DigestValue>
      </Reference>
      <Reference URI="/xl/printerSettings/printerSettings20.bin?ContentType=application/vnd.openxmlformats-officedocument.spreadsheetml.printerSettings">
        <DigestMethod Algorithm="http://www.w3.org/2001/04/xmlenc#sha256"/>
        <DigestValue>hn9N2FuhLED1G+oO9NyaIcvvOOi+Obt7ukBjap+G5yY=</DigestValue>
      </Reference>
      <Reference URI="/xl/printerSettings/printerSettings21.bin?ContentType=application/vnd.openxmlformats-officedocument.spreadsheetml.printerSettings">
        <DigestMethod Algorithm="http://www.w3.org/2001/04/xmlenc#sha256"/>
        <DigestValue>gSCLmSSz2IwnwYf7hlhvLTpwMgSkeSx5HawccNttIW8=</DigestValue>
      </Reference>
      <Reference URI="/xl/printerSettings/printerSettings22.bin?ContentType=application/vnd.openxmlformats-officedocument.spreadsheetml.printerSettings">
        <DigestMethod Algorithm="http://www.w3.org/2001/04/xmlenc#sha256"/>
        <DigestValue>hWb1B6M2JqB21uPuQ11dDDUr1P2XGR2yAKMvJJdSeaM=</DigestValue>
      </Reference>
      <Reference URI="/xl/printerSettings/printerSettings23.bin?ContentType=application/vnd.openxmlformats-officedocument.spreadsheetml.printerSettings">
        <DigestMethod Algorithm="http://www.w3.org/2001/04/xmlenc#sha256"/>
        <DigestValue>hWb1B6M2JqB21uPuQ11dDDUr1P2XGR2yAKMvJJdSeaM=</DigestValue>
      </Reference>
      <Reference URI="/xl/printerSettings/printerSettings24.bin?ContentType=application/vnd.openxmlformats-officedocument.spreadsheetml.printerSettings">
        <DigestMethod Algorithm="http://www.w3.org/2001/04/xmlenc#sha256"/>
        <DigestValue>hWb1B6M2JqB21uPuQ11dDDUr1P2XGR2yAKMvJJdSeaM=</DigestValue>
      </Reference>
      <Reference URI="/xl/printerSettings/printerSettings25.bin?ContentType=application/vnd.openxmlformats-officedocument.spreadsheetml.printerSettings">
        <DigestMethod Algorithm="http://www.w3.org/2001/04/xmlenc#sha256"/>
        <DigestValue>5ySqG0l/g4lxIKLRnZuLPfYau5oa3Xj516ideRw77nk=</DigestValue>
      </Reference>
      <Reference URI="/xl/printerSettings/printerSettings26.bin?ContentType=application/vnd.openxmlformats-officedocument.spreadsheetml.printerSettings">
        <DigestMethod Algorithm="http://www.w3.org/2001/04/xmlenc#sha256"/>
        <DigestValue>gSCLmSSz2IwnwYf7hlhvLTpwMgSkeSx5HawccNttIW8=</DigestValue>
      </Reference>
      <Reference URI="/xl/printerSettings/printerSettings27.bin?ContentType=application/vnd.openxmlformats-officedocument.spreadsheetml.printerSettings">
        <DigestMethod Algorithm="http://www.w3.org/2001/04/xmlenc#sha256"/>
        <DigestValue>tVOuYuRrdzbo8LP45TcsSYVclOdSaPaGljr1PpHM/4g=</DigestValue>
      </Reference>
      <Reference URI="/xl/printerSettings/printerSettings28.bin?ContentType=application/vnd.openxmlformats-officedocument.spreadsheetml.printerSettings">
        <DigestMethod Algorithm="http://www.w3.org/2001/04/xmlenc#sha256"/>
        <DigestValue>LSiITxrD7IuZ1HT4GSw2sYS1fAFoal4gClXdWMX9a+E=</DigestValue>
      </Reference>
      <Reference URI="/xl/printerSettings/printerSettings29.bin?ContentType=application/vnd.openxmlformats-officedocument.spreadsheetml.printerSettings">
        <DigestMethod Algorithm="http://www.w3.org/2001/04/xmlenc#sha256"/>
        <DigestValue>gSCLmSSz2IwnwYf7hlhvLTpwMgSkeSx5HawccNttIW8=</DigestValue>
      </Reference>
      <Reference URI="/xl/printerSettings/printerSettings3.bin?ContentType=application/vnd.openxmlformats-officedocument.spreadsheetml.printerSettings">
        <DigestMethod Algorithm="http://www.w3.org/2001/04/xmlenc#sha256"/>
        <DigestValue>R3DQph+Tu0rRd20oYzZK61+ZdjsmTdH7fFtXaqKgyaQ=</DigestValue>
      </Reference>
      <Reference URI="/xl/printerSettings/printerSettings30.bin?ContentType=application/vnd.openxmlformats-officedocument.spreadsheetml.printerSettings">
        <DigestMethod Algorithm="http://www.w3.org/2001/04/xmlenc#sha256"/>
        <DigestValue>N463sb7HqCoPUT5eIqWMR2Jm5dqh14E/BxEIrKEWUYc=</DigestValue>
      </Reference>
      <Reference URI="/xl/printerSettings/printerSettings31.bin?ContentType=application/vnd.openxmlformats-officedocument.spreadsheetml.printerSettings">
        <DigestMethod Algorithm="http://www.w3.org/2001/04/xmlenc#sha256"/>
        <DigestValue>hWb1B6M2JqB21uPuQ11dDDUr1P2XGR2yAKMvJJdSeaM=</DigestValue>
      </Reference>
      <Reference URI="/xl/printerSettings/printerSettings32.bin?ContentType=application/vnd.openxmlformats-officedocument.spreadsheetml.printerSettings">
        <DigestMethod Algorithm="http://www.w3.org/2001/04/xmlenc#sha256"/>
        <DigestValue>CPmghBcq8M3AOC7OD9E4RGQCJ4N82avzjW2vuKZebXA=</DigestValue>
      </Reference>
      <Reference URI="/xl/printerSettings/printerSettings33.bin?ContentType=application/vnd.openxmlformats-officedocument.spreadsheetml.printerSettings">
        <DigestMethod Algorithm="http://www.w3.org/2001/04/xmlenc#sha256"/>
        <DigestValue>N463sb7HqCoPUT5eIqWMR2Jm5dqh14E/BxEIrKEWUYc=</DigestValue>
      </Reference>
      <Reference URI="/xl/printerSettings/printerSettings34.bin?ContentType=application/vnd.openxmlformats-officedocument.spreadsheetml.printerSettings">
        <DigestMethod Algorithm="http://www.w3.org/2001/04/xmlenc#sha256"/>
        <DigestValue>CPmghBcq8M3AOC7OD9E4RGQCJ4N82avzjW2vuKZebXA=</DigestValue>
      </Reference>
      <Reference URI="/xl/printerSettings/printerSettings35.bin?ContentType=application/vnd.openxmlformats-officedocument.spreadsheetml.printerSettings">
        <DigestMethod Algorithm="http://www.w3.org/2001/04/xmlenc#sha256"/>
        <DigestValue>CPmghBcq8M3AOC7OD9E4RGQCJ4N82avzjW2vuKZebXA=</DigestValue>
      </Reference>
      <Reference URI="/xl/printerSettings/printerSettings36.bin?ContentType=application/vnd.openxmlformats-officedocument.spreadsheetml.printerSettings">
        <DigestMethod Algorithm="http://www.w3.org/2001/04/xmlenc#sha256"/>
        <DigestValue>gSCLmSSz2IwnwYf7hlhvLTpwMgSkeSx5HawccNttIW8=</DigestValue>
      </Reference>
      <Reference URI="/xl/printerSettings/printerSettings4.bin?ContentType=application/vnd.openxmlformats-officedocument.spreadsheetml.printerSettings">
        <DigestMethod Algorithm="http://www.w3.org/2001/04/xmlenc#sha256"/>
        <DigestValue>z8zxuxVMTHzBCmzzd3MCNRyDg3ReBJFpy6jXe93BaVk=</DigestValue>
      </Reference>
      <Reference URI="/xl/printerSettings/printerSettings5.bin?ContentType=application/vnd.openxmlformats-officedocument.spreadsheetml.printerSettings">
        <DigestMethod Algorithm="http://www.w3.org/2001/04/xmlenc#sha256"/>
        <DigestValue>eK1Jbu61tm9xhuScqk4isB+tvbvT6Cye+mAgWcxsn0E=</DigestValue>
      </Reference>
      <Reference URI="/xl/printerSettings/printerSettings6.bin?ContentType=application/vnd.openxmlformats-officedocument.spreadsheetml.printerSettings">
        <DigestMethod Algorithm="http://www.w3.org/2001/04/xmlenc#sha256"/>
        <DigestValue>+Bwq0awAqgkYPTPvVFvk9FkHxHSokQ9ZeD47Qw61Mw4=</DigestValue>
      </Reference>
      <Reference URI="/xl/printerSettings/printerSettings7.bin?ContentType=application/vnd.openxmlformats-officedocument.spreadsheetml.printerSettings">
        <DigestMethod Algorithm="http://www.w3.org/2001/04/xmlenc#sha256"/>
        <DigestValue>pzHCxJZJqV8QN3TxJNQIsgGd/jmH7l/G8/3LR3ZSRLA=</DigestValue>
      </Reference>
      <Reference URI="/xl/printerSettings/printerSettings8.bin?ContentType=application/vnd.openxmlformats-officedocument.spreadsheetml.printerSettings">
        <DigestMethod Algorithm="http://www.w3.org/2001/04/xmlenc#sha256"/>
        <DigestValue>pPIqYH+fFmPXe5Ug7lS+e4DQjEUlNECZSuBR07rm0ls=</DigestValue>
      </Reference>
      <Reference URI="/xl/printerSettings/printerSettings9.bin?ContentType=application/vnd.openxmlformats-officedocument.spreadsheetml.printerSettings">
        <DigestMethod Algorithm="http://www.w3.org/2001/04/xmlenc#sha256"/>
        <DigestValue>R8hhUo7IOeKH+vJW5iaHwtd4Ijyclq+7Fr0GyBVHSAM=</DigestValue>
      </Reference>
      <Reference URI="/xl/sharedStrings.xml?ContentType=application/vnd.openxmlformats-officedocument.spreadsheetml.sharedStrings+xml">
        <DigestMethod Algorithm="http://www.w3.org/2001/04/xmlenc#sha256"/>
        <DigestValue>mf5S0uGNi4YD0AycM5ymulDsp6hNyLUmyi1LKvjn+Vs=</DigestValue>
      </Reference>
      <Reference URI="/xl/styles.xml?ContentType=application/vnd.openxmlformats-officedocument.spreadsheetml.styles+xml">
        <DigestMethod Algorithm="http://www.w3.org/2001/04/xmlenc#sha256"/>
        <DigestValue>0B5HJmQH8BySTX8jfWSDbTlAFMKkT3TYmhjhUxMrFpE=</DigestValue>
      </Reference>
      <Reference URI="/xl/theme/theme1.xml?ContentType=application/vnd.openxmlformats-officedocument.theme+xml">
        <DigestMethod Algorithm="http://www.w3.org/2001/04/xmlenc#sha256"/>
        <DigestValue>0od3cWFb7H/9sr1fB3xS8N4PVwSWcnr1ynQI1Jvf//w=</DigestValue>
      </Reference>
      <Reference URI="/xl/vbaProject.bin?ContentType=application/vnd.ms-office.vbaProject">
        <DigestMethod Algorithm="http://www.w3.org/2001/04/xmlenc#sha256"/>
        <DigestValue>Ugkdc5vERsAj17qbwm6u4B5HxbD/jHLmRU3qPIjuwWs=</DigestValue>
      </Reference>
      <Reference URI="/xl/workbook.xml?ContentType=application/vnd.ms-excel.sheet.macroEnabled.main+xml">
        <DigestMethod Algorithm="http://www.w3.org/2001/04/xmlenc#sha256"/>
        <DigestValue>pdNCCy8Dv3Cl5XO7WdcC9UGcHjSb/wzbKPtfp/MhxKY=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ZOZ+2y8KlgARq7v4vsPrD4nIDV4Rqtubx7lLXn+BYVI=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irs/Pu/FzvxUJmFujRUwEQEL1S0ghz68+kVFgf3MIs8=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PbUdHje5Rm4GZ320WvgMLxFTLTux96INn5iRrc345z8=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nVdaLnoajam51TGOlrmRni4djWEIQqg4ElzK7Qozmjg=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M016SzmpgA7bxaBlIvmh058sE1YDfgyvGtEPMbbinCg=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vINZVdYTnWsUzrikN2wX9VfapVvCbw5lEyJ+0po6FDw=</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XwJZYY99dAXpkNEkW01EqdGE1Z5ZxXEDfiNCivp30bQ=</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LJzkrrd6qHGW0kUjDOxrgCU7PL6g4ZPjrLWOA4g4obw=</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KbvbancbHx1hfgskjRa1DqufahSTF05M4TT8Sic+0DQ=</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U56pkPjCa7VxeOoxkcTwEPh3eF+ehkIGXaZ1+PNmvuI=</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ufUJ52jf2v/jbYx4/iBFUgbBJWA+JjRnyZ4GvN2fArE=</DigestValue>
      </Reference>
      <Reference URI="/xl/worksheets/sheet10.xml?ContentType=application/vnd.openxmlformats-officedocument.spreadsheetml.worksheet+xml">
        <DigestMethod Algorithm="http://www.w3.org/2001/04/xmlenc#sha256"/>
        <DigestValue>g9ZCdnLgtukhYsRAKz4yHL6CrzmF4ljpjfS0GvBwqF8=</DigestValue>
      </Reference>
      <Reference URI="/xl/worksheets/sheet11.xml?ContentType=application/vnd.openxmlformats-officedocument.spreadsheetml.worksheet+xml">
        <DigestMethod Algorithm="http://www.w3.org/2001/04/xmlenc#sha256"/>
        <DigestValue>JTzpzZmaavhfYEq+/+Uxkzx43Ch4WDyoi8ShPBiXt4Q=</DigestValue>
      </Reference>
      <Reference URI="/xl/worksheets/sheet12.xml?ContentType=application/vnd.openxmlformats-officedocument.spreadsheetml.worksheet+xml">
        <DigestMethod Algorithm="http://www.w3.org/2001/04/xmlenc#sha256"/>
        <DigestValue>6Jg0t2Ljw1ZYa2mDqFJGPTsccM2XBrmCW+imV37uyyc=</DigestValue>
      </Reference>
      <Reference URI="/xl/worksheets/sheet13.xml?ContentType=application/vnd.openxmlformats-officedocument.spreadsheetml.worksheet+xml">
        <DigestMethod Algorithm="http://www.w3.org/2001/04/xmlenc#sha256"/>
        <DigestValue>m4uomHKv1bv0mryts9SUEf7i4FV7Id628bxeVQthFvo=</DigestValue>
      </Reference>
      <Reference URI="/xl/worksheets/sheet14.xml?ContentType=application/vnd.openxmlformats-officedocument.spreadsheetml.worksheet+xml">
        <DigestMethod Algorithm="http://www.w3.org/2001/04/xmlenc#sha256"/>
        <DigestValue>hHYBSxvFNkzLawsE2xmmwU7DVchqEleDw8HY9m6s1D4=</DigestValue>
      </Reference>
      <Reference URI="/xl/worksheets/sheet15.xml?ContentType=application/vnd.openxmlformats-officedocument.spreadsheetml.worksheet+xml">
        <DigestMethod Algorithm="http://www.w3.org/2001/04/xmlenc#sha256"/>
        <DigestValue>giH0BqYANY2QzNa15BqFX3qH028b9skM2/xlwVxeEXo=</DigestValue>
      </Reference>
      <Reference URI="/xl/worksheets/sheet16.xml?ContentType=application/vnd.openxmlformats-officedocument.spreadsheetml.worksheet+xml">
        <DigestMethod Algorithm="http://www.w3.org/2001/04/xmlenc#sha256"/>
        <DigestValue>/rbFLkmezb8CXzEG4aWtZdmXtoJ4coNAUrM7DGaSCI8=</DigestValue>
      </Reference>
      <Reference URI="/xl/worksheets/sheet17.xml?ContentType=application/vnd.openxmlformats-officedocument.spreadsheetml.worksheet+xml">
        <DigestMethod Algorithm="http://www.w3.org/2001/04/xmlenc#sha256"/>
        <DigestValue>d7Ofs5kPQT9bNBFtGooyVvmG5qA4CKLNuNsphO6qX98=</DigestValue>
      </Reference>
      <Reference URI="/xl/worksheets/sheet18.xml?ContentType=application/vnd.openxmlformats-officedocument.spreadsheetml.worksheet+xml">
        <DigestMethod Algorithm="http://www.w3.org/2001/04/xmlenc#sha256"/>
        <DigestValue>ziQJpzxeZYI2A/huKzPVe/VQ9pM5pxe9pSBBpn8vZws=</DigestValue>
      </Reference>
      <Reference URI="/xl/worksheets/sheet19.xml?ContentType=application/vnd.openxmlformats-officedocument.spreadsheetml.worksheet+xml">
        <DigestMethod Algorithm="http://www.w3.org/2001/04/xmlenc#sha256"/>
        <DigestValue>eyBEKp7YV7edK5ko75fQ0i5oFglqHeRyUJvB78L+Czo=</DigestValue>
      </Reference>
      <Reference URI="/xl/worksheets/sheet2.xml?ContentType=application/vnd.openxmlformats-officedocument.spreadsheetml.worksheet+xml">
        <DigestMethod Algorithm="http://www.w3.org/2001/04/xmlenc#sha256"/>
        <DigestValue>SkZ0ENERBKI8t6U0r7FnY4kfxCsU9laM7f/kdFs9d7s=</DigestValue>
      </Reference>
      <Reference URI="/xl/worksheets/sheet20.xml?ContentType=application/vnd.openxmlformats-officedocument.spreadsheetml.worksheet+xml">
        <DigestMethod Algorithm="http://www.w3.org/2001/04/xmlenc#sha256"/>
        <DigestValue>ksJSLwyiETQ69icqFLAXTM7R7WZ8MXYEez+FpPl/Oi4=</DigestValue>
      </Reference>
      <Reference URI="/xl/worksheets/sheet21.xml?ContentType=application/vnd.openxmlformats-officedocument.spreadsheetml.worksheet+xml">
        <DigestMethod Algorithm="http://www.w3.org/2001/04/xmlenc#sha256"/>
        <DigestValue>fiGpVzvjVDkYh85f9Ioo2GuTGMHbXWlBS60cJVyazqk=</DigestValue>
      </Reference>
      <Reference URI="/xl/worksheets/sheet22.xml?ContentType=application/vnd.openxmlformats-officedocument.spreadsheetml.worksheet+xml">
        <DigestMethod Algorithm="http://www.w3.org/2001/04/xmlenc#sha256"/>
        <DigestValue>ToeWWQn4+mR4XlkKw1/p0pb3iTD2ExMBaCPMrzI81yM=</DigestValue>
      </Reference>
      <Reference URI="/xl/worksheets/sheet23.xml?ContentType=application/vnd.openxmlformats-officedocument.spreadsheetml.worksheet+xml">
        <DigestMethod Algorithm="http://www.w3.org/2001/04/xmlenc#sha256"/>
        <DigestValue>Pait2oUQ0dPFCFSl48y8e6slINypOKSYfqyes2HOTOU=</DigestValue>
      </Reference>
      <Reference URI="/xl/worksheets/sheet24.xml?ContentType=application/vnd.openxmlformats-officedocument.spreadsheetml.worksheet+xml">
        <DigestMethod Algorithm="http://www.w3.org/2001/04/xmlenc#sha256"/>
        <DigestValue>xra0weMYbE/24YmHwqJNG2URAS1l7JfimJXHUdy4rPs=</DigestValue>
      </Reference>
      <Reference URI="/xl/worksheets/sheet25.xml?ContentType=application/vnd.openxmlformats-officedocument.spreadsheetml.worksheet+xml">
        <DigestMethod Algorithm="http://www.w3.org/2001/04/xmlenc#sha256"/>
        <DigestValue>giDXlF7oRf0tDXb5T1xjBTHzYc+dy95vZSnGEtuvOmU=</DigestValue>
      </Reference>
      <Reference URI="/xl/worksheets/sheet26.xml?ContentType=application/vnd.openxmlformats-officedocument.spreadsheetml.worksheet+xml">
        <DigestMethod Algorithm="http://www.w3.org/2001/04/xmlenc#sha256"/>
        <DigestValue>dc5bMymStWhuoiHBeiJGgHUAaAbBjW3fHtsjq1ldECQ=</DigestValue>
      </Reference>
      <Reference URI="/xl/worksheets/sheet27.xml?ContentType=application/vnd.openxmlformats-officedocument.spreadsheetml.worksheet+xml">
        <DigestMethod Algorithm="http://www.w3.org/2001/04/xmlenc#sha256"/>
        <DigestValue>MN4cVZcLu1b7Jcju9V5Ns9XQF9Pa2G8VDMc2Q/GI1OY=</DigestValue>
      </Reference>
      <Reference URI="/xl/worksheets/sheet28.xml?ContentType=application/vnd.openxmlformats-officedocument.spreadsheetml.worksheet+xml">
        <DigestMethod Algorithm="http://www.w3.org/2001/04/xmlenc#sha256"/>
        <DigestValue>Y94IqKl5ACHidT54OjHMqDJQVKErw2gLUDeGUHqXdD8=</DigestValue>
      </Reference>
      <Reference URI="/xl/worksheets/sheet29.xml?ContentType=application/vnd.openxmlformats-officedocument.spreadsheetml.worksheet+xml">
        <DigestMethod Algorithm="http://www.w3.org/2001/04/xmlenc#sha256"/>
        <DigestValue>6b/I8+tp+QMfEyPB9pX8g+AV4I3ZRZZfR1SJND4XxL4=</DigestValue>
      </Reference>
      <Reference URI="/xl/worksheets/sheet3.xml?ContentType=application/vnd.openxmlformats-officedocument.spreadsheetml.worksheet+xml">
        <DigestMethod Algorithm="http://www.w3.org/2001/04/xmlenc#sha256"/>
        <DigestValue>GBJFI7gy0fPrv8Ev4gYhzLod/QV3lmTT+hmuFOjnU9E=</DigestValue>
      </Reference>
      <Reference URI="/xl/worksheets/sheet30.xml?ContentType=application/vnd.openxmlformats-officedocument.spreadsheetml.worksheet+xml">
        <DigestMethod Algorithm="http://www.w3.org/2001/04/xmlenc#sha256"/>
        <DigestValue>idpvOHZ9fdmR0E8U7h5sSwypyJ5wLuGNsniSblMYIjM=</DigestValue>
      </Reference>
      <Reference URI="/xl/worksheets/sheet31.xml?ContentType=application/vnd.openxmlformats-officedocument.spreadsheetml.worksheet+xml">
        <DigestMethod Algorithm="http://www.w3.org/2001/04/xmlenc#sha256"/>
        <DigestValue>Jd53D8690gdyxzL9pvjG7WtC+gmWcyTtIscpjTna1y4=</DigestValue>
      </Reference>
      <Reference URI="/xl/worksheets/sheet32.xml?ContentType=application/vnd.openxmlformats-officedocument.spreadsheetml.worksheet+xml">
        <DigestMethod Algorithm="http://www.w3.org/2001/04/xmlenc#sha256"/>
        <DigestValue>okm3L8/zd5Iy82viC9qGiQvlpMtYbh/2vxwTiIyhdVQ=</DigestValue>
      </Reference>
      <Reference URI="/xl/worksheets/sheet33.xml?ContentType=application/vnd.openxmlformats-officedocument.spreadsheetml.worksheet+xml">
        <DigestMethod Algorithm="http://www.w3.org/2001/04/xmlenc#sha256"/>
        <DigestValue>xCOlIOKYxbAqwHOt73DQ0QXFh+vXZKKL2y1r1NFNZVs=</DigestValue>
      </Reference>
      <Reference URI="/xl/worksheets/sheet34.xml?ContentType=application/vnd.openxmlformats-officedocument.spreadsheetml.worksheet+xml">
        <DigestMethod Algorithm="http://www.w3.org/2001/04/xmlenc#sha256"/>
        <DigestValue>aPpKPZ0zM2/owH/ZV1C3pUEcA8jJ10a9Lzagd6tfDI4=</DigestValue>
      </Reference>
      <Reference URI="/xl/worksheets/sheet35.xml?ContentType=application/vnd.openxmlformats-officedocument.spreadsheetml.worksheet+xml">
        <DigestMethod Algorithm="http://www.w3.org/2001/04/xmlenc#sha256"/>
        <DigestValue>roJFBL3JIvZ01mHmvwzQGMbCRfXCbfk0naw0JCeYJos=</DigestValue>
      </Reference>
      <Reference URI="/xl/worksheets/sheet36.xml?ContentType=application/vnd.openxmlformats-officedocument.spreadsheetml.worksheet+xml">
        <DigestMethod Algorithm="http://www.w3.org/2001/04/xmlenc#sha256"/>
        <DigestValue>m5TNGJ/l0NhJQcaxQR0m31glUaRF0Gg6BTo0nysK3DM=</DigestValue>
      </Reference>
      <Reference URI="/xl/worksheets/sheet37.xml?ContentType=application/vnd.openxmlformats-officedocument.spreadsheetml.worksheet+xml">
        <DigestMethod Algorithm="http://www.w3.org/2001/04/xmlenc#sha256"/>
        <DigestValue>Vb4Usx0AQyhTwM8eOsNZUKQXtqnQ2hPmncOgVjseUW8=</DigestValue>
      </Reference>
      <Reference URI="/xl/worksheets/sheet38.xml?ContentType=application/vnd.openxmlformats-officedocument.spreadsheetml.worksheet+xml">
        <DigestMethod Algorithm="http://www.w3.org/2001/04/xmlenc#sha256"/>
        <DigestValue>6M4y75V9dHD7ET90RNCNCrgXy+Pi2lgz+cwEdRQPIpI=</DigestValue>
      </Reference>
      <Reference URI="/xl/worksheets/sheet39.xml?ContentType=application/vnd.openxmlformats-officedocument.spreadsheetml.worksheet+xml">
        <DigestMethod Algorithm="http://www.w3.org/2001/04/xmlenc#sha256"/>
        <DigestValue>HtG9QR+VtdRay2SH0SQlEFJlM4Ra8/0GPNoaIZUR9dw=</DigestValue>
      </Reference>
      <Reference URI="/xl/worksheets/sheet4.xml?ContentType=application/vnd.openxmlformats-officedocument.spreadsheetml.worksheet+xml">
        <DigestMethod Algorithm="http://www.w3.org/2001/04/xmlenc#sha256"/>
        <DigestValue>14U02jNcGUANKmVLGAseeWtobTyrppxbUk/6fDj9ZSg=</DigestValue>
      </Reference>
      <Reference URI="/xl/worksheets/sheet40.xml?ContentType=application/vnd.openxmlformats-officedocument.spreadsheetml.worksheet+xml">
        <DigestMethod Algorithm="http://www.w3.org/2001/04/xmlenc#sha256"/>
        <DigestValue>VwA6L4n4T+BBLsxgnpV3zx0HNW8GYeWPCBj6czDom9w=</DigestValue>
      </Reference>
      <Reference URI="/xl/worksheets/sheet41.xml?ContentType=application/vnd.openxmlformats-officedocument.spreadsheetml.worksheet+xml">
        <DigestMethod Algorithm="http://www.w3.org/2001/04/xmlenc#sha256"/>
        <DigestValue>/fGkRt/dsNg5IpmpsB+1kNKT+jrXWAoo9bFOyr2nJig=</DigestValue>
      </Reference>
      <Reference URI="/xl/worksheets/sheet42.xml?ContentType=application/vnd.openxmlformats-officedocument.spreadsheetml.worksheet+xml">
        <DigestMethod Algorithm="http://www.w3.org/2001/04/xmlenc#sha256"/>
        <DigestValue>e8qy2PJpf7PvfCh1pMP8RgH9v9Ux9W6fYlZxkO/Qs+o=</DigestValue>
      </Reference>
      <Reference URI="/xl/worksheets/sheet43.xml?ContentType=application/vnd.openxmlformats-officedocument.spreadsheetml.worksheet+xml">
        <DigestMethod Algorithm="http://www.w3.org/2001/04/xmlenc#sha256"/>
        <DigestValue>cg6ez5VhMn2fwKwA4CFbfWFgLYdRLUBz2JRoMe7pM9Q=</DigestValue>
      </Reference>
      <Reference URI="/xl/worksheets/sheet44.xml?ContentType=application/vnd.openxmlformats-officedocument.spreadsheetml.worksheet+xml">
        <DigestMethod Algorithm="http://www.w3.org/2001/04/xmlenc#sha256"/>
        <DigestValue>VK/B2rNjwYPB0Dkop/G86uE5ZtagntgXtIPdEQt81kQ=</DigestValue>
      </Reference>
      <Reference URI="/xl/worksheets/sheet45.xml?ContentType=application/vnd.openxmlformats-officedocument.spreadsheetml.worksheet+xml">
        <DigestMethod Algorithm="http://www.w3.org/2001/04/xmlenc#sha256"/>
        <DigestValue>ScUHvWewMmdYAOzVRHmJQXCryzKGFoUvJXAutgnf/Cs=</DigestValue>
      </Reference>
      <Reference URI="/xl/worksheets/sheet46.xml?ContentType=application/vnd.openxmlformats-officedocument.spreadsheetml.worksheet+xml">
        <DigestMethod Algorithm="http://www.w3.org/2001/04/xmlenc#sha256"/>
        <DigestValue>eU1ck6f4sS68QmvJ8jQZRncuPYmC0yFVWgkP1hprLvQ=</DigestValue>
      </Reference>
      <Reference URI="/xl/worksheets/sheet47.xml?ContentType=application/vnd.openxmlformats-officedocument.spreadsheetml.worksheet+xml">
        <DigestMethod Algorithm="http://www.w3.org/2001/04/xmlenc#sha256"/>
        <DigestValue>DrkvHAbAVo2GZHeVA2gpYHBl3J0bUbomjWXhxwmU3Uc=</DigestValue>
      </Reference>
      <Reference URI="/xl/worksheets/sheet5.xml?ContentType=application/vnd.openxmlformats-officedocument.spreadsheetml.worksheet+xml">
        <DigestMethod Algorithm="http://www.w3.org/2001/04/xmlenc#sha256"/>
        <DigestValue>BeipflQTFRVW4apPJXWle8pg9PgLusUpW/+IW+zJ/6I=</DigestValue>
      </Reference>
      <Reference URI="/xl/worksheets/sheet6.xml?ContentType=application/vnd.openxmlformats-officedocument.spreadsheetml.worksheet+xml">
        <DigestMethod Algorithm="http://www.w3.org/2001/04/xmlenc#sha256"/>
        <DigestValue>FVnmKBLGHHMkZDTTvwh5SziTPgNdLoE2oHJkr9RNOoM=</DigestValue>
      </Reference>
      <Reference URI="/xl/worksheets/sheet7.xml?ContentType=application/vnd.openxmlformats-officedocument.spreadsheetml.worksheet+xml">
        <DigestMethod Algorithm="http://www.w3.org/2001/04/xmlenc#sha256"/>
        <DigestValue>n7qlkAZJcJLdLzhC0pmmFZeumC2LTGFP9kTD7O7h+Ho=</DigestValue>
      </Reference>
      <Reference URI="/xl/worksheets/sheet8.xml?ContentType=application/vnd.openxmlformats-officedocument.spreadsheetml.worksheet+xml">
        <DigestMethod Algorithm="http://www.w3.org/2001/04/xmlenc#sha256"/>
        <DigestValue>MXiwA6F4kj/6styJWeShsSSs4bS0IQd3M0VN7UuKc+Y=</DigestValue>
      </Reference>
      <Reference URI="/xl/worksheets/sheet9.xml?ContentType=application/vnd.openxmlformats-officedocument.spreadsheetml.worksheet+xml">
        <DigestMethod Algorithm="http://www.w3.org/2001/04/xmlenc#sha256"/>
        <DigestValue>1yRKzLkJVTWSchu2iF1Cxrl5ajenNrrTzFh7MuoFK7w=</DigestValue>
      </Reference>
    </Manifest>
    <SignatureProperties>
      <SignatureProperty Id="idSignatureTime" Target="#idPackageSignature">
        <mdssi:SignatureTime xmlns:mdssi="http://schemas.openxmlformats.org/package/2006/digital-signature">
          <mdssi:Format>YYYY-MM-DDThh:mm:ssTZD</mdssi:Format>
          <mdssi:Value>2022-03-24T15:03:21Z</mdssi:Value>
        </mdssi:SignatureTime>
      </SignatureProperty>
    </SignatureProperties>
  </Object>
  <Object Id="idOfficeObject">
    <SignatureProperties>
      <SignatureProperty Id="idOfficeV1Details" Target="#idPackageSignature">
        <SignatureInfoV1 xmlns="http://schemas.microsoft.com/office/2006/digsig">
          <SetupID>{3DB2CE32-7839-49EF-8490-EC5B435647E1}</SetupID>
          <SignatureText>Daniel Elicetche</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2022-03-24T15:03:21Z</xd:SigningTime>
          <xd:SigningCertificate>
            <xd:Cert>
              <xd:CertDigest>
                <DigestMethod Algorithm="http://www.w3.org/2001/04/xmlenc#sha256"/>
                <DigestValue>XsjL6BZGbzFUTCsHl/BvXIOnvdMkLUhIU2c/dXMKlT4=</DigestValue>
              </xd:CertDigest>
              <xd:IssuerSerial>
                <X509IssuerName>C=PY, O=DOCUMENTA S.A., CN=CA-DOCUMENTA S.A., SERIALNUMBER=RUC 80050172-1</X509IssuerName>
                <X509SerialNumber>690731025112526207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eFAAAAwoAACBFTUYAAAEAiBwAAKoAAAAGAAAAAAAAAAAAAAAAAAAAgAcAADgEAAA1AQAArQAAAAAAAAAAAAAAAAAAAAi3BADIow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EAAAAFAAAANAEAABUAAADx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ISAAAADAAAAAEAAAAeAAAAGAAAAPEAAAAFAAAANQEAABYAAAAlAAAADAAAAAEAAABUAAAAiAAAAPIAAAAFAAAAMwEAABUAAAABAAAAAMCAQe0lgEHyAAAABQAAAAoAAABMAAAAAAAAAAAAAAAAAAAA//////////9gAAAAMgA0AC8AMAAzAC8AMgAwADIAMg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WAAAADAAAAAgAAABUAAAAVAAAAAwAAAA3AAAAIAAAAFoAAAABAAAAAMCAQe0lgEEMAAAAWwAAAAEAAABMAAAABAAAAAsAAAA3AAAAIgAAAFsAAABQAAAAWAAAABUAAAAWAAAADAAAAAAAAAAlAAAADAAAAAIAAAAnAAAAGAAAAAQAAAAAAAAA////AAAAAAAlAAAADAAAAAQAAABMAAAAZAAAAC0AAAAgAAAANAEAAFoAAAAtAAAAIAAAAAgBAAA7AAAAIQDwAAAAAAAAAAAAAACAPwAAAAAAAAAAAACAPwAAAAAAAAAAAAAAAAAAAAAAAAAAAAAAAAAAAAAAAAAAJQAAAAwAAAAAAACAKAAAAAwAAAAEAAAAJwAAABgAAAAEAAAAAAAAAP///wAAAAAAJQAAAAwAAAAEAAAATAAAAGQAAAAtAAAAIAAAADQBAABWAAAALQAAACAAAAAIAQAANwAAACEA8AAAAAAAAAAAAAAAgD8AAAAAAAAAAAAAgD8AAAAAAAAAAAAAAAAAAAAAAAAAAAAAAAAAAAAAAAAAACUAAAAMAAAAAAAAgCgAAAAMAAAABAAAACcAAAAYAAAABAAAAAAAAAD///8AAAAAACUAAAAMAAAABAAAAEwAAABkAAAALQAAADsAAAC2AAAAVgAAAC0AAAA7AAAAig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hIAAAAMAAAAAQAAAB4AAAAYAAAALQAAADsAAAC3AAAAVwAAACUAAAAMAAAABAAAAFQAAACsAAAALgAAADsAAAC1AAAAVgAAAAEAAAAAwIBB7SWAQS4AAAA7AAAAEAAAAEwAAAAAAAAAAAAAAAAAAAD//////////2wAAABEAGEAbgBpAGUAbAAgAEUAbABpAGMAZQB0AGMAaABlAA4AAAAKAAAACwAAAAUAAAAKAAAABQAAAAUAAAAKAAAABQAAAAUAAAAJAAAACgAAAAcAAAAJAAAACwAAAAo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CwAAAGEAAAA0AQAAcQAAAAsAAABhAAAAKgEAABEAAAAhAPAAAAAAAAAAAAAAAIA/AAAAAAAAAAAAAIA/AAAAAAAAAAAAAAAAAAAAAAAAAAAAAAAAAAAAAAAAAAAlAAAADAAAAAAAAIAoAAAADAAAAAUAAAAlAAAADAAAAAEAAAAYAAAADAAAAAAAAAISAAAADAAAAAEAAAAeAAAAGAAAAAsAAABhAAAANQEAAHIAAAAlAAAADAAAAAEAAABUAAAAzAAAAAwAAABhAAAAlAAAAHEAAAABAAAAAMCAQe0lgEEMAAAAYQAAABUAAABMAAAAAAAAAAAAAAAAAAAA//////////94AAAARABSAC4AIABEAEEATgBJAEUATAAgAEUATABJAEMARQBUAEMASABFACAAAAAJAAAACAAAAAMAAAAEAAAACQAAAAgAAAAKAAAAAwAAAAcAAAAGAAAABAAAAAcAAAAGAAAAAwAAAAgAAAAHAAAABwAAAAgAAAAJAAAABwAAAAQAAABLAAAAQAAAADAAAAAFAAAAIAAAAAEAAAABAAAAEAAAAAAAAAAAAAAAQAEAAKAAAAAAAAAAAAAAAEABAACgAAAAJQAAAAwAAAACAAAAJwAAABgAAAAFAAAAAAAAAP///wAAAAAAJQAAAAwAAAAFAAAATAAAAGQAAAALAAAAdgAAADQBAACGAAAACwAAAHYAAAAqAQAAEQAAACEA8AAAAAAAAAAAAAAAgD8AAAAAAAAAAAAAgD8AAAAAAAAAAAAAAAAAAAAAAAAAAAAAAAAAAAAAAAAAACUAAAAMAAAAAAAAgCgAAAAMAAAABQAAACUAAAAMAAAAAQAAABgAAAAMAAAAAAAAAhIAAAAMAAAAAQAAAB4AAAAYAAAACwAAAHYAAAA1AQAAhwAAACUAAAAMAAAAAQAAAFQAAABQAQAADAAAAHYAAAAsAQAAhgAAAAEAAAAAwIBB7SWAQQwAAAB2AAAAKwAAAEwAAAAAAAAAAAAAAAAAAAD//////////6QAAABBAFUARABJAFQATwBSACAARQBYAFQARQBSAE4ATwAgAC0AIABEAEEATgBJAEUATAAgAEUATABJAEMARQBUAEMASABFACAAJgAgAEEAUwBPAC4ALgAuAAAACAAAAAkAAAAJAAAAAwAAAAcAAAAKAAAACAAAAAQAAAAHAAAACAAAAAcAAAAHAAAACAAAAAoAAAAKAAAABAAAAAUAAAAEAAAACQAAAAgAAAAKAAAAAwAAAAcAAAAGAAAABAAAAAcAAAAGAAAAAwAAAAgAAAAHAAAABwAAAAgAAAAJAAAABwAAAAQAAAAKAAAABAAAAAgAAAAHAAAACgAAAAMAAAADAAAAAwAAAEsAAABAAAAAMAAAAAUAAAAgAAAAAQAAAAEAAAAQAAAAAAAAAAAAAABAAQAAoAAAAAAAAAAAAAAAQAEAAKAAAAAlAAAADAAAAAIAAAAnAAAAGAAAAAUAAAAAAAAA////AAAAAAAlAAAADAAAAAUAAABMAAAAZAAAAAsAAACLAAAABwEAAJsAAAALAAAAiwAAAP0AAAARAAAAIQDwAAAAAAAAAAAAAACAPwAAAAAAAAAAAACAPwAAAAAAAAAAAAAAAAAAAAAAAAAAAAAAAAAAAAAAAAAAJQAAAAwAAAAAAACAKAAAAAwAAAAFAAAAJQAAAAwAAAABAAAAGAAAAAwAAAAAAAACEgAAAAwAAAABAAAAFgAAAAwAAAAAAAAAVAAAACwBAAAMAAAAiwAAAAYBAACbAAAAAQAAAADAgEHtJYBBDAAAAIsAAAAlAAAATAAAAAQAAAALAAAAiwAAAAgBAACcAAAAmAAAAEYAaQByAG0AYQBkAG8AIABwAG8AcgA6ACAARABBAE4ASQBFAEwAIABPAFMAVgBBAEwARABPACAARQBMAEkAQwBFAFQAQwBIAEUAAAAGAAAAAwAAAAUAAAALAAAABwAAAAgAAAAIAAAABAAAAAgAAAAIAAAABQAAAAMAAAAEAAAACQAAAAgAAAAKAAAAAwAAAAcAAAAGAAAABAAAAAoAAAAHAAAACAAAAAgAAAAGAAAACQAAAAoAAAAEAAAABwAAAAYAAAADAAAACAAAAAcAAAAHAAAACAAAAAkAAAAHAAAAFgAAAAwAAAAAAAAAJQAAAAwAAAACAAAADgAAABQAAAAAAAAAEAAAABQAAAA=</Object>
  <Object Id="idInvalidSigLnImg">AQAAAGwAAAAAAAAAAAAAAD8BAACfAAAAAAAAAAAAAAAeFAAAAwoAACBFTUYAAAEAvCAAALAAAAAGAAAAAAAAAAAAAAAAAAAAgAcAADgEAAA1AQAArQAAAAAAAAAAAAAAAAAAAAi3BADIow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QHEYtTcEbL3YAAAAAAAAAAAAAAAAAAAAAAAAMFjcWJ2IAAAAAAAAAAAAAAAAAAAAbL3YyVdYyVdYSIFAAAAAAAAAAAAAAAAAMFjcwUs4OGT6CwupfhK1fhK1fhK1Qb5IHCxotTsQyVdYwU9ANFzkdKDQkM0MMFjcwUs4iO5QAAABfhK2u2PGCwurN5/eCwupxf4gMFTQwUs4yVdYwUs4MFjcMFjcwUs4vUMkHCxoAAABfhK2Cwur///////////////+Hh4cKEi0tTcEyVdYwUs4wUs4yVdYOGT4wQlcAAABfhK3M5vb///////////////////9aWloGCxsvUMkyVdYyVdYjPZkBAgJGYYAAAABfhK2Cwur///+xfUqxfUqod0ZdXV0GCxslQKEyVdYyVdYyVdYyVdYhOY8CBAoAAABfhK3M5vb///////////9CQkIRHksvUcsyVdYyVdYaLXEIDiMiOpIyVdYrSroMFTRfhK2Cwur////q9fyCwuoPFhssTL8yVdYtTsQRHUk2NjaxsbE/Pz8KEi0bL3YHDSBfhK3M5vb///+CwuqCwupBYnYLEy8aLXEICxJ1dXX5+fn///////+er7ozR10AAABfhK2Cwur///+CwuqCwuqCwupgj62NjY3b29v///////////////+CwupfhK0AAABfhK3M5vb////q9fyCwuqCwurc7vn////////////////////////T6fhfhK0AAABfhK2Cwur///////////////////////////////////////////+CwupfhK0AAABfhK2u2PGCwurN5/eCwurN5/eCwurN5/eCwurN5/eCwurN5/eCwuqz2vJfhK0AAACCwupfhK1fhK1fhK1fhK1fhK1fhK1fhK1fhK1fhK1fhK1fhK1fhK1fhK2Cwuo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ISAAAADAAAAAEAAAAeAAAAGAAAACoAAAAFAAAAhQAAABYAAAAlAAAADAAAAAEAAABUAAAAqAAAACsAAAAFAAAAgwAAABUAAAABAAAAAMCAQe0lgEEr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hIAAAAMAAAAAQAAABYAAAAMAAAACAAAAFQAAABUAAAADAAAADcAAAAgAAAAWgAAAAEAAAAAwIBB7SWA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YAAABWAAAALQAAADsAAACK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CEgAAAAwAAAABAAAAHgAAABgAAAAtAAAAOwAAALcAAABXAAAAJQAAAAwAAAAEAAAAVAAAAKwAAAAuAAAAOwAAALUAAABWAAAAAQAAAADAgEHtJYBBLgAAADsAAAAQAAAATAAAAAAAAAAAAAAAAAAAAP//////////bAAAAEQAYQBuAGkAZQBsACAARQBsAGkAYwBlAHQAYwBoAGUADgAAAAoAAAALAAAABQAAAAoAAAAFAAAABQAAAAoAAAAFAAAABQAAAAkAAAAKAAAABwAAAAkAAAALAAAACg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LAAAAYQAAADQBAABxAAAACwAAAGEAAAAqAQAAEQAAACEA8AAAAAAAAAAAAAAAgD8AAAAAAAAAAAAAgD8AAAAAAAAAAAAAAAAAAAAAAAAAAAAAAAAAAAAAAAAAACUAAAAMAAAAAAAAgCgAAAAMAAAABQAAACUAAAAMAAAAAQAAABgAAAAMAAAAAAAAAhIAAAAMAAAAAQAAAB4AAAAYAAAACwAAAGEAAAA1AQAAcgAAACUAAAAMAAAAAQAAAFQAAADMAAAADAAAAGEAAACUAAAAcQAAAAEAAAAAwIBB7SWAQQwAAABhAAAAFQAAAEwAAAAAAAAAAAAAAAAAAAD//////////3gAAABEAFIALgAgAEQAQQBOAEkARQBMACAARQBMAEkAQwBFAFQAQwBIAEUAIAAAAAkAAAAIAAAAAwAAAAQAAAAJAAAACAAAAAoAAAADAAAABwAAAAYAAAAEAAAABwAAAAYAAAADAAAACAAAAAcAAAAHAAAACAAAAAk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CEgAAAAwAAAABAAAAHgAAABgAAAALAAAAdgAAADUBAACHAAAAJQAAAAwAAAABAAAAVAAAAFABAAAMAAAAdgAAACwBAACGAAAAAQAAAADAgEHtJYBBDAAAAHYAAAArAAAATAAAAAAAAAAAAAAAAAAAAP//////////pAAAAEEAVQBEAEkAVABPAFIAIABFAFgAVABFAFIATgBPACAALQAgAEQAQQBOAEkARQBMACAARQBMAEkAQwBFAFQAQwBIAEUAIAAmACAAQQBTAE8ALgAuAC4AAAAIAAAACQAAAAkAAAADAAAABwAAAAoAAAAIAAAABAAAAAcAAAAIAAAABwAAAAcAAAAIAAAACgAAAAoAAAAEAAAABQAAAAQAAAAJAAAACAAAAAoAAAADAAAABwAAAAYAAAAEAAAABwAAAAYAAAADAAAACAAAAAcAAAAHAAAACAAAAAkAAAAHAAAABAAAAAoAAAAEAAAACAAAAAcAAAAKAAAAAwAAAAMAAAADAAAASwAAAEAAAAAwAAAABQAAACAAAAABAAAAAQAAABAAAAAAAAAAAAAAAEABAACgAAAAAAAAAAAAAABAAQAAoAAAACUAAAAMAAAAAgAAACcAAAAYAAAABQAAAAAAAAD///8AAAAAACUAAAAMAAAABQAAAEwAAABkAAAACwAAAIsAAAAHAQAAmwAAAAsAAACLAAAA/QAAABEAAAAhAPAAAAAAAAAAAAAAAIA/AAAAAAAAAAAAAIA/AAAAAAAAAAAAAAAAAAAAAAAAAAAAAAAAAAAAAAAAAAAlAAAADAAAAAAAAIAoAAAADAAAAAUAAAAlAAAADAAAAAEAAAAYAAAADAAAAAAAAAISAAAADAAAAAEAAAAWAAAADAAAAAAAAABUAAAALAEAAAwAAACLAAAABgEAAJsAAAABAAAAAMCAQe0lgEEMAAAAiwAAACUAAABMAAAABAAAAAsAAACLAAAACAEAAJwAAACYAAAARgBpAHIAbQBhAGQAbwAgAHAAbwByADoAIABEAEEATgBJAEUATAAgAE8AUwBWAEEATABEAE8AIABFAEwASQBDAEUAVABDAEgARQAAAAYAAAADAAAABQAAAAsAAAAHAAAACAAAAAgAAAAEAAAACAAAAAgAAAAFAAAAAwAAAAQAAAAJAAAACAAAAAoAAAADAAAABwAAAAYAAAAEAAAACgAAAAcAAAAIAAAACAAAAAYAAAAJAAAACgAAAAQAAAAHAAAABgAAAAMAAAAIAAAABwAAAAcAAAAIAAAACQAAAAc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AYd7tGAsxrdicVkPtar+iIjVx6e0hnDPXoUnOdfztz0=</DigestValue>
    </Reference>
    <Reference Type="http://www.w3.org/2000/09/xmldsig#Object" URI="#idOfficeObject">
      <DigestMethod Algorithm="http://www.w3.org/2001/04/xmlenc#sha256"/>
      <DigestValue>/qeKvChwp31j2uHeB1p0zNMf/3Ubeh2c0cdbCiTddwo=</DigestValue>
    </Reference>
    <Reference Type="http://uri.etsi.org/01903#SignedProperties" URI="#idSignedProperties">
      <Transforms>
        <Transform Algorithm="http://www.w3.org/TR/2001/REC-xml-c14n-20010315"/>
      </Transforms>
      <DigestMethod Algorithm="http://www.w3.org/2001/04/xmlenc#sha256"/>
      <DigestValue>DEDsYIwo9qhKaAL15MiG1sbxNOp83VFsmqwWykv3R5U=</DigestValue>
    </Reference>
  </SignedInfo>
  <SignatureValue>Il0Ted47gxNN5Wf/ZRLBrWMpcKR8ButEHFfyvwdJzshdOSqo3lXN1YcCOmhd0iLTT9H8aO4YIlZ+
h1q9J3bbBtq11W5Hojb2GalvqIoHPcfbMb6WBkoV/lURmBVXr7eJg9MXFpJnwCUJ38nWuGKJNM8X
gfuxstg+RI26tG3Z51bY0tgjWvfD6S2r93dtBaXXqpkyQupHmpF1mI1jbsVIb45meU6H9KpIR3mr
aW+R6EdgqDEwPFsBsfH4SXFwFsNguhdTronl5CzGWfmEzKNNOspP7m7Mu/Wzk/2Fofc6cBlHcOFF
5KSZBjCojZTJg9QpKQMFDB9/YhR8JeGRZIy91Q==</SignatureValue>
  <KeyInfo>
    <X509Data>
      <X509Certificate>MIIHvzCCBaegAwIBAgIQfGZ2BKtxt8lhgXsYnqwIxjANBgkqhkiG9w0BAQsFADBPMRcwFQYDVQQFEw5SVUMgODAwODAwOTktMDELMAkGA1UEBhMCUFkxETAPBgNVBAoMCFZJVCBTLkEuMRQwEgYDVQQDEwtDQS1WSVQgUy5BLjAeFw0yMTExMDIxNzUzMjhaFw0yMzExMDIxNzUzMjhaMIGgMRUwEwYDVQQqDAxPU0NBUiBSQUZBRUwxFjAUBgNVBAQMDUJFTklURVogQ09EQVMxETAPBgNVBAUTCENJMjQ1OTM0MSMwIQYDVQQDDBpPU0NBUiBSQUZBRUwgQkVOSVRFWiBDT0RBUzERMA8GA1UECwwIRklSTUEgRjIxFzAVBgNVBAoMDlBFUlNPTkEgRklTSUNBMQswCQYDVQQGEwJQWTCCASIwDQYJKoZIhvcNAQEBBQADggEPADCCAQoCggEBAMMpnWLr+Kd6Hf1E/+S5v8ISmKXiif5n3iBxwpgChKzWeRM6WIayN/bBeF3J63KEkecfCHLlEE/x+U1aEJwbBKb2aKW9w3IQOugU+gKRwbam5ycl5B61Y0VnjLe7Q6l/7yrnxdi0dBerxi01x9bTnjfYT77V9CdQRf0tYJkiZZKxNKoFRvneSpXrHuZJeXkpcU7YOJXSv1FajlIgeCdRq/ls1dVyh20x5Yx/kQBcsDv5p27uMmgPed/D1fvLPX5A7GoPAaaHaa78JAYEoiunN0r0iGgk6DWmQyzNkNUBOqFGk5FXvLtuDjnPdbnZKw5KwksfTidZzNI9UywKyO09O3UCAwEAAaOCA0MwggM/MAwGA1UdEwEB/wQCMAAwDgYDVR0PAQH/BAQDAgXgMCwGA1UdJQEB/wQiMCAGCCsGAQUFBwMEBggrBgEFBQcDAgYKKwYBBAGCNxQCAjAdBgNVHQ4EFgQU7gvjbwJS/j2goRmWrxo5K4y52Rg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ZBgNVHREEEjAQgQ5PQkNAQkNBLkNPT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ACWElwa1Ep+OTq4NLjfvNqhYOu2m3IhSsR+/uL/Czb2HtbidolCD5cDdKy7jZGNDpsUiYASsoCJd8vNbQRVwTuwoOk1hjE1d1+OrVCo+qWYK3aOqKZxEeOImJdgp6WZxuNDXDSQZpp4fVHK0e6q8M7x1kxmUs3cmYKQ8F4NSD/gYG4ejF7i00msf6akhlaL4G0G8kYP6gLpvg+5u038y/NgCEfI0f/c3TD+m8lON1xDpqmPv590roZQtlkZ1BmR7gR5k4Xdh1n0UugYF+KNCSQbjnzYbq1iOJzJLK0eSD0s/oAY+8dDnE4KSNwaNg7hX8raiLP1JgdcmcQYM66Y7+w8NSvDdwMhv0eL1Le77pIYvKoP+cgQQOHA/SoaxEsHBA25JnyPLFgmdewZO8Kd3NglyqescHVs4ntTBDQfu08W6BA4Geyc8VNx/vpv4ltmPwlNlgWCU4v31bc/ZMFtxxAmB+WVDscj90bBy4e/ZV7Mqu8kNqC20PZbaBmhQ6fqsbhlFqR+rg49uviAEdxfmm3wstjO5+8bN4QOr6+69HG2padXiaJTteKtEGwiVwRNRWFJLMhMdAXEM9vd2/Mu6Y1ULfr/i2oESFOytI/3cGeS+pC1pZd+zxkAeym+/KlAFkdQDWtthOwPoWgoCDUXWo/N3ySEi1dUpzpsBIRdu4t0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3"/>
          </Transform>
          <Transform Algorithm="http://www.w3.org/TR/2001/REC-xml-c14n-20010315"/>
        </Transforms>
        <DigestMethod Algorithm="http://www.w3.org/2001/04/xmlenc#sha256"/>
        <DigestValue>ZtJk50TYd00jzpk7aiXOMIhtlM2myglTVkUw2IgSrD4=</DigestValue>
      </Reference>
      <Reference URI="/xl/calcChain.xml?ContentType=application/vnd.openxmlformats-officedocument.spreadsheetml.calcChain+xml">
        <DigestMethod Algorithm="http://www.w3.org/2001/04/xmlenc#sha256"/>
        <DigestValue>6iVc7VvdgiZVzfgqvlcL6Iys4NSVSFuivwG7hu+B398=</DigestValue>
      </Reference>
      <Reference URI="/xl/comments1.xml?ContentType=application/vnd.openxmlformats-officedocument.spreadsheetml.comments+xml">
        <DigestMethod Algorithm="http://www.w3.org/2001/04/xmlenc#sha256"/>
        <DigestValue>tjgcN1PnLr/E2TwqCl1Ozx5F7ycBiGlzORWc/uRGtZM=</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JzdKCmkMo2ToxdMCz/voGYM7XaXg/qcxeJh5Aw/jGGA=</DigestValue>
      </Reference>
      <Reference URI="/xl/drawings/drawing10.xml?ContentType=application/vnd.openxmlformats-officedocument.drawing+xml">
        <DigestMethod Algorithm="http://www.w3.org/2001/04/xmlenc#sha256"/>
        <DigestValue>qDVQ/fwe5bIjFM56q3ZwLOLFOHn+ABaw6sLZoxSslgY=</DigestValue>
      </Reference>
      <Reference URI="/xl/drawings/drawing11.xml?ContentType=application/vnd.openxmlformats-officedocument.drawing+xml">
        <DigestMethod Algorithm="http://www.w3.org/2001/04/xmlenc#sha256"/>
        <DigestValue>DXVJ9PeSLs0jNuMBBYxZEBtvlPAUzoS4yLRLo32dIrU=</DigestValue>
      </Reference>
      <Reference URI="/xl/drawings/drawing12.xml?ContentType=application/vnd.openxmlformats-officedocument.drawing+xml">
        <DigestMethod Algorithm="http://www.w3.org/2001/04/xmlenc#sha256"/>
        <DigestValue>k6ozyBZPACZg2x106qRBkZmVUiKL6LIpmj2hNQ43gvw=</DigestValue>
      </Reference>
      <Reference URI="/xl/drawings/drawing13.xml?ContentType=application/vnd.openxmlformats-officedocument.drawing+xml">
        <DigestMethod Algorithm="http://www.w3.org/2001/04/xmlenc#sha256"/>
        <DigestValue>ry3dVgS8l7AR/tvnhh//IHmd5RWQT3McjZsQNe24KmQ=</DigestValue>
      </Reference>
      <Reference URI="/xl/drawings/drawing14.xml?ContentType=application/vnd.openxmlformats-officedocument.drawing+xml">
        <DigestMethod Algorithm="http://www.w3.org/2001/04/xmlenc#sha256"/>
        <DigestValue>VovGI9Lf1UVwQtKtUNcu5T5/SmLwSZMVx+0VxPm/ShM=</DigestValue>
      </Reference>
      <Reference URI="/xl/drawings/drawing2.xml?ContentType=application/vnd.openxmlformats-officedocument.drawing+xml">
        <DigestMethod Algorithm="http://www.w3.org/2001/04/xmlenc#sha256"/>
        <DigestValue>6ue8XYqsuDloMlNrNegdf7DuZT53W9Ah7dHe3IT8d+Q=</DigestValue>
      </Reference>
      <Reference URI="/xl/drawings/drawing3.xml?ContentType=application/vnd.openxmlformats-officedocument.drawing+xml">
        <DigestMethod Algorithm="http://www.w3.org/2001/04/xmlenc#sha256"/>
        <DigestValue>5hbbM++O5HCedx5mACseqg8DowoFoVhSv4ALwxFYz4E=</DigestValue>
      </Reference>
      <Reference URI="/xl/drawings/drawing4.xml?ContentType=application/vnd.openxmlformats-officedocument.drawing+xml">
        <DigestMethod Algorithm="http://www.w3.org/2001/04/xmlenc#sha256"/>
        <DigestValue>0bPejsdRUOo8T8jaXd+F5tPhavw+EaBKts3EN2bqk1M=</DigestValue>
      </Reference>
      <Reference URI="/xl/drawings/drawing5.xml?ContentType=application/vnd.openxmlformats-officedocument.drawing+xml">
        <DigestMethod Algorithm="http://www.w3.org/2001/04/xmlenc#sha256"/>
        <DigestValue>HlE5CfT6b1PyUxuecXbwNWf7ognqGHvNut4LohpK8yw=</DigestValue>
      </Reference>
      <Reference URI="/xl/drawings/drawing6.xml?ContentType=application/vnd.openxmlformats-officedocument.drawing+xml">
        <DigestMethod Algorithm="http://www.w3.org/2001/04/xmlenc#sha256"/>
        <DigestValue>L7bnOi+wDlsu1TK3TM4DysYjDe8Zi6vEEhCMA1CzJQw=</DigestValue>
      </Reference>
      <Reference URI="/xl/drawings/drawing7.xml?ContentType=application/vnd.openxmlformats-officedocument.drawing+xml">
        <DigestMethod Algorithm="http://www.w3.org/2001/04/xmlenc#sha256"/>
        <DigestValue>WCiKfbSvZ7RtwBkZuMqbk5FyRMtCBhcL4vxjIXgtYHQ=</DigestValue>
      </Reference>
      <Reference URI="/xl/drawings/drawing8.xml?ContentType=application/vnd.openxmlformats-officedocument.drawing+xml">
        <DigestMethod Algorithm="http://www.w3.org/2001/04/xmlenc#sha256"/>
        <DigestValue>uV/CgBhrsqUNH2R0+JwlG5pVdjeanGij8Yqe5v0xp4o=</DigestValue>
      </Reference>
      <Reference URI="/xl/drawings/drawing9.xml?ContentType=application/vnd.openxmlformats-officedocument.drawing+xml">
        <DigestMethod Algorithm="http://www.w3.org/2001/04/xmlenc#sha256"/>
        <DigestValue>bfsmSGNj0IPvM8+oA6F+8ZItoyyBblYeRCmjopv2J+g=</DigestValue>
      </Reference>
      <Reference URI="/xl/drawings/vmlDrawing1.vml?ContentType=application/vnd.openxmlformats-officedocument.vmlDrawing">
        <DigestMethod Algorithm="http://www.w3.org/2001/04/xmlenc#sha256"/>
        <DigestValue>Fy9xhN7JHG2UJ+E2eyK61FdkmswTSaEwPUZot01mM+s=</DigestValue>
      </Reference>
      <Reference URI="/xl/drawings/vmlDrawing2.vml?ContentType=application/vnd.openxmlformats-officedocument.vmlDrawing">
        <DigestMethod Algorithm="http://www.w3.org/2001/04/xmlenc#sha256"/>
        <DigestValue>XwnrgvWecvoiS+aMGi+i0EXcjMCvF+fJkZLYyo6uZ+M=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WDW/dJo8kTac1J41t4ZP4gz4th9ZBIJQPDClEHkUFFc=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+R7NxD5zhBn5aofncKdxCqdAolIqBOXzcNMsp2hZQSs=</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979ghTicUw6qn8F+Z890N5J2Wza44tTQ2UotoZMgCbY=</DigestValue>
      </Reference>
      <Reference URI="/xl/externalLinks/externalLink1.xml?ContentType=application/vnd.openxmlformats-officedocument.spreadsheetml.externalLink+xml">
        <DigestMethod Algorithm="http://www.w3.org/2001/04/xmlenc#sha256"/>
        <DigestValue>2wmy/CxbZq3BVXxML4D9HIZzxOyK6W2/hQ2rZcQxAHc=</DigestValue>
      </Reference>
      <Reference URI="/xl/externalLinks/externalLink2.xml?ContentType=application/vnd.openxmlformats-officedocument.spreadsheetml.externalLink+xml">
        <DigestMethod Algorithm="http://www.w3.org/2001/04/xmlenc#sha256"/>
        <DigestValue>XHkKy8S+ljkQCKXuOvp1pecl8km+h4lx3Nr3hJgARCc=</DigestValue>
      </Reference>
      <Reference URI="/xl/externalLinks/externalLink3.xml?ContentType=application/vnd.openxmlformats-officedocument.spreadsheetml.externalLink+xml">
        <DigestMethod Algorithm="http://www.w3.org/2001/04/xmlenc#sha256"/>
        <DigestValue>0NZW8VRLYnrOOFbEu+aESXRkXpCHDHLaKT4XdcCnFh8=</DigestValue>
      </Reference>
      <Reference URI="/xl/media/image1.png?ContentType=image/png">
        <DigestMethod Algorithm="http://www.w3.org/2001/04/xmlenc#sha256"/>
        <DigestValue>43LSy1HPyVx2ShQIUpryYDNUiyQ+wjnqi3XvaqIw1qg=</DigestValue>
      </Reference>
      <Reference URI="/xl/media/image2.emf?ContentType=image/x-emf">
        <DigestMethod Algorithm="http://www.w3.org/2001/04/xmlenc#sha256"/>
        <DigestValue>5Obdz9GbZGlGPcKbD7aA/Ft8704zQngmx1tlRo9gEjo=</DigestValue>
      </Reference>
      <Reference URI="/xl/media/image3.emf?ContentType=image/x-emf">
        <DigestMethod Algorithm="http://www.w3.org/2001/04/xmlenc#sha256"/>
        <DigestValue>u1vID3TG47pYUQvdVjARFId+bv0NnkpnbvlQHJmdXZg=</DigestValue>
      </Reference>
      <Reference URI="/xl/media/image4.emf?ContentType=image/x-emf">
        <DigestMethod Algorithm="http://www.w3.org/2001/04/xmlenc#sha256"/>
        <DigestValue>GEHNjIozlS9/AAXojU3kCVGnKCnlcd7SaOFImw5Xshg=</DigestValue>
      </Reference>
      <Reference URI="/xl/media/image5.emf?ContentType=image/x-emf">
        <DigestMethod Algorithm="http://www.w3.org/2001/04/xmlenc#sha256"/>
        <DigestValue>iY0q6DvU4QUxNyxLUY0HmK2jvM3RaGkFK/I7g4hAXP4=</DigestValue>
      </Reference>
      <Reference URI="/xl/printerSettings/printerSettings1.bin?ContentType=application/vnd.openxmlformats-officedocument.spreadsheetml.printerSettings">
        <DigestMethod Algorithm="http://www.w3.org/2001/04/xmlenc#sha256"/>
        <DigestValue>qNEmKqarWRHCv+mqq4C6kkjCp4U3PuMdIR9k1K0YpMI=</DigestValue>
      </Reference>
      <Reference URI="/xl/printerSettings/printerSettings10.bin?ContentType=application/vnd.openxmlformats-officedocument.spreadsheetml.printerSettings">
        <DigestMethod Algorithm="http://www.w3.org/2001/04/xmlenc#sha256"/>
        <DigestValue>s/pgy32W5TkF9iq1Zv8D5cz4z2y5xP5F7VkiIVD0EwQ=</DigestValue>
      </Reference>
      <Reference URI="/xl/printerSettings/printerSettings11.bin?ContentType=application/vnd.openxmlformats-officedocument.spreadsheetml.printerSettings">
        <DigestMethod Algorithm="http://www.w3.org/2001/04/xmlenc#sha256"/>
        <DigestValue>yZ4yHlbxCjCDs5Jv8YQUDOiOaT2knAfRuRqsDlwxOEU=</DigestValue>
      </Reference>
      <Reference URI="/xl/printerSettings/printerSettings12.bin?ContentType=application/vnd.openxmlformats-officedocument.spreadsheetml.printerSettings">
        <DigestMethod Algorithm="http://www.w3.org/2001/04/xmlenc#sha256"/>
        <DigestValue>rLvJjwQyY8FEC0UPEE2Z6yjAAmp2rbmLtG7iFKHF3u0=</DigestValue>
      </Reference>
      <Reference URI="/xl/printerSettings/printerSettings13.bin?ContentType=application/vnd.openxmlformats-officedocument.spreadsheetml.printerSettings">
        <DigestMethod Algorithm="http://www.w3.org/2001/04/xmlenc#sha256"/>
        <DigestValue>tVOuYuRrdzbo8LP45TcsSYVclOdSaPaGljr1PpHM/4g=</DigestValue>
      </Reference>
      <Reference URI="/xl/printerSettings/printerSettings14.bin?ContentType=application/vnd.openxmlformats-officedocument.spreadsheetml.printerSettings">
        <DigestMethod Algorithm="http://www.w3.org/2001/04/xmlenc#sha256"/>
        <DigestValue>gSCLmSSz2IwnwYf7hlhvLTpwMgSkeSx5HawccNttIW8=</DigestValue>
      </Reference>
      <Reference URI="/xl/printerSettings/printerSettings15.bin?ContentType=application/vnd.openxmlformats-officedocument.spreadsheetml.printerSettings">
        <DigestMethod Algorithm="http://www.w3.org/2001/04/xmlenc#sha256"/>
        <DigestValue>hn9N2FuhLED1G+oO9NyaIcvvOOi+Obt7ukBjap+G5yY=</DigestValue>
      </Reference>
      <Reference URI="/xl/printerSettings/printerSettings16.bin?ContentType=application/vnd.openxmlformats-officedocument.spreadsheetml.printerSettings">
        <DigestMethod Algorithm="http://www.w3.org/2001/04/xmlenc#sha256"/>
        <DigestValue>jqnpqOdrZNpPDlsA6eGCQZiw1dum7FB9Gc4KLWxc6MM=</DigestValue>
      </Reference>
      <Reference URI="/xl/printerSettings/printerSettings17.bin?ContentType=application/vnd.openxmlformats-officedocument.spreadsheetml.printerSettings">
        <DigestMethod Algorithm="http://www.w3.org/2001/04/xmlenc#sha256"/>
        <DigestValue>jcTCFnFuszqGQ3VJVxA3kRrqAETnLVZgctRQtcmDeOw=</DigestValue>
      </Reference>
      <Reference URI="/xl/printerSettings/printerSettings18.bin?ContentType=application/vnd.openxmlformats-officedocument.spreadsheetml.printerSettings">
        <DigestMethod Algorithm="http://www.w3.org/2001/04/xmlenc#sha256"/>
        <DigestValue>tVOuYuRrdzbo8LP45TcsSYVclOdSaPaGljr1PpHM/4g=</DigestValue>
      </Reference>
      <Reference URI="/xl/printerSettings/printerSettings19.bin?ContentType=application/vnd.openxmlformats-officedocument.spreadsheetml.printerSettings">
        <DigestMethod Algorithm="http://www.w3.org/2001/04/xmlenc#sha256"/>
        <DigestValue>lhqNU7rBRuoOJmmM9bzOZSyyB084+UHPE3b+4bG2W2E=</DigestValue>
      </Reference>
      <Reference URI="/xl/printerSettings/printerSettings2.bin?ContentType=application/vnd.openxmlformats-officedocument.spreadsheetml.printerSettings">
        <DigestMethod Algorithm="http://www.w3.org/2001/04/xmlenc#sha256"/>
        <DigestValue>tmp9vFFb6KR6IDrYUtlOXnJdZHDhMuM4DDcq7JPUxqg=</DigestValue>
      </Reference>
      <Reference URI="/xl/printerSettings/printerSettings20.bin?ContentType=application/vnd.openxmlformats-officedocument.spreadsheetml.printerSettings">
        <DigestMethod Algorithm="http://www.w3.org/2001/04/xmlenc#sha256"/>
        <DigestValue>hn9N2FuhLED1G+oO9NyaIcvvOOi+Obt7ukBjap+G5yY=</DigestValue>
      </Reference>
      <Reference URI="/xl/printerSettings/printerSettings21.bin?ContentType=application/vnd.openxmlformats-officedocument.spreadsheetml.printerSettings">
        <DigestMethod Algorithm="http://www.w3.org/2001/04/xmlenc#sha256"/>
        <DigestValue>gSCLmSSz2IwnwYf7hlhvLTpwMgSkeSx5HawccNttIW8=</DigestValue>
      </Reference>
      <Reference URI="/xl/printerSettings/printerSettings22.bin?ContentType=application/vnd.openxmlformats-officedocument.spreadsheetml.printerSettings">
        <DigestMethod Algorithm="http://www.w3.org/2001/04/xmlenc#sha256"/>
        <DigestValue>hWb1B6M2JqB21uPuQ11dDDUr1P2XGR2yAKMvJJdSeaM=</DigestValue>
      </Reference>
      <Reference URI="/xl/printerSettings/printerSettings23.bin?ContentType=application/vnd.openxmlformats-officedocument.spreadsheetml.printerSettings">
        <DigestMethod Algorithm="http://www.w3.org/2001/04/xmlenc#sha256"/>
        <DigestValue>hWb1B6M2JqB21uPuQ11dDDUr1P2XGR2yAKMvJJdSeaM=</DigestValue>
      </Reference>
      <Reference URI="/xl/printerSettings/printerSettings24.bin?ContentType=application/vnd.openxmlformats-officedocument.spreadsheetml.printerSettings">
        <DigestMethod Algorithm="http://www.w3.org/2001/04/xmlenc#sha256"/>
        <DigestValue>hWb1B6M2JqB21uPuQ11dDDUr1P2XGR2yAKMvJJdSeaM=</DigestValue>
      </Reference>
      <Reference URI="/xl/printerSettings/printerSettings25.bin?ContentType=application/vnd.openxmlformats-officedocument.spreadsheetml.printerSettings">
        <DigestMethod Algorithm="http://www.w3.org/2001/04/xmlenc#sha256"/>
        <DigestValue>5ySqG0l/g4lxIKLRnZuLPfYau5oa3Xj516ideRw77nk=</DigestValue>
      </Reference>
      <Reference URI="/xl/printerSettings/printerSettings26.bin?ContentType=application/vnd.openxmlformats-officedocument.spreadsheetml.printerSettings">
        <DigestMethod Algorithm="http://www.w3.org/2001/04/xmlenc#sha256"/>
        <DigestValue>gSCLmSSz2IwnwYf7hlhvLTpwMgSkeSx5HawccNttIW8=</DigestValue>
      </Reference>
      <Reference URI="/xl/printerSettings/printerSettings27.bin?ContentType=application/vnd.openxmlformats-officedocument.spreadsheetml.printerSettings">
        <DigestMethod Algorithm="http://www.w3.org/2001/04/xmlenc#sha256"/>
        <DigestValue>tVOuYuRrdzbo8LP45TcsSYVclOdSaPaGljr1PpHM/4g=</DigestValue>
      </Reference>
      <Reference URI="/xl/printerSettings/printerSettings28.bin?ContentType=application/vnd.openxmlformats-officedocument.spreadsheetml.printerSettings">
        <DigestMethod Algorithm="http://www.w3.org/2001/04/xmlenc#sha256"/>
        <DigestValue>LSiITxrD7IuZ1HT4GSw2sYS1fAFoal4gClXdWMX9a+E=</DigestValue>
      </Reference>
      <Reference URI="/xl/printerSettings/printerSettings29.bin?ContentType=application/vnd.openxmlformats-officedocument.spreadsheetml.printerSettings">
        <DigestMethod Algorithm="http://www.w3.org/2001/04/xmlenc#sha256"/>
        <DigestValue>gSCLmSSz2IwnwYf7hlhvLTpwMgSkeSx5HawccNttIW8=</DigestValue>
      </Reference>
      <Reference URI="/xl/printerSettings/printerSettings3.bin?ContentType=application/vnd.openxmlformats-officedocument.spreadsheetml.printerSettings">
        <DigestMethod Algorithm="http://www.w3.org/2001/04/xmlenc#sha256"/>
        <DigestValue>R3DQph+Tu0rRd20oYzZK61+ZdjsmTdH7fFtXaqKgyaQ=</DigestValue>
      </Reference>
      <Reference URI="/xl/printerSettings/printerSettings30.bin?ContentType=application/vnd.openxmlformats-officedocument.spreadsheetml.printerSettings">
        <DigestMethod Algorithm="http://www.w3.org/2001/04/xmlenc#sha256"/>
        <DigestValue>N463sb7HqCoPUT5eIqWMR2Jm5dqh14E/BxEIrKEWUYc=</DigestValue>
      </Reference>
      <Reference URI="/xl/printerSettings/printerSettings31.bin?ContentType=application/vnd.openxmlformats-officedocument.spreadsheetml.printerSettings">
        <DigestMethod Algorithm="http://www.w3.org/2001/04/xmlenc#sha256"/>
        <DigestValue>hWb1B6M2JqB21uPuQ11dDDUr1P2XGR2yAKMvJJdSeaM=</DigestValue>
      </Reference>
      <Reference URI="/xl/printerSettings/printerSettings32.bin?ContentType=application/vnd.openxmlformats-officedocument.spreadsheetml.printerSettings">
        <DigestMethod Algorithm="http://www.w3.org/2001/04/xmlenc#sha256"/>
        <DigestValue>CPmghBcq8M3AOC7OD9E4RGQCJ4N82avzjW2vuKZebXA=</DigestValue>
      </Reference>
      <Reference URI="/xl/printerSettings/printerSettings33.bin?ContentType=application/vnd.openxmlformats-officedocument.spreadsheetml.printerSettings">
        <DigestMethod Algorithm="http://www.w3.org/2001/04/xmlenc#sha256"/>
        <DigestValue>N463sb7HqCoPUT5eIqWMR2Jm5dqh14E/BxEIrKEWUYc=</DigestValue>
      </Reference>
      <Reference URI="/xl/printerSettings/printerSettings34.bin?ContentType=application/vnd.openxmlformats-officedocument.spreadsheetml.printerSettings">
        <DigestMethod Algorithm="http://www.w3.org/2001/04/xmlenc#sha256"/>
        <DigestValue>CPmghBcq8M3AOC7OD9E4RGQCJ4N82avzjW2vuKZebXA=</DigestValue>
      </Reference>
      <Reference URI="/xl/printerSettings/printerSettings35.bin?ContentType=application/vnd.openxmlformats-officedocument.spreadsheetml.printerSettings">
        <DigestMethod Algorithm="http://www.w3.org/2001/04/xmlenc#sha256"/>
        <DigestValue>CPmghBcq8M3AOC7OD9E4RGQCJ4N82avzjW2vuKZebXA=</DigestValue>
      </Reference>
      <Reference URI="/xl/printerSettings/printerSettings36.bin?ContentType=application/vnd.openxmlformats-officedocument.spreadsheetml.printerSettings">
        <DigestMethod Algorithm="http://www.w3.org/2001/04/xmlenc#sha256"/>
        <DigestValue>gSCLmSSz2IwnwYf7hlhvLTpwMgSkeSx5HawccNttIW8=</DigestValue>
      </Reference>
      <Reference URI="/xl/printerSettings/printerSettings4.bin?ContentType=application/vnd.openxmlformats-officedocument.spreadsheetml.printerSettings">
        <DigestMethod Algorithm="http://www.w3.org/2001/04/xmlenc#sha256"/>
        <DigestValue>z8zxuxVMTHzBCmzzd3MCNRyDg3ReBJFpy6jXe93BaVk=</DigestValue>
      </Reference>
      <Reference URI="/xl/printerSettings/printerSettings5.bin?ContentType=application/vnd.openxmlformats-officedocument.spreadsheetml.printerSettings">
        <DigestMethod Algorithm="http://www.w3.org/2001/04/xmlenc#sha256"/>
        <DigestValue>eK1Jbu61tm9xhuScqk4isB+tvbvT6Cye+mAgWcxsn0E=</DigestValue>
      </Reference>
      <Reference URI="/xl/printerSettings/printerSettings6.bin?ContentType=application/vnd.openxmlformats-officedocument.spreadsheetml.printerSettings">
        <DigestMethod Algorithm="http://www.w3.org/2001/04/xmlenc#sha256"/>
        <DigestValue>+Bwq0awAqgkYPTPvVFvk9FkHxHSokQ9ZeD47Qw61Mw4=</DigestValue>
      </Reference>
      <Reference URI="/xl/printerSettings/printerSettings7.bin?ContentType=application/vnd.openxmlformats-officedocument.spreadsheetml.printerSettings">
        <DigestMethod Algorithm="http://www.w3.org/2001/04/xmlenc#sha256"/>
        <DigestValue>pzHCxJZJqV8QN3TxJNQIsgGd/jmH7l/G8/3LR3ZSRLA=</DigestValue>
      </Reference>
      <Reference URI="/xl/printerSettings/printerSettings8.bin?ContentType=application/vnd.openxmlformats-officedocument.spreadsheetml.printerSettings">
        <DigestMethod Algorithm="http://www.w3.org/2001/04/xmlenc#sha256"/>
        <DigestValue>pPIqYH+fFmPXe5Ug7lS+e4DQjEUlNECZSuBR07rm0ls=</DigestValue>
      </Reference>
      <Reference URI="/xl/printerSettings/printerSettings9.bin?ContentType=application/vnd.openxmlformats-officedocument.spreadsheetml.printerSettings">
        <DigestMethod Algorithm="http://www.w3.org/2001/04/xmlenc#sha256"/>
        <DigestValue>R8hhUo7IOeKH+vJW5iaHwtd4Ijyclq+7Fr0GyBVHSAM=</DigestValue>
      </Reference>
      <Reference URI="/xl/sharedStrings.xml?ContentType=application/vnd.openxmlformats-officedocument.spreadsheetml.sharedStrings+xml">
        <DigestMethod Algorithm="http://www.w3.org/2001/04/xmlenc#sha256"/>
        <DigestValue>mf5S0uGNi4YD0AycM5ymulDsp6hNyLUmyi1LKvjn+Vs=</DigestValue>
      </Reference>
      <Reference URI="/xl/styles.xml?ContentType=application/vnd.openxmlformats-officedocument.spreadsheetml.styles+xml">
        <DigestMethod Algorithm="http://www.w3.org/2001/04/xmlenc#sha256"/>
        <DigestValue>0B5HJmQH8BySTX8jfWSDbTlAFMKkT3TYmhjhUxMrFpE=</DigestValue>
      </Reference>
      <Reference URI="/xl/theme/theme1.xml?ContentType=application/vnd.openxmlformats-officedocument.theme+xml">
        <DigestMethod Algorithm="http://www.w3.org/2001/04/xmlenc#sha256"/>
        <DigestValue>0od3cWFb7H/9sr1fB3xS8N4PVwSWcnr1ynQI1Jvf//w=</DigestValue>
      </Reference>
      <Reference URI="/xl/vbaProject.bin?ContentType=application/vnd.ms-office.vbaProject">
        <DigestMethod Algorithm="http://www.w3.org/2001/04/xmlenc#sha256"/>
        <DigestValue>Ugkdc5vERsAj17qbwm6u4B5HxbD/jHLmRU3qPIjuwWs=</DigestValue>
      </Reference>
      <Reference URI="/xl/workbook.xml?ContentType=application/vnd.ms-excel.sheet.macroEnabled.main+xml">
        <DigestMethod Algorithm="http://www.w3.org/2001/04/xmlenc#sha256"/>
        <DigestValue>pdNCCy8Dv3Cl5XO7WdcC9UGcHjSb/wzbKPtfp/MhxKY=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ZOZ+2y8KlgARq7v4vsPrD4nIDV4Rqtubx7lLXn+BYVI=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nUVdzvshlLUgRaM7X4sHX/9tln+OftfDhfnaA+Y9Nzk=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irs/Pu/FzvxUJmFujRUwEQEL1S0ghz68+kVFgf3MIs8=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PbUdHje5Rm4GZ320WvgMLxFTLTux96INn5iRrc345z8=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nVdaLnoajam51TGOlrmRni4djWEIQqg4ElzK7Qozmjg=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M016SzmpgA7bxaBlIvmh058sE1YDfgyvGtEPMbbinCg=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vINZVdYTnWsUzrikN2wX9VfapVvCbw5lEyJ+0po6FDw=</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XwJZYY99dAXpkNEkW01EqdGE1Z5ZxXEDfiNCivp30bQ=</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LJzkrrd6qHGW0kUjDOxrgCU7PL6g4ZPjrLWOA4g4obw=</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KbvbancbHx1hfgskjRa1DqufahSTF05M4TT8Sic+0DQ=</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U56pkPjCa7VxeOoxkcTwEPh3eF+ehkIGXaZ1+PNmvuI=</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ufUJ52jf2v/jbYx4/iBFUgbBJWA+JjRnyZ4GvN2fArE=</DigestValue>
      </Reference>
      <Reference URI="/xl/worksheets/sheet10.xml?ContentType=application/vnd.openxmlformats-officedocument.spreadsheetml.worksheet+xml">
        <DigestMethod Algorithm="http://www.w3.org/2001/04/xmlenc#sha256"/>
        <DigestValue>g9ZCdnLgtukhYsRAKz4yHL6CrzmF4ljpjfS0GvBwqF8=</DigestValue>
      </Reference>
      <Reference URI="/xl/worksheets/sheet11.xml?ContentType=application/vnd.openxmlformats-officedocument.spreadsheetml.worksheet+xml">
        <DigestMethod Algorithm="http://www.w3.org/2001/04/xmlenc#sha256"/>
        <DigestValue>JTzpzZmaavhfYEq+/+Uxkzx43Ch4WDyoi8ShPBiXt4Q=</DigestValue>
      </Reference>
      <Reference URI="/xl/worksheets/sheet12.xml?ContentType=application/vnd.openxmlformats-officedocument.spreadsheetml.worksheet+xml">
        <DigestMethod Algorithm="http://www.w3.org/2001/04/xmlenc#sha256"/>
        <DigestValue>6Jg0t2Ljw1ZYa2mDqFJGPTsccM2XBrmCW+imV37uyyc=</DigestValue>
      </Reference>
      <Reference URI="/xl/worksheets/sheet13.xml?ContentType=application/vnd.openxmlformats-officedocument.spreadsheetml.worksheet+xml">
        <DigestMethod Algorithm="http://www.w3.org/2001/04/xmlenc#sha256"/>
        <DigestValue>m4uomHKv1bv0mryts9SUEf7i4FV7Id628bxeVQthFvo=</DigestValue>
      </Reference>
      <Reference URI="/xl/worksheets/sheet14.xml?ContentType=application/vnd.openxmlformats-officedocument.spreadsheetml.worksheet+xml">
        <DigestMethod Algorithm="http://www.w3.org/2001/04/xmlenc#sha256"/>
        <DigestValue>hHYBSxvFNkzLawsE2xmmwU7DVchqEleDw8HY9m6s1D4=</DigestValue>
      </Reference>
      <Reference URI="/xl/worksheets/sheet15.xml?ContentType=application/vnd.openxmlformats-officedocument.spreadsheetml.worksheet+xml">
        <DigestMethod Algorithm="http://www.w3.org/2001/04/xmlenc#sha256"/>
        <DigestValue>giH0BqYANY2QzNa15BqFX3qH028b9skM2/xlwVxeEXo=</DigestValue>
      </Reference>
      <Reference URI="/xl/worksheets/sheet16.xml?ContentType=application/vnd.openxmlformats-officedocument.spreadsheetml.worksheet+xml">
        <DigestMethod Algorithm="http://www.w3.org/2001/04/xmlenc#sha256"/>
        <DigestValue>/rbFLkmezb8CXzEG4aWtZdmXtoJ4coNAUrM7DGaSCI8=</DigestValue>
      </Reference>
      <Reference URI="/xl/worksheets/sheet17.xml?ContentType=application/vnd.openxmlformats-officedocument.spreadsheetml.worksheet+xml">
        <DigestMethod Algorithm="http://www.w3.org/2001/04/xmlenc#sha256"/>
        <DigestValue>d7Ofs5kPQT9bNBFtGooyVvmG5qA4CKLNuNsphO6qX98=</DigestValue>
      </Reference>
      <Reference URI="/xl/worksheets/sheet18.xml?ContentType=application/vnd.openxmlformats-officedocument.spreadsheetml.worksheet+xml">
        <DigestMethod Algorithm="http://www.w3.org/2001/04/xmlenc#sha256"/>
        <DigestValue>ziQJpzxeZYI2A/huKzPVe/VQ9pM5pxe9pSBBpn8vZws=</DigestValue>
      </Reference>
      <Reference URI="/xl/worksheets/sheet19.xml?ContentType=application/vnd.openxmlformats-officedocument.spreadsheetml.worksheet+xml">
        <DigestMethod Algorithm="http://www.w3.org/2001/04/xmlenc#sha256"/>
        <DigestValue>eyBEKp7YV7edK5ko75fQ0i5oFglqHeRyUJvB78L+Czo=</DigestValue>
      </Reference>
      <Reference URI="/xl/worksheets/sheet2.xml?ContentType=application/vnd.openxmlformats-officedocument.spreadsheetml.worksheet+xml">
        <DigestMethod Algorithm="http://www.w3.org/2001/04/xmlenc#sha256"/>
        <DigestValue>SkZ0ENERBKI8t6U0r7FnY4kfxCsU9laM7f/kdFs9d7s=</DigestValue>
      </Reference>
      <Reference URI="/xl/worksheets/sheet20.xml?ContentType=application/vnd.openxmlformats-officedocument.spreadsheetml.worksheet+xml">
        <DigestMethod Algorithm="http://www.w3.org/2001/04/xmlenc#sha256"/>
        <DigestValue>ksJSLwyiETQ69icqFLAXTM7R7WZ8MXYEez+FpPl/Oi4=</DigestValue>
      </Reference>
      <Reference URI="/xl/worksheets/sheet21.xml?ContentType=application/vnd.openxmlformats-officedocument.spreadsheetml.worksheet+xml">
        <DigestMethod Algorithm="http://www.w3.org/2001/04/xmlenc#sha256"/>
        <DigestValue>fiGpVzvjVDkYh85f9Ioo2GuTGMHbXWlBS60cJVyazqk=</DigestValue>
      </Reference>
      <Reference URI="/xl/worksheets/sheet22.xml?ContentType=application/vnd.openxmlformats-officedocument.spreadsheetml.worksheet+xml">
        <DigestMethod Algorithm="http://www.w3.org/2001/04/xmlenc#sha256"/>
        <DigestValue>ToeWWQn4+mR4XlkKw1/p0pb3iTD2ExMBaCPMrzI81yM=</DigestValue>
      </Reference>
      <Reference URI="/xl/worksheets/sheet23.xml?ContentType=application/vnd.openxmlformats-officedocument.spreadsheetml.worksheet+xml">
        <DigestMethod Algorithm="http://www.w3.org/2001/04/xmlenc#sha256"/>
        <DigestValue>Pait2oUQ0dPFCFSl48y8e6slINypOKSYfqyes2HOTOU=</DigestValue>
      </Reference>
      <Reference URI="/xl/worksheets/sheet24.xml?ContentType=application/vnd.openxmlformats-officedocument.spreadsheetml.worksheet+xml">
        <DigestMethod Algorithm="http://www.w3.org/2001/04/xmlenc#sha256"/>
        <DigestValue>xra0weMYbE/24YmHwqJNG2URAS1l7JfimJXHUdy4rPs=</DigestValue>
      </Reference>
      <Reference URI="/xl/worksheets/sheet25.xml?ContentType=application/vnd.openxmlformats-officedocument.spreadsheetml.worksheet+xml">
        <DigestMethod Algorithm="http://www.w3.org/2001/04/xmlenc#sha256"/>
        <DigestValue>giDXlF7oRf0tDXb5T1xjBTHzYc+dy95vZSnGEtuvOmU=</DigestValue>
      </Reference>
      <Reference URI="/xl/worksheets/sheet26.xml?ContentType=application/vnd.openxmlformats-officedocument.spreadsheetml.worksheet+xml">
        <DigestMethod Algorithm="http://www.w3.org/2001/04/xmlenc#sha256"/>
        <DigestValue>dc5bMymStWhuoiHBeiJGgHUAaAbBjW3fHtsjq1ldECQ=</DigestValue>
      </Reference>
      <Reference URI="/xl/worksheets/sheet27.xml?ContentType=application/vnd.openxmlformats-officedocument.spreadsheetml.worksheet+xml">
        <DigestMethod Algorithm="http://www.w3.org/2001/04/xmlenc#sha256"/>
        <DigestValue>MN4cVZcLu1b7Jcju9V5Ns9XQF9Pa2G8VDMc2Q/GI1OY=</DigestValue>
      </Reference>
      <Reference URI="/xl/worksheets/sheet28.xml?ContentType=application/vnd.openxmlformats-officedocument.spreadsheetml.worksheet+xml">
        <DigestMethod Algorithm="http://www.w3.org/2001/04/xmlenc#sha256"/>
        <DigestValue>Y94IqKl5ACHidT54OjHMqDJQVKErw2gLUDeGUHqXdD8=</DigestValue>
      </Reference>
      <Reference URI="/xl/worksheets/sheet29.xml?ContentType=application/vnd.openxmlformats-officedocument.spreadsheetml.worksheet+xml">
        <DigestMethod Algorithm="http://www.w3.org/2001/04/xmlenc#sha256"/>
        <DigestValue>6b/I8+tp+QMfEyPB9pX8g+AV4I3ZRZZfR1SJND4XxL4=</DigestValue>
      </Reference>
      <Reference URI="/xl/worksheets/sheet3.xml?ContentType=application/vnd.openxmlformats-officedocument.spreadsheetml.worksheet+xml">
        <DigestMethod Algorithm="http://www.w3.org/2001/04/xmlenc#sha256"/>
        <DigestValue>GBJFI7gy0fPrv8Ev4gYhzLod/QV3lmTT+hmuFOjnU9E=</DigestValue>
      </Reference>
      <Reference URI="/xl/worksheets/sheet30.xml?ContentType=application/vnd.openxmlformats-officedocument.spreadsheetml.worksheet+xml">
        <DigestMethod Algorithm="http://www.w3.org/2001/04/xmlenc#sha256"/>
        <DigestValue>idpvOHZ9fdmR0E8U7h5sSwypyJ5wLuGNsniSblMYIjM=</DigestValue>
      </Reference>
      <Reference URI="/xl/worksheets/sheet31.xml?ContentType=application/vnd.openxmlformats-officedocument.spreadsheetml.worksheet+xml">
        <DigestMethod Algorithm="http://www.w3.org/2001/04/xmlenc#sha256"/>
        <DigestValue>Jd53D8690gdyxzL9pvjG7WtC+gmWcyTtIscpjTna1y4=</DigestValue>
      </Reference>
      <Reference URI="/xl/worksheets/sheet32.xml?ContentType=application/vnd.openxmlformats-officedocument.spreadsheetml.worksheet+xml">
        <DigestMethod Algorithm="http://www.w3.org/2001/04/xmlenc#sha256"/>
        <DigestValue>okm3L8/zd5Iy82viC9qGiQvlpMtYbh/2vxwTiIyhdVQ=</DigestValue>
      </Reference>
      <Reference URI="/xl/worksheets/sheet33.xml?ContentType=application/vnd.openxmlformats-officedocument.spreadsheetml.worksheet+xml">
        <DigestMethod Algorithm="http://www.w3.org/2001/04/xmlenc#sha256"/>
        <DigestValue>xCOlIOKYxbAqwHOt73DQ0QXFh+vXZKKL2y1r1NFNZVs=</DigestValue>
      </Reference>
      <Reference URI="/xl/worksheets/sheet34.xml?ContentType=application/vnd.openxmlformats-officedocument.spreadsheetml.worksheet+xml">
        <DigestMethod Algorithm="http://www.w3.org/2001/04/xmlenc#sha256"/>
        <DigestValue>aPpKPZ0zM2/owH/ZV1C3pUEcA8jJ10a9Lzagd6tfDI4=</DigestValue>
      </Reference>
      <Reference URI="/xl/worksheets/sheet35.xml?ContentType=application/vnd.openxmlformats-officedocument.spreadsheetml.worksheet+xml">
        <DigestMethod Algorithm="http://www.w3.org/2001/04/xmlenc#sha256"/>
        <DigestValue>roJFBL3JIvZ01mHmvwzQGMbCRfXCbfk0naw0JCeYJos=</DigestValue>
      </Reference>
      <Reference URI="/xl/worksheets/sheet36.xml?ContentType=application/vnd.openxmlformats-officedocument.spreadsheetml.worksheet+xml">
        <DigestMethod Algorithm="http://www.w3.org/2001/04/xmlenc#sha256"/>
        <DigestValue>m5TNGJ/l0NhJQcaxQR0m31glUaRF0Gg6BTo0nysK3DM=</DigestValue>
      </Reference>
      <Reference URI="/xl/worksheets/sheet37.xml?ContentType=application/vnd.openxmlformats-officedocument.spreadsheetml.worksheet+xml">
        <DigestMethod Algorithm="http://www.w3.org/2001/04/xmlenc#sha256"/>
        <DigestValue>Vb4Usx0AQyhTwM8eOsNZUKQXtqnQ2hPmncOgVjseUW8=</DigestValue>
      </Reference>
      <Reference URI="/xl/worksheets/sheet38.xml?ContentType=application/vnd.openxmlformats-officedocument.spreadsheetml.worksheet+xml">
        <DigestMethod Algorithm="http://www.w3.org/2001/04/xmlenc#sha256"/>
        <DigestValue>6M4y75V9dHD7ET90RNCNCrgXy+Pi2lgz+cwEdRQPIpI=</DigestValue>
      </Reference>
      <Reference URI="/xl/worksheets/sheet39.xml?ContentType=application/vnd.openxmlformats-officedocument.spreadsheetml.worksheet+xml">
        <DigestMethod Algorithm="http://www.w3.org/2001/04/xmlenc#sha256"/>
        <DigestValue>HtG9QR+VtdRay2SH0SQlEFJlM4Ra8/0GPNoaIZUR9dw=</DigestValue>
      </Reference>
      <Reference URI="/xl/worksheets/sheet4.xml?ContentType=application/vnd.openxmlformats-officedocument.spreadsheetml.worksheet+xml">
        <DigestMethod Algorithm="http://www.w3.org/2001/04/xmlenc#sha256"/>
        <DigestValue>14U02jNcGUANKmVLGAseeWtobTyrppxbUk/6fDj9ZSg=</DigestValue>
      </Reference>
      <Reference URI="/xl/worksheets/sheet40.xml?ContentType=application/vnd.openxmlformats-officedocument.spreadsheetml.worksheet+xml">
        <DigestMethod Algorithm="http://www.w3.org/2001/04/xmlenc#sha256"/>
        <DigestValue>VwA6L4n4T+BBLsxgnpV3zx0HNW8GYeWPCBj6czDom9w=</DigestValue>
      </Reference>
      <Reference URI="/xl/worksheets/sheet41.xml?ContentType=application/vnd.openxmlformats-officedocument.spreadsheetml.worksheet+xml">
        <DigestMethod Algorithm="http://www.w3.org/2001/04/xmlenc#sha256"/>
        <DigestValue>/fGkRt/dsNg5IpmpsB+1kNKT+jrXWAoo9bFOyr2nJig=</DigestValue>
      </Reference>
      <Reference URI="/xl/worksheets/sheet42.xml?ContentType=application/vnd.openxmlformats-officedocument.spreadsheetml.worksheet+xml">
        <DigestMethod Algorithm="http://www.w3.org/2001/04/xmlenc#sha256"/>
        <DigestValue>e8qy2PJpf7PvfCh1pMP8RgH9v9Ux9W6fYlZxkO/Qs+o=</DigestValue>
      </Reference>
      <Reference URI="/xl/worksheets/sheet43.xml?ContentType=application/vnd.openxmlformats-officedocument.spreadsheetml.worksheet+xml">
        <DigestMethod Algorithm="http://www.w3.org/2001/04/xmlenc#sha256"/>
        <DigestValue>cg6ez5VhMn2fwKwA4CFbfWFgLYdRLUBz2JRoMe7pM9Q=</DigestValue>
      </Reference>
      <Reference URI="/xl/worksheets/sheet44.xml?ContentType=application/vnd.openxmlformats-officedocument.spreadsheetml.worksheet+xml">
        <DigestMethod Algorithm="http://www.w3.org/2001/04/xmlenc#sha256"/>
        <DigestValue>VK/B2rNjwYPB0Dkop/G86uE5ZtagntgXtIPdEQt81kQ=</DigestValue>
      </Reference>
      <Reference URI="/xl/worksheets/sheet45.xml?ContentType=application/vnd.openxmlformats-officedocument.spreadsheetml.worksheet+xml">
        <DigestMethod Algorithm="http://www.w3.org/2001/04/xmlenc#sha256"/>
        <DigestValue>ScUHvWewMmdYAOzVRHmJQXCryzKGFoUvJXAutgnf/Cs=</DigestValue>
      </Reference>
      <Reference URI="/xl/worksheets/sheet46.xml?ContentType=application/vnd.openxmlformats-officedocument.spreadsheetml.worksheet+xml">
        <DigestMethod Algorithm="http://www.w3.org/2001/04/xmlenc#sha256"/>
        <DigestValue>eU1ck6f4sS68QmvJ8jQZRncuPYmC0yFVWgkP1hprLvQ=</DigestValue>
      </Reference>
      <Reference URI="/xl/worksheets/sheet47.xml?ContentType=application/vnd.openxmlformats-officedocument.spreadsheetml.worksheet+xml">
        <DigestMethod Algorithm="http://www.w3.org/2001/04/xmlenc#sha256"/>
        <DigestValue>DrkvHAbAVo2GZHeVA2gpYHBl3J0bUbomjWXhxwmU3Uc=</DigestValue>
      </Reference>
      <Reference URI="/xl/worksheets/sheet5.xml?ContentType=application/vnd.openxmlformats-officedocument.spreadsheetml.worksheet+xml">
        <DigestMethod Algorithm="http://www.w3.org/2001/04/xmlenc#sha256"/>
        <DigestValue>BeipflQTFRVW4apPJXWle8pg9PgLusUpW/+IW+zJ/6I=</DigestValue>
      </Reference>
      <Reference URI="/xl/worksheets/sheet6.xml?ContentType=application/vnd.openxmlformats-officedocument.spreadsheetml.worksheet+xml">
        <DigestMethod Algorithm="http://www.w3.org/2001/04/xmlenc#sha256"/>
        <DigestValue>FVnmKBLGHHMkZDTTvwh5SziTPgNdLoE2oHJkr9RNOoM=</DigestValue>
      </Reference>
      <Reference URI="/xl/worksheets/sheet7.xml?ContentType=application/vnd.openxmlformats-officedocument.spreadsheetml.worksheet+xml">
        <DigestMethod Algorithm="http://www.w3.org/2001/04/xmlenc#sha256"/>
        <DigestValue>n7qlkAZJcJLdLzhC0pmmFZeumC2LTGFP9kTD7O7h+Ho=</DigestValue>
      </Reference>
      <Reference URI="/xl/worksheets/sheet8.xml?ContentType=application/vnd.openxmlformats-officedocument.spreadsheetml.worksheet+xml">
        <DigestMethod Algorithm="http://www.w3.org/2001/04/xmlenc#sha256"/>
        <DigestValue>MXiwA6F4kj/6styJWeShsSSs4bS0IQd3M0VN7UuKc+Y=</DigestValue>
      </Reference>
      <Reference URI="/xl/worksheets/sheet9.xml?ContentType=application/vnd.openxmlformats-officedocument.spreadsheetml.worksheet+xml">
        <DigestMethod Algorithm="http://www.w3.org/2001/04/xmlenc#sha256"/>
        <DigestValue>1yRKzLkJVTWSchu2iF1Cxrl5ajenNrrTzFh7MuoFK7w=</DigestValue>
      </Reference>
    </Manifest>
    <SignatureProperties>
      <SignatureProperty Id="idSignatureTime" Target="#idPackageSignature">
        <mdssi:SignatureTime xmlns:mdssi="http://schemas.openxmlformats.org/package/2006/digital-signature">
          <mdssi:Format>YYYY-MM-DDThh:mm:ssTZD</mdssi:Format>
          <mdssi:Value>2022-03-31T19:41:06Z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2</Monitors>
          <HorizontalResolution>1024</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2022-03-31T19:41:06Z</xd:SigningTime>
          <xd:SigningCertificate>
            <xd:Cert>
              <xd:CertDigest>
                <DigestMethod Algorithm="http://www.w3.org/2001/04/xmlenc#sha256"/>
                <DigestValue>qoUywqg6OfHY3xqqlGCiQx+XHiIDHe863HcmJm4e06k=</DigestValue>
              </xd:CertDigest>
              <xd:IssuerSerial>
                <X509IssuerName>CN=CA-VIT S.A., O=VIT S.A., C=PY, SERIALNUMBER=RUC 80080099-0</X509IssuerName>
                <X509SerialNumber>165356279451205414817303978298890258630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2</vt:i4>
      </vt:variant>
    </vt:vector>
  </HeadingPairs>
  <TitlesOfParts>
    <vt:vector size="49" baseType="lpstr">
      <vt:lpstr>Caratula</vt:lpstr>
      <vt:lpstr>Indice</vt:lpstr>
      <vt:lpstr>BG</vt:lpstr>
      <vt:lpstr>EVPN</vt:lpstr>
      <vt:lpstr>ER</vt:lpstr>
      <vt:lpstr>EFE</vt:lpstr>
      <vt:lpstr>Nota1</vt:lpstr>
      <vt:lpstr>Nota 2</vt:lpstr>
      <vt:lpstr>Nota 3</vt:lpstr>
      <vt:lpstr>Nota 4</vt:lpstr>
      <vt:lpstr>Nota 5</vt:lpstr>
      <vt:lpstr>Nota 6</vt:lpstr>
      <vt:lpstr>Nota 7</vt:lpstr>
      <vt:lpstr>Nota 8</vt:lpstr>
      <vt:lpstr>Nota 9</vt:lpstr>
      <vt:lpstr>Nota 10</vt:lpstr>
      <vt:lpstr>cred</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36</vt:lpstr>
      <vt:lpstr>Nota 35</vt:lpstr>
      <vt:lpstr>Nota 37</vt:lpstr>
      <vt:lpstr>Nota 38</vt:lpstr>
      <vt:lpstr>Nota 39</vt:lpstr>
      <vt:lpstr>Nota 40</vt:lpstr>
      <vt:lpstr>'Nota 2'!_Hlk15378568</vt:lpstr>
      <vt:lpstr>ER!Área_de_impresión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Monica Adorno - Contabilidad</cp:lastModifiedBy>
  <cp:lastPrinted>2021-10-18T18:21:58Z</cp:lastPrinted>
  <dcterms:created xsi:type="dcterms:W3CDTF">2019-05-02T15:06:12Z</dcterms:created>
  <dcterms:modified xsi:type="dcterms:W3CDTF">2022-03-24T12:16:12Z</dcterms:modified>
</cp:coreProperties>
</file>